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_all_frq" sheetId="1" r:id="rId1"/>
    <sheet name="charts" sheetId="2" r:id="rId2"/>
    <sheet name="perf stat_frq" sheetId="3" r:id="rId3"/>
    <sheet name="perf stat_frq_0" sheetId="4" r:id="rId4"/>
    <sheet name="perf stat_frq_1" sheetId="5" r:id="rId5"/>
  </sheets>
  <calcPr calcId="124519" fullCalcOnLoad="1"/>
</workbook>
</file>

<file path=xl/sharedStrings.xml><?xml version="1.0" encoding="utf-8"?>
<sst xmlns="http://schemas.openxmlformats.org/spreadsheetml/2006/main" count="828" uniqueCount="132">
  <si>
    <t>epoch</t>
  </si>
  <si>
    <t>ts</t>
  </si>
  <si>
    <t>rel_ts</t>
  </si>
  <si>
    <t>instances:</t>
  </si>
  <si>
    <t>48</t>
  </si>
  <si>
    <t>576</t>
  </si>
  <si>
    <t>1</t>
  </si>
  <si>
    <t>title</t>
  </si>
  <si>
    <t>perf stat</t>
  </si>
  <si>
    <t>sheet</t>
  </si>
  <si>
    <t>type</t>
  </si>
  <si>
    <t>scatter_straight</t>
  </si>
  <si>
    <t>hdrs</t>
  </si>
  <si>
    <t>4</t>
  </si>
  <si>
    <t>15</t>
  </si>
  <si>
    <t>45</t>
  </si>
  <si>
    <t>interval</t>
  </si>
  <si>
    <t>cpu-clock</t>
  </si>
  <si>
    <t>instructions</t>
  </si>
  <si>
    <t>msr/aperf/</t>
  </si>
  <si>
    <t>msr/mperf/</t>
  </si>
  <si>
    <t>idq_uops_not_delivered.core</t>
  </si>
  <si>
    <t>uops_retired.retire_slots</t>
  </si>
  <si>
    <t>cpu_clk_unhalted.thread_any</t>
  </si>
  <si>
    <t>power/energy-pkg/</t>
  </si>
  <si>
    <t>offcore_requests_outstanding.l3_miss_demand_data_rd</t>
  </si>
  <si>
    <t>offcore_requests.l3_miss_demand_data_rd</t>
  </si>
  <si>
    <t>unc0_read_write</t>
  </si>
  <si>
    <t>unc1_read_write</t>
  </si>
  <si>
    <t>unc2_read_write</t>
  </si>
  <si>
    <t>unc3_read_write</t>
  </si>
  <si>
    <t>unc4_read_write</t>
  </si>
  <si>
    <t>unc5_read_write</t>
  </si>
  <si>
    <t>qpi_data_bandwidth_tx0</t>
  </si>
  <si>
    <t>qpi_data_bandwidth_tx1</t>
  </si>
  <si>
    <t>UNC_CHA_TOR_INSERTS.IA.0x40433</t>
  </si>
  <si>
    <t>UNC_CHA_TOR_INSERTS.IA_MISS.0x40433</t>
  </si>
  <si>
    <t>UNC_CHA_TOR_OCCUPANCY.IA_MISS.0x40433</t>
  </si>
  <si>
    <t>UNC_CHA_CLOCKTICKS</t>
  </si>
  <si>
    <t>%not_halted</t>
  </si>
  <si>
    <t>%both_HT_threads_active</t>
  </si>
  <si>
    <t>uncore_freq (GHz)</t>
  </si>
  <si>
    <t>avg_freq (GHz)</t>
  </si>
  <si>
    <t>LLC-misses PKI</t>
  </si>
  <si>
    <t>LLC-miss bw (GB/s)</t>
  </si>
  <si>
    <t>L3 miss latency (core_clks)</t>
  </si>
  <si>
    <t>L3 miss latency (ns)</t>
  </si>
  <si>
    <t>%LLC misses</t>
  </si>
  <si>
    <t>unc_read_write (GB/s)</t>
  </si>
  <si>
    <t>IPC</t>
  </si>
  <si>
    <t>CPI</t>
  </si>
  <si>
    <t>QPI_BW (GB/sec)</t>
  </si>
  <si>
    <t>power_pkg (watts)</t>
  </si>
  <si>
    <t>instructions/sec (1e9 instr/sec)</t>
  </si>
  <si>
    <t>cpu-cycles/sec (1e9 cycles/sec)</t>
  </si>
  <si>
    <t>coreIpc</t>
  </si>
  <si>
    <t>topdown_Retiring(%)</t>
  </si>
  <si>
    <t>topdown_Frontend_Bound(%)</t>
  </si>
  <si>
    <t>topdown_Backend_Bound_BadSpec(%)</t>
  </si>
  <si>
    <t>perf stat TopLev Level 1 Percentages</t>
  </si>
  <si>
    <t>line_stacked</t>
  </si>
  <si>
    <t>44</t>
  </si>
  <si>
    <t>43</t>
  </si>
  <si>
    <t>perf stat Top Lev: %cpus Back/Front End Bound, Retiring</t>
  </si>
  <si>
    <t>26</t>
  </si>
  <si>
    <t>39</t>
  </si>
  <si>
    <t>perf stat mem bw</t>
  </si>
  <si>
    <t>31</t>
  </si>
  <si>
    <t>35</t>
  </si>
  <si>
    <t>38</t>
  </si>
  <si>
    <t>perf stat mem IPC, CPU freq, LLC misses</t>
  </si>
  <si>
    <t>28</t>
  </si>
  <si>
    <t>29</t>
  </si>
  <si>
    <t>30</t>
  </si>
  <si>
    <t>36</t>
  </si>
  <si>
    <t>perf stat %cpus not halted (running), %LLC misses, %both_HT_threads_active</t>
  </si>
  <si>
    <t>27</t>
  </si>
  <si>
    <t>34</t>
  </si>
  <si>
    <t>perf stat L3 miss latency</t>
  </si>
  <si>
    <t>32</t>
  </si>
  <si>
    <t>33</t>
  </si>
  <si>
    <t>memory bandwidth test</t>
  </si>
  <si>
    <t>L2_bandwidth test</t>
  </si>
  <si>
    <t>frequency test</t>
  </si>
  <si>
    <t>sum_all</t>
  </si>
  <si>
    <t>copy</t>
  </si>
  <si>
    <t>for Col.A, if 1=col_of_max,2=max,3=sum,4=countNotBlank</t>
  </si>
  <si>
    <t>2</t>
  </si>
  <si>
    <t>0</t>
  </si>
  <si>
    <t>62</t>
  </si>
  <si>
    <t>6</t>
  </si>
  <si>
    <t>-1</t>
  </si>
  <si>
    <t>Resource</t>
  </si>
  <si>
    <t>Tool</t>
  </si>
  <si>
    <t>Metric</t>
  </si>
  <si>
    <t>average</t>
  </si>
  <si>
    <t>fileno_of_max</t>
  </si>
  <si>
    <t>hostname</t>
  </si>
  <si>
    <t>PVT4L-debian253</t>
  </si>
  <si>
    <t>desc</t>
  </si>
  <si>
    <t>cpus</t>
  </si>
  <si>
    <t>num_cpus</t>
  </si>
  <si>
    <t>sockets</t>
  </si>
  <si>
    <t>num_sockets</t>
  </si>
  <si>
    <t>numa_nodes</t>
  </si>
  <si>
    <t>cpu_type</t>
  </si>
  <si>
    <t>Cascade Lake</t>
  </si>
  <si>
    <t>itp_run</t>
  </si>
  <si>
    <t>day_beg</t>
  </si>
  <si>
    <t>Mon_Jul_05</t>
  </si>
  <si>
    <t>date_beg</t>
  </si>
  <si>
    <t>Mon Jul  5 20:23:25 EDT 2021</t>
  </si>
  <si>
    <t>Mon Jul  5 20:36:29 EDT 2021</t>
  </si>
  <si>
    <t>date_end</t>
  </si>
  <si>
    <t>Mon Jul  5 20:23:36 EDT 2021</t>
  </si>
  <si>
    <t>Mon Jul  5 20:36:39 EDT 2021</t>
  </si>
  <si>
    <t>perf_stat</t>
  </si>
  <si>
    <t>Mem BW GB/s</t>
  </si>
  <si>
    <t>avg_freq GHz</t>
  </si>
  <si>
    <t>QPI_BW GB/s</t>
  </si>
  <si>
    <t>power pkg (watts)</t>
  </si>
  <si>
    <t>metric_CPU utilization %</t>
  </si>
  <si>
    <t>metric_CPU operating frequency (in GHz)</t>
  </si>
  <si>
    <t>metric_memory bandwidth total (MB/sec)</t>
  </si>
  <si>
    <t>metric_IPC</t>
  </si>
  <si>
    <t>metric_CPI</t>
  </si>
  <si>
    <t>metric_UPI Data transmit BW (MB/sec) (only data)</t>
  </si>
  <si>
    <t>metric_package power (watts)</t>
  </si>
  <si>
    <t>topdown_Info_CoreIPC</t>
  </si>
  <si>
    <t>mem_channels</t>
  </si>
  <si>
    <t>entries</t>
  </si>
  <si>
    <t>avg.interval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</si>
</sst>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stat_frq'!$E$5</c:f>
              <c:strCache>
                <c:ptCount val="1"/>
                <c:pt idx="0">
                  <c:v>cpu-clock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F77B4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stat_frq'!$E$6:$E$16</c:f>
              <c:numCache>
                <c:formatCode>General</c:formatCode>
                <c:ptCount val="11"/>
                <c:pt idx="0">
                  <c:v>48377.61</c:v>
                </c:pt>
                <c:pt idx="1">
                  <c:v>48295.44</c:v>
                </c:pt>
                <c:pt idx="2">
                  <c:v>48281.8</c:v>
                </c:pt>
                <c:pt idx="3">
                  <c:v>48282.71</c:v>
                </c:pt>
                <c:pt idx="4">
                  <c:v>48280.04</c:v>
                </c:pt>
                <c:pt idx="5">
                  <c:v>48232.92</c:v>
                </c:pt>
                <c:pt idx="6">
                  <c:v>48272.29</c:v>
                </c:pt>
                <c:pt idx="7">
                  <c:v>48277.5</c:v>
                </c:pt>
                <c:pt idx="8">
                  <c:v>48279.17</c:v>
                </c:pt>
                <c:pt idx="9">
                  <c:v>48275.91</c:v>
                </c:pt>
                <c:pt idx="10">
                  <c:v>11001.61</c:v>
                </c:pt>
              </c:numCache>
            </c:numRef>
          </c:val>
        </c:ser>
        <c:ser>
          <c:idx val="1"/>
          <c:order val="1"/>
          <c:tx>
            <c:strRef>
              <c:f>'perf stat_frq'!$F$5</c:f>
              <c:strCache>
                <c:ptCount val="1"/>
                <c:pt idx="0">
                  <c:v>instructions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stat_frq'!$F$6:$F$16</c:f>
              <c:numCache>
                <c:formatCode>General</c:formatCode>
                <c:ptCount val="11"/>
                <c:pt idx="0">
                  <c:v>8783395782</c:v>
                </c:pt>
                <c:pt idx="1">
                  <c:v>10754379337</c:v>
                </c:pt>
                <c:pt idx="2">
                  <c:v>10760188438</c:v>
                </c:pt>
                <c:pt idx="3">
                  <c:v>10754118705</c:v>
                </c:pt>
                <c:pt idx="4">
                  <c:v>10751336017</c:v>
                </c:pt>
                <c:pt idx="5">
                  <c:v>10734999415</c:v>
                </c:pt>
                <c:pt idx="6">
                  <c:v>10749817719</c:v>
                </c:pt>
                <c:pt idx="7">
                  <c:v>10752116177</c:v>
                </c:pt>
                <c:pt idx="8">
                  <c:v>10748107999</c:v>
                </c:pt>
                <c:pt idx="9">
                  <c:v>10746966000</c:v>
                </c:pt>
                <c:pt idx="10">
                  <c:v>2276856419</c:v>
                </c:pt>
              </c:numCache>
            </c:numRef>
          </c:val>
        </c:ser>
        <c:ser>
          <c:idx val="2"/>
          <c:order val="2"/>
          <c:tx>
            <c:strRef>
              <c:f>'perf stat_frq'!$G$5</c:f>
              <c:strCache>
                <c:ptCount val="1"/>
                <c:pt idx="0">
                  <c:v>msr/aperf/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stat_frq'!$G$6:$G$16</c:f>
              <c:numCache>
                <c:formatCode>General</c:formatCode>
                <c:ptCount val="11"/>
                <c:pt idx="0">
                  <c:v>104966241276</c:v>
                </c:pt>
                <c:pt idx="1">
                  <c:v>130396631944</c:v>
                </c:pt>
                <c:pt idx="2">
                  <c:v>130359804921</c:v>
                </c:pt>
                <c:pt idx="3">
                  <c:v>130362320094</c:v>
                </c:pt>
                <c:pt idx="4">
                  <c:v>130355104993</c:v>
                </c:pt>
                <c:pt idx="5">
                  <c:v>130227850267</c:v>
                </c:pt>
                <c:pt idx="6">
                  <c:v>130334171701</c:v>
                </c:pt>
                <c:pt idx="7">
                  <c:v>130348273603</c:v>
                </c:pt>
                <c:pt idx="8">
                  <c:v>130352727647</c:v>
                </c:pt>
                <c:pt idx="9">
                  <c:v>130343940456</c:v>
                </c:pt>
                <c:pt idx="10">
                  <c:v>26183529897</c:v>
                </c:pt>
              </c:numCache>
            </c:numRef>
          </c:val>
        </c:ser>
        <c:ser>
          <c:idx val="3"/>
          <c:order val="3"/>
          <c:tx>
            <c:strRef>
              <c:f>'perf stat_frq'!$H$5</c:f>
              <c:strCache>
                <c:ptCount val="1"/>
                <c:pt idx="0">
                  <c:v>msr/mperf/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stat_frq'!$H$6:$H$16</c:f>
              <c:numCache>
                <c:formatCode>General</c:formatCode>
                <c:ptCount val="11"/>
                <c:pt idx="0">
                  <c:v>85747362716</c:v>
                </c:pt>
                <c:pt idx="1">
                  <c:v>106249103386</c:v>
                </c:pt>
                <c:pt idx="2">
                  <c:v>106219093312</c:v>
                </c:pt>
                <c:pt idx="3">
                  <c:v>106221162696</c:v>
                </c:pt>
                <c:pt idx="4">
                  <c:v>106215259885</c:v>
                </c:pt>
                <c:pt idx="5">
                  <c:v>106111576370</c:v>
                </c:pt>
                <c:pt idx="6">
                  <c:v>106198223469</c:v>
                </c:pt>
                <c:pt idx="7">
                  <c:v>106209718254</c:v>
                </c:pt>
                <c:pt idx="8">
                  <c:v>106213321578</c:v>
                </c:pt>
                <c:pt idx="9">
                  <c:v>106206169145</c:v>
                </c:pt>
                <c:pt idx="10">
                  <c:v>21338956175</c:v>
                </c:pt>
              </c:numCache>
            </c:numRef>
          </c:val>
        </c:ser>
        <c:ser>
          <c:idx val="4"/>
          <c:order val="4"/>
          <c:tx>
            <c:strRef>
              <c:f>'perf stat_frq'!$I$5</c:f>
              <c:strCache>
                <c:ptCount val="1"/>
                <c:pt idx="0">
                  <c:v>idq_uops_not_delivered.core</c:v>
                </c:pt>
              </c:strCache>
            </c:strRef>
          </c:tx>
          <c:spPr>
            <a:ln>
              <a:solidFill>
                <a:srgbClr val="2CA02C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2CA02C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stat_frq'!$I$6:$I$16</c:f>
              <c:numCache>
                <c:formatCode>General</c:formatCode>
                <c:ptCount val="11"/>
                <c:pt idx="0">
                  <c:v>3425272765</c:v>
                </c:pt>
                <c:pt idx="1">
                  <c:v>3378848859</c:v>
                </c:pt>
                <c:pt idx="2">
                  <c:v>3317995339</c:v>
                </c:pt>
                <c:pt idx="3">
                  <c:v>3310671831</c:v>
                </c:pt>
                <c:pt idx="4">
                  <c:v>3369770392</c:v>
                </c:pt>
                <c:pt idx="5">
                  <c:v>3378271493</c:v>
                </c:pt>
                <c:pt idx="6">
                  <c:v>3341448251</c:v>
                </c:pt>
                <c:pt idx="7">
                  <c:v>3394893373</c:v>
                </c:pt>
                <c:pt idx="8">
                  <c:v>3383041763</c:v>
                </c:pt>
                <c:pt idx="9">
                  <c:v>3391621563</c:v>
                </c:pt>
                <c:pt idx="10">
                  <c:v>765911654</c:v>
                </c:pt>
              </c:numCache>
            </c:numRef>
          </c:val>
        </c:ser>
        <c:ser>
          <c:idx val="5"/>
          <c:order val="5"/>
          <c:tx>
            <c:strRef>
              <c:f>'perf stat_frq'!$J$5</c:f>
              <c:strCache>
                <c:ptCount val="1"/>
                <c:pt idx="0">
                  <c:v>uops_retired.retire_slots</c:v>
                </c:pt>
              </c:strCache>
            </c:strRef>
          </c:tx>
          <c:spPr>
            <a:ln>
              <a:solidFill>
                <a:srgbClr val="98DF8A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8DF8A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stat_frq'!$J$6:$J$16</c:f>
              <c:numCache>
                <c:formatCode>General</c:formatCode>
                <c:ptCount val="11"/>
                <c:pt idx="0">
                  <c:v>7643437422</c:v>
                </c:pt>
                <c:pt idx="1">
                  <c:v>8702471981</c:v>
                </c:pt>
                <c:pt idx="2">
                  <c:v>8705121360</c:v>
                </c:pt>
                <c:pt idx="3">
                  <c:v>8700926567</c:v>
                </c:pt>
                <c:pt idx="4">
                  <c:v>8700325736</c:v>
                </c:pt>
                <c:pt idx="5">
                  <c:v>8686710372</c:v>
                </c:pt>
                <c:pt idx="6">
                  <c:v>8698099164</c:v>
                </c:pt>
                <c:pt idx="7">
                  <c:v>8700643606</c:v>
                </c:pt>
                <c:pt idx="8">
                  <c:v>8697599457</c:v>
                </c:pt>
                <c:pt idx="9">
                  <c:v>8696904167</c:v>
                </c:pt>
                <c:pt idx="10">
                  <c:v>1857094590</c:v>
                </c:pt>
              </c:numCache>
            </c:numRef>
          </c:val>
        </c:ser>
        <c:ser>
          <c:idx val="6"/>
          <c:order val="6"/>
          <c:tx>
            <c:strRef>
              <c:f>'perf stat_frq'!$K$5</c:f>
              <c:strCache>
                <c:ptCount val="1"/>
                <c:pt idx="0">
                  <c:v>cpu_clk_unhalted.thread_any</c:v>
                </c:pt>
              </c:strCache>
            </c:strRef>
          </c:tx>
          <c:spPr>
            <a:ln>
              <a:solidFill>
                <a:srgbClr val="D6272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6272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stat_frq'!$K$6:$K$16</c:f>
              <c:numCache>
                <c:formatCode>General</c:formatCode>
                <c:ptCount val="11"/>
                <c:pt idx="0">
                  <c:v>108988752949</c:v>
                </c:pt>
                <c:pt idx="1">
                  <c:v>130396663310</c:v>
                </c:pt>
                <c:pt idx="2">
                  <c:v>130359796358</c:v>
                </c:pt>
                <c:pt idx="3">
                  <c:v>130362340561</c:v>
                </c:pt>
                <c:pt idx="4">
                  <c:v>130355072217</c:v>
                </c:pt>
                <c:pt idx="5">
                  <c:v>130227829872</c:v>
                </c:pt>
                <c:pt idx="6">
                  <c:v>130334172143</c:v>
                </c:pt>
                <c:pt idx="7">
                  <c:v>130348301387</c:v>
                </c:pt>
                <c:pt idx="8">
                  <c:v>130352704789</c:v>
                </c:pt>
                <c:pt idx="9">
                  <c:v>130343928973</c:v>
                </c:pt>
                <c:pt idx="10">
                  <c:v>26620050095</c:v>
                </c:pt>
              </c:numCache>
            </c:numRef>
          </c:val>
        </c:ser>
        <c:ser>
          <c:idx val="7"/>
          <c:order val="7"/>
          <c:tx>
            <c:strRef>
              <c:f>'perf stat_frq'!$L$5</c:f>
              <c:strCache>
                <c:ptCount val="1"/>
                <c:pt idx="0">
                  <c:v>power/energy-pkg/</c:v>
                </c:pt>
              </c:strCache>
            </c:strRef>
          </c:tx>
          <c:spPr>
            <a:ln>
              <a:solidFill>
                <a:srgbClr val="FF9896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9896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stat_frq'!$L$6:$L$16</c:f>
              <c:numCache>
                <c:formatCode>General</c:formatCode>
                <c:ptCount val="11"/>
                <c:pt idx="0">
                  <c:v>140.56</c:v>
                </c:pt>
                <c:pt idx="1">
                  <c:v>149.71</c:v>
                </c:pt>
                <c:pt idx="2">
                  <c:v>149.67</c:v>
                </c:pt>
                <c:pt idx="3">
                  <c:v>149.62</c:v>
                </c:pt>
                <c:pt idx="4">
                  <c:v>149.72</c:v>
                </c:pt>
                <c:pt idx="5">
                  <c:v>149.53</c:v>
                </c:pt>
                <c:pt idx="6">
                  <c:v>149.9</c:v>
                </c:pt>
                <c:pt idx="7">
                  <c:v>149.98</c:v>
                </c:pt>
                <c:pt idx="8">
                  <c:v>149.98</c:v>
                </c:pt>
                <c:pt idx="9">
                  <c:v>150.03</c:v>
                </c:pt>
                <c:pt idx="10">
                  <c:v>32.97</c:v>
                </c:pt>
              </c:numCache>
            </c:numRef>
          </c:val>
        </c:ser>
        <c:ser>
          <c:idx val="8"/>
          <c:order val="8"/>
          <c:tx>
            <c:strRef>
              <c:f>'perf stat_frq'!$M$5</c:f>
              <c:strCache>
                <c:ptCount val="1"/>
                <c:pt idx="0">
                  <c:v>offcore_requests_outstanding.l3_miss_demand_data_rd</c:v>
                </c:pt>
              </c:strCache>
            </c:strRef>
          </c:tx>
          <c:spPr>
            <a:ln>
              <a:solidFill>
                <a:srgbClr val="9467B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467BD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stat_frq'!$M$6:$M$16</c:f>
              <c:numCache>
                <c:formatCode>General</c:formatCode>
                <c:ptCount val="11"/>
                <c:pt idx="0">
                  <c:v>103908531378</c:v>
                </c:pt>
                <c:pt idx="1">
                  <c:v>137442937479</c:v>
                </c:pt>
                <c:pt idx="2">
                  <c:v>138471434331</c:v>
                </c:pt>
                <c:pt idx="3">
                  <c:v>138487930059</c:v>
                </c:pt>
                <c:pt idx="4">
                  <c:v>138036012430</c:v>
                </c:pt>
                <c:pt idx="5">
                  <c:v>137574797331</c:v>
                </c:pt>
                <c:pt idx="6">
                  <c:v>137905276347</c:v>
                </c:pt>
                <c:pt idx="7">
                  <c:v>137788766676</c:v>
                </c:pt>
                <c:pt idx="8">
                  <c:v>137726735120</c:v>
                </c:pt>
                <c:pt idx="9">
                  <c:v>137560046169</c:v>
                </c:pt>
                <c:pt idx="10">
                  <c:v>27743482082</c:v>
                </c:pt>
              </c:numCache>
            </c:numRef>
          </c:val>
        </c:ser>
        <c:ser>
          <c:idx val="9"/>
          <c:order val="9"/>
          <c:tx>
            <c:strRef>
              <c:f>'perf stat_frq'!$N$5</c:f>
              <c:strCache>
                <c:ptCount val="1"/>
                <c:pt idx="0">
                  <c:v>offcore_requests.l3_miss_demand_data_rd</c:v>
                </c:pt>
              </c:strCache>
            </c:strRef>
          </c:tx>
          <c:spPr>
            <a:ln>
              <a:solidFill>
                <a:srgbClr val="C5B0D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5B0D5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stat_frq'!$N$6:$N$16</c:f>
              <c:numCache>
                <c:formatCode>General</c:formatCode>
                <c:ptCount val="11"/>
                <c:pt idx="0">
                  <c:v>479421368</c:v>
                </c:pt>
                <c:pt idx="1">
                  <c:v>634837230</c:v>
                </c:pt>
                <c:pt idx="2">
                  <c:v>640881390</c:v>
                </c:pt>
                <c:pt idx="3">
                  <c:v>641205410</c:v>
                </c:pt>
                <c:pt idx="4">
                  <c:v>638368444</c:v>
                </c:pt>
                <c:pt idx="5">
                  <c:v>635820506</c:v>
                </c:pt>
                <c:pt idx="6">
                  <c:v>637670766</c:v>
                </c:pt>
                <c:pt idx="7">
                  <c:v>637068870</c:v>
                </c:pt>
                <c:pt idx="8">
                  <c:v>636559663</c:v>
                </c:pt>
                <c:pt idx="9">
                  <c:v>635625046</c:v>
                </c:pt>
                <c:pt idx="10">
                  <c:v>130880374</c:v>
                </c:pt>
              </c:numCache>
            </c:numRef>
          </c:val>
        </c:ser>
        <c:ser>
          <c:idx val="10"/>
          <c:order val="10"/>
          <c:tx>
            <c:strRef>
              <c:f>'perf stat_frq'!$O$5</c:f>
              <c:strCache>
                <c:ptCount val="1"/>
                <c:pt idx="0">
                  <c:v>unc0_read_write</c:v>
                </c:pt>
              </c:strCache>
            </c:strRef>
          </c:tx>
          <c:spPr>
            <a:ln>
              <a:solidFill>
                <a:srgbClr val="8C564B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8C564B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stat_frq'!$O$6:$O$16</c:f>
              <c:numCache>
                <c:formatCode>General</c:formatCode>
                <c:ptCount val="11"/>
                <c:pt idx="0">
                  <c:v>446915504</c:v>
                </c:pt>
                <c:pt idx="1">
                  <c:v>536494159</c:v>
                </c:pt>
                <c:pt idx="2">
                  <c:v>536793362</c:v>
                </c:pt>
                <c:pt idx="3">
                  <c:v>536438191</c:v>
                </c:pt>
                <c:pt idx="4">
                  <c:v>536288797</c:v>
                </c:pt>
                <c:pt idx="5">
                  <c:v>535513287</c:v>
                </c:pt>
                <c:pt idx="6">
                  <c:v>536205827</c:v>
                </c:pt>
                <c:pt idx="7">
                  <c:v>536349038</c:v>
                </c:pt>
                <c:pt idx="8">
                  <c:v>536134533</c:v>
                </c:pt>
                <c:pt idx="9">
                  <c:v>536093489</c:v>
                </c:pt>
                <c:pt idx="10">
                  <c:v>112621670</c:v>
                </c:pt>
              </c:numCache>
            </c:numRef>
          </c:val>
        </c:ser>
        <c:ser>
          <c:idx val="11"/>
          <c:order val="11"/>
          <c:tx>
            <c:strRef>
              <c:f>'perf stat_frq'!$P$5</c:f>
              <c:strCache>
                <c:ptCount val="1"/>
                <c:pt idx="0">
                  <c:v>unc1_read_write</c:v>
                </c:pt>
              </c:strCache>
            </c:strRef>
          </c:tx>
          <c:spPr>
            <a:ln>
              <a:solidFill>
                <a:srgbClr val="C49C9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49C94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stat_frq'!$P$6:$P$16</c:f>
              <c:numCache>
                <c:formatCode>General</c:formatCode>
                <c:ptCount val="11"/>
                <c:pt idx="0">
                  <c:v>442657586</c:v>
                </c:pt>
                <c:pt idx="1">
                  <c:v>536690134</c:v>
                </c:pt>
                <c:pt idx="2">
                  <c:v>536986158</c:v>
                </c:pt>
                <c:pt idx="3">
                  <c:v>536632213</c:v>
                </c:pt>
                <c:pt idx="4">
                  <c:v>536491759</c:v>
                </c:pt>
                <c:pt idx="5">
                  <c:v>535712780</c:v>
                </c:pt>
                <c:pt idx="6">
                  <c:v>536406229</c:v>
                </c:pt>
                <c:pt idx="7">
                  <c:v>536557208</c:v>
                </c:pt>
                <c:pt idx="8">
                  <c:v>536332429</c:v>
                </c:pt>
                <c:pt idx="9">
                  <c:v>536292693</c:v>
                </c:pt>
                <c:pt idx="10">
                  <c:v>112601898</c:v>
                </c:pt>
              </c:numCache>
            </c:numRef>
          </c:val>
        </c:ser>
        <c:ser>
          <c:idx val="12"/>
          <c:order val="12"/>
          <c:tx>
            <c:strRef>
              <c:f>'perf stat_frq'!$Q$5</c:f>
              <c:strCache>
                <c:ptCount val="1"/>
                <c:pt idx="0">
                  <c:v>unc2_read_write</c:v>
                </c:pt>
              </c:strCache>
            </c:strRef>
          </c:tx>
          <c:spPr>
            <a:ln>
              <a:solidFill>
                <a:srgbClr val="E377C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E377C2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stat_frq'!$Q$6:$Q$16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'perf stat_frq'!$R$5</c:f>
              <c:strCache>
                <c:ptCount val="1"/>
                <c:pt idx="0">
                  <c:v>unc3_read_write</c:v>
                </c:pt>
              </c:strCache>
            </c:strRef>
          </c:tx>
          <c:spPr>
            <a:ln>
              <a:solidFill>
                <a:srgbClr val="F7B6D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7B6D2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stat_frq'!$R$6:$R$16</c:f>
              <c:numCache>
                <c:formatCode>General</c:formatCode>
                <c:ptCount val="11"/>
                <c:pt idx="0">
                  <c:v>442596940</c:v>
                </c:pt>
                <c:pt idx="1">
                  <c:v>536595421</c:v>
                </c:pt>
                <c:pt idx="2">
                  <c:v>536891935</c:v>
                </c:pt>
                <c:pt idx="3">
                  <c:v>536537494</c:v>
                </c:pt>
                <c:pt idx="4">
                  <c:v>536382735</c:v>
                </c:pt>
                <c:pt idx="5">
                  <c:v>535627367</c:v>
                </c:pt>
                <c:pt idx="6">
                  <c:v>536315939</c:v>
                </c:pt>
                <c:pt idx="7">
                  <c:v>536450404</c:v>
                </c:pt>
                <c:pt idx="8">
                  <c:v>536245511</c:v>
                </c:pt>
                <c:pt idx="9">
                  <c:v>536205524</c:v>
                </c:pt>
                <c:pt idx="10">
                  <c:v>112595561</c:v>
                </c:pt>
              </c:numCache>
            </c:numRef>
          </c:val>
        </c:ser>
        <c:ser>
          <c:idx val="14"/>
          <c:order val="14"/>
          <c:tx>
            <c:strRef>
              <c:f>'perf stat_frq'!$S$5</c:f>
              <c:strCache>
                <c:ptCount val="1"/>
                <c:pt idx="0">
                  <c:v>unc4_read_write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7F7F7F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stat_frq'!$S$6:$S$16</c:f>
              <c:numCache>
                <c:formatCode>General</c:formatCode>
                <c:ptCount val="11"/>
                <c:pt idx="0">
                  <c:v>442652187</c:v>
                </c:pt>
                <c:pt idx="1">
                  <c:v>536716793</c:v>
                </c:pt>
                <c:pt idx="2">
                  <c:v>537011948</c:v>
                </c:pt>
                <c:pt idx="3">
                  <c:v>536653255</c:v>
                </c:pt>
                <c:pt idx="4">
                  <c:v>536498958</c:v>
                </c:pt>
                <c:pt idx="5">
                  <c:v>535722226</c:v>
                </c:pt>
                <c:pt idx="6">
                  <c:v>536415090</c:v>
                </c:pt>
                <c:pt idx="7">
                  <c:v>536555191</c:v>
                </c:pt>
                <c:pt idx="8">
                  <c:v>536340779</c:v>
                </c:pt>
                <c:pt idx="9">
                  <c:v>536298323</c:v>
                </c:pt>
                <c:pt idx="10">
                  <c:v>112599598</c:v>
                </c:pt>
              </c:numCache>
            </c:numRef>
          </c:val>
        </c:ser>
        <c:ser>
          <c:idx val="15"/>
          <c:order val="15"/>
          <c:tx>
            <c:strRef>
              <c:f>'perf stat_frq'!$T$5</c:f>
              <c:strCache>
                <c:ptCount val="1"/>
                <c:pt idx="0">
                  <c:v>unc5_read_write</c:v>
                </c:pt>
              </c:strCache>
            </c:strRef>
          </c:tx>
          <c:spPr>
            <a:ln>
              <a:solidFill>
                <a:srgbClr val="C7C7C7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7C7C7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stat_frq'!$T$6:$T$16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'perf stat_frq'!$U$5</c:f>
              <c:strCache>
                <c:ptCount val="1"/>
                <c:pt idx="0">
                  <c:v>qpi_data_bandwidth_tx0</c:v>
                </c:pt>
              </c:strCache>
            </c:strRef>
          </c:tx>
          <c:spPr>
            <a:ln>
              <a:solidFill>
                <a:srgbClr val="BCBD2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BCBD22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stat_frq'!$U$6:$U$16</c:f>
              <c:numCache>
                <c:formatCode>General</c:formatCode>
                <c:ptCount val="11"/>
                <c:pt idx="0">
                  <c:v>7754688</c:v>
                </c:pt>
                <c:pt idx="1">
                  <c:v>6660963</c:v>
                </c:pt>
                <c:pt idx="2">
                  <c:v>6760773</c:v>
                </c:pt>
                <c:pt idx="3">
                  <c:v>6619041</c:v>
                </c:pt>
                <c:pt idx="4">
                  <c:v>6636096</c:v>
                </c:pt>
                <c:pt idx="5">
                  <c:v>6641532</c:v>
                </c:pt>
                <c:pt idx="6">
                  <c:v>6627564</c:v>
                </c:pt>
                <c:pt idx="7">
                  <c:v>6778503</c:v>
                </c:pt>
                <c:pt idx="8">
                  <c:v>6617673</c:v>
                </c:pt>
                <c:pt idx="9">
                  <c:v>6595794</c:v>
                </c:pt>
                <c:pt idx="10">
                  <c:v>7325460</c:v>
                </c:pt>
              </c:numCache>
            </c:numRef>
          </c:val>
        </c:ser>
        <c:ser>
          <c:idx val="17"/>
          <c:order val="17"/>
          <c:tx>
            <c:strRef>
              <c:f>'perf stat_frq'!$V$5</c:f>
              <c:strCache>
                <c:ptCount val="1"/>
                <c:pt idx="0">
                  <c:v>qpi_data_bandwidth_tx1</c:v>
                </c:pt>
              </c:strCache>
            </c:strRef>
          </c:tx>
          <c:spPr>
            <a:ln>
              <a:solidFill>
                <a:srgbClr val="DBDB8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BDB8D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stat_frq'!$V$6:$V$16</c:f>
              <c:numCache>
                <c:formatCode>General</c:formatCode>
                <c:ptCount val="11"/>
                <c:pt idx="0">
                  <c:v>7827825</c:v>
                </c:pt>
                <c:pt idx="1">
                  <c:v>6711471</c:v>
                </c:pt>
                <c:pt idx="2">
                  <c:v>6769674</c:v>
                </c:pt>
                <c:pt idx="3">
                  <c:v>6622704</c:v>
                </c:pt>
                <c:pt idx="4">
                  <c:v>6640911</c:v>
                </c:pt>
                <c:pt idx="5">
                  <c:v>6696945</c:v>
                </c:pt>
                <c:pt idx="6">
                  <c:v>6675822</c:v>
                </c:pt>
                <c:pt idx="7">
                  <c:v>6779601</c:v>
                </c:pt>
                <c:pt idx="8">
                  <c:v>6626214</c:v>
                </c:pt>
                <c:pt idx="9">
                  <c:v>6642504</c:v>
                </c:pt>
                <c:pt idx="10">
                  <c:v>7382907</c:v>
                </c:pt>
              </c:numCache>
            </c:numRef>
          </c:val>
        </c:ser>
        <c:ser>
          <c:idx val="18"/>
          <c:order val="18"/>
          <c:tx>
            <c:strRef>
              <c:f>'perf stat_frq'!$W$5</c:f>
              <c:strCache>
                <c:ptCount val="1"/>
                <c:pt idx="0">
                  <c:v>UNC_CHA_TOR_INSERTS.IA.0x40433</c:v>
                </c:pt>
              </c:strCache>
            </c:strRef>
          </c:tx>
          <c:spPr>
            <a:ln>
              <a:solidFill>
                <a:srgbClr val="17BEC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7BECF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stat_frq'!$W$6:$W$16</c:f>
              <c:numCache>
                <c:formatCode>General</c:formatCode>
                <c:ptCount val="11"/>
                <c:pt idx="0">
                  <c:v>138987101</c:v>
                </c:pt>
                <c:pt idx="1">
                  <c:v>184343012</c:v>
                </c:pt>
                <c:pt idx="2">
                  <c:v>184447154</c:v>
                </c:pt>
                <c:pt idx="3">
                  <c:v>184327296</c:v>
                </c:pt>
                <c:pt idx="4">
                  <c:v>184272216</c:v>
                </c:pt>
                <c:pt idx="5">
                  <c:v>184005953</c:v>
                </c:pt>
                <c:pt idx="6">
                  <c:v>184246024</c:v>
                </c:pt>
                <c:pt idx="7">
                  <c:v>184296979</c:v>
                </c:pt>
                <c:pt idx="8">
                  <c:v>184219667</c:v>
                </c:pt>
                <c:pt idx="9">
                  <c:v>184210234</c:v>
                </c:pt>
                <c:pt idx="10">
                  <c:v>38478235</c:v>
                </c:pt>
              </c:numCache>
            </c:numRef>
          </c:val>
        </c:ser>
        <c:ser>
          <c:idx val="19"/>
          <c:order val="19"/>
          <c:tx>
            <c:strRef>
              <c:f>'perf stat_frq'!$X$5</c:f>
              <c:strCache>
                <c:ptCount val="1"/>
                <c:pt idx="0">
                  <c:v>UNC_CHA_TOR_INSERTS.IA_MISS.0x40433</c:v>
                </c:pt>
              </c:strCache>
            </c:strRef>
          </c:tx>
          <c:spPr>
            <a:ln>
              <a:solidFill>
                <a:srgbClr val="9EDAE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EDAE5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stat_frq'!$X$6:$X$16</c:f>
              <c:numCache>
                <c:formatCode>General</c:formatCode>
                <c:ptCount val="11"/>
                <c:pt idx="0">
                  <c:v>138883118</c:v>
                </c:pt>
                <c:pt idx="1">
                  <c:v>184282304</c:v>
                </c:pt>
                <c:pt idx="2">
                  <c:v>184387323</c:v>
                </c:pt>
                <c:pt idx="3">
                  <c:v>184267885</c:v>
                </c:pt>
                <c:pt idx="4">
                  <c:v>184213723</c:v>
                </c:pt>
                <c:pt idx="5">
                  <c:v>183947226</c:v>
                </c:pt>
                <c:pt idx="6">
                  <c:v>184185748</c:v>
                </c:pt>
                <c:pt idx="7">
                  <c:v>184237931</c:v>
                </c:pt>
                <c:pt idx="8">
                  <c:v>184160160</c:v>
                </c:pt>
                <c:pt idx="9">
                  <c:v>184149913</c:v>
                </c:pt>
                <c:pt idx="10">
                  <c:v>38449790</c:v>
                </c:pt>
              </c:numCache>
            </c:numRef>
          </c:val>
        </c:ser>
        <c:ser>
          <c:idx val="20"/>
          <c:order val="20"/>
          <c:tx>
            <c:strRef>
              <c:f>'perf stat_frq'!$Y$5</c:f>
              <c:strCache>
                <c:ptCount val="1"/>
                <c:pt idx="0">
                  <c:v>UNC_CHA_TOR_OCCUPANCY.IA_MISS.0x40433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F77B4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stat_frq'!$Y$6:$Y$16</c:f>
              <c:numCache>
                <c:formatCode>General</c:formatCode>
                <c:ptCount val="11"/>
                <c:pt idx="0">
                  <c:v>60976192131</c:v>
                </c:pt>
                <c:pt idx="1">
                  <c:v>80848210830</c:v>
                </c:pt>
                <c:pt idx="2">
                  <c:v>80911377251</c:v>
                </c:pt>
                <c:pt idx="3">
                  <c:v>80927269363</c:v>
                </c:pt>
                <c:pt idx="4">
                  <c:v>80880432597</c:v>
                </c:pt>
                <c:pt idx="5">
                  <c:v>80790914948</c:v>
                </c:pt>
                <c:pt idx="6">
                  <c:v>80850915828</c:v>
                </c:pt>
                <c:pt idx="7">
                  <c:v>80855927094</c:v>
                </c:pt>
                <c:pt idx="8">
                  <c:v>80842718211</c:v>
                </c:pt>
                <c:pt idx="9">
                  <c:v>80837271470</c:v>
                </c:pt>
                <c:pt idx="10">
                  <c:v>16652384091</c:v>
                </c:pt>
              </c:numCache>
            </c:numRef>
          </c:val>
        </c:ser>
        <c:ser>
          <c:idx val="21"/>
          <c:order val="21"/>
          <c:tx>
            <c:strRef>
              <c:f>'perf stat_frq'!$Z$5</c:f>
              <c:strCache>
                <c:ptCount val="1"/>
                <c:pt idx="0">
                  <c:v>UNC_CHA_CLOCKTICKS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stat_frq'!$Z$6:$Z$16</c:f>
              <c:numCache>
                <c:formatCode>General</c:formatCode>
                <c:ptCount val="11"/>
                <c:pt idx="0">
                  <c:v>4848979032</c:v>
                </c:pt>
                <c:pt idx="1">
                  <c:v>4830014962</c:v>
                </c:pt>
                <c:pt idx="2">
                  <c:v>4828246048</c:v>
                </c:pt>
                <c:pt idx="3">
                  <c:v>4828216008</c:v>
                </c:pt>
                <c:pt idx="4">
                  <c:v>4827955392</c:v>
                </c:pt>
                <c:pt idx="5">
                  <c:v>4823401682</c:v>
                </c:pt>
                <c:pt idx="6">
                  <c:v>4827268346</c:v>
                </c:pt>
                <c:pt idx="7">
                  <c:v>4827639570</c:v>
                </c:pt>
                <c:pt idx="8">
                  <c:v>4827824242</c:v>
                </c:pt>
                <c:pt idx="9">
                  <c:v>4827651442</c:v>
                </c:pt>
                <c:pt idx="10">
                  <c:v>1103960110</c:v>
                </c:pt>
              </c:numCache>
            </c:numRef>
          </c:val>
        </c:ser>
        <c:ser>
          <c:idx val="22"/>
          <c:order val="22"/>
          <c:tx>
            <c:strRef>
              <c:f>'perf stat_frq'!$AA$5</c:f>
              <c:strCache>
                <c:ptCount val="1"/>
                <c:pt idx="0">
                  <c:v>%not_halted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stat_frq'!$AA$6:$AA$16</c:f>
              <c:numCache>
                <c:formatCode>General</c:formatCode>
                <c:ptCount val="11"/>
                <c:pt idx="0">
                  <c:v>79.8627</c:v>
                </c:pt>
                <c:pt idx="1">
                  <c:v>99.9845</c:v>
                </c:pt>
                <c:pt idx="2">
                  <c:v>99.9952</c:v>
                </c:pt>
                <c:pt idx="3">
                  <c:v>99.9997</c:v>
                </c:pt>
                <c:pt idx="4">
                  <c:v>99.9984</c:v>
                </c:pt>
                <c:pt idx="5">
                  <c:v>99.9939</c:v>
                </c:pt>
                <c:pt idx="6">
                  <c:v>99.99679999999999</c:v>
                </c:pt>
                <c:pt idx="7">
                  <c:v>100.006</c:v>
                </c:pt>
                <c:pt idx="8">
                  <c:v>100.002</c:v>
                </c:pt>
                <c:pt idx="9">
                  <c:v>99.99939999999999</c:v>
                </c:pt>
                <c:pt idx="10">
                  <c:v>87.6052</c:v>
                </c:pt>
              </c:numCache>
            </c:numRef>
          </c:val>
        </c:ser>
        <c:ser>
          <c:idx val="23"/>
          <c:order val="23"/>
          <c:tx>
            <c:strRef>
              <c:f>'perf stat_frq'!$AB$5</c:f>
              <c:strCache>
                <c:ptCount val="1"/>
                <c:pt idx="0">
                  <c:v>%both_HT_threads_active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stat_frq'!$AB$6:$AB$16</c:f>
              <c:numCache>
                <c:formatCode>General</c:formatCode>
                <c:ptCount val="11"/>
                <c:pt idx="0">
                  <c:v>92.6185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96.7204</c:v>
                </c:pt>
              </c:numCache>
            </c:numRef>
          </c:val>
        </c:ser>
        <c:ser>
          <c:idx val="24"/>
          <c:order val="24"/>
          <c:tx>
            <c:strRef>
              <c:f>'perf stat_frq'!$AC$5</c:f>
              <c:strCache>
                <c:ptCount val="1"/>
                <c:pt idx="0">
                  <c:v>uncore_freq (GHz)</c:v>
                </c:pt>
              </c:strCache>
            </c:strRef>
          </c:tx>
          <c:spPr>
            <a:ln>
              <a:solidFill>
                <a:srgbClr val="2CA02C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2CA02C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stat_frq'!$AC$6:$AC$16</c:f>
              <c:numCache>
                <c:formatCode>General</c:formatCode>
                <c:ptCount val="11"/>
                <c:pt idx="0">
                  <c:v>2.38456</c:v>
                </c:pt>
                <c:pt idx="1">
                  <c:v>2.39988</c:v>
                </c:pt>
                <c:pt idx="2">
                  <c:v>2.39994</c:v>
                </c:pt>
                <c:pt idx="3">
                  <c:v>2.39998</c:v>
                </c:pt>
                <c:pt idx="4">
                  <c:v>2.39996</c:v>
                </c:pt>
                <c:pt idx="5">
                  <c:v>2.39993</c:v>
                </c:pt>
                <c:pt idx="6">
                  <c:v>2.39996</c:v>
                </c:pt>
                <c:pt idx="7">
                  <c:v>2.40011</c:v>
                </c:pt>
                <c:pt idx="8">
                  <c:v>2.40003</c:v>
                </c:pt>
                <c:pt idx="9">
                  <c:v>2.40003</c:v>
                </c:pt>
                <c:pt idx="10">
                  <c:v>2.39301</c:v>
                </c:pt>
              </c:numCache>
            </c:numRef>
          </c:val>
        </c:ser>
        <c:ser>
          <c:idx val="25"/>
          <c:order val="25"/>
          <c:tx>
            <c:strRef>
              <c:f>'perf stat_frq'!$AD$5</c:f>
              <c:strCache>
                <c:ptCount val="1"/>
                <c:pt idx="0">
                  <c:v>avg_freq (GHz)</c:v>
                </c:pt>
              </c:strCache>
            </c:strRef>
          </c:tx>
          <c:spPr>
            <a:ln>
              <a:solidFill>
                <a:srgbClr val="98DF8A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8DF8A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stat_frq'!$AD$6:$AD$16</c:f>
              <c:numCache>
                <c:formatCode>General</c:formatCode>
                <c:ptCount val="11"/>
                <c:pt idx="0">
                  <c:v>2.69309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2.69947</c:v>
                </c:pt>
              </c:numCache>
            </c:numRef>
          </c:val>
        </c:ser>
        <c:ser>
          <c:idx val="26"/>
          <c:order val="26"/>
          <c:tx>
            <c:strRef>
              <c:f>'perf stat_frq'!$AE$5</c:f>
              <c:strCache>
                <c:ptCount val="1"/>
                <c:pt idx="0">
                  <c:v>LLC-misses PKI</c:v>
                </c:pt>
              </c:strCache>
            </c:strRef>
          </c:tx>
          <c:spPr>
            <a:ln>
              <a:solidFill>
                <a:srgbClr val="D6272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6272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stat_frq'!$AE$6:$AE$16</c:f>
              <c:numCache>
                <c:formatCode>General</c:formatCode>
                <c:ptCount val="11"/>
                <c:pt idx="0">
                  <c:v>15.812</c:v>
                </c:pt>
                <c:pt idx="1">
                  <c:v>17.1356</c:v>
                </c:pt>
                <c:pt idx="2">
                  <c:v>17.1361</c:v>
                </c:pt>
                <c:pt idx="3">
                  <c:v>17.1346</c:v>
                </c:pt>
                <c:pt idx="4">
                  <c:v>17.134</c:v>
                </c:pt>
                <c:pt idx="5">
                  <c:v>17.1353</c:v>
                </c:pt>
                <c:pt idx="6">
                  <c:v>17.1338</c:v>
                </c:pt>
                <c:pt idx="7">
                  <c:v>17.135</c:v>
                </c:pt>
                <c:pt idx="8">
                  <c:v>17.1342</c:v>
                </c:pt>
                <c:pt idx="9">
                  <c:v>17.1351</c:v>
                </c:pt>
                <c:pt idx="10">
                  <c:v>16.8872</c:v>
                </c:pt>
              </c:numCache>
            </c:numRef>
          </c:val>
        </c:ser>
        <c:ser>
          <c:idx val="27"/>
          <c:order val="27"/>
          <c:tx>
            <c:strRef>
              <c:f>'perf stat_frq'!$AF$5</c:f>
              <c:strCache>
                <c:ptCount val="1"/>
                <c:pt idx="0">
                  <c:v>LLC-miss bw (GB/s)</c:v>
                </c:pt>
              </c:strCache>
            </c:strRef>
          </c:tx>
          <c:spPr>
            <a:ln>
              <a:solidFill>
                <a:srgbClr val="FF9896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9896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stat_frq'!$AF$6:$AF$16</c:f>
              <c:numCache>
                <c:formatCode>General</c:formatCode>
                <c:ptCount val="11"/>
                <c:pt idx="0">
                  <c:v>8.74212</c:v>
                </c:pt>
                <c:pt idx="1">
                  <c:v>11.7202</c:v>
                </c:pt>
                <c:pt idx="2">
                  <c:v>11.7314</c:v>
                </c:pt>
                <c:pt idx="3">
                  <c:v>11.7241</c:v>
                </c:pt>
                <c:pt idx="4">
                  <c:v>11.7212</c:v>
                </c:pt>
                <c:pt idx="5">
                  <c:v>11.7151</c:v>
                </c:pt>
                <c:pt idx="6">
                  <c:v>11.7211</c:v>
                </c:pt>
                <c:pt idx="7">
                  <c:v>11.7243</c:v>
                </c:pt>
                <c:pt idx="8">
                  <c:v>11.7185</c:v>
                </c:pt>
                <c:pt idx="9">
                  <c:v>11.7183</c:v>
                </c:pt>
                <c:pt idx="10">
                  <c:v>10.6683</c:v>
                </c:pt>
              </c:numCache>
            </c:numRef>
          </c:val>
        </c:ser>
        <c:ser>
          <c:idx val="28"/>
          <c:order val="28"/>
          <c:tx>
            <c:strRef>
              <c:f>'perf stat_frq'!$AG$5</c:f>
              <c:strCache>
                <c:ptCount val="1"/>
                <c:pt idx="0">
                  <c:v>L3 miss latency (core_clks)</c:v>
                </c:pt>
              </c:strCache>
            </c:strRef>
          </c:tx>
          <c:spPr>
            <a:ln>
              <a:solidFill>
                <a:srgbClr val="9467B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467BD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stat_frq'!$AG$6:$AG$16</c:f>
              <c:numCache>
                <c:formatCode>General</c:formatCode>
                <c:ptCount val="11"/>
                <c:pt idx="0">
                  <c:v>439.047</c:v>
                </c:pt>
                <c:pt idx="1">
                  <c:v>438.719</c:v>
                </c:pt>
                <c:pt idx="2">
                  <c:v>438.812</c:v>
                </c:pt>
                <c:pt idx="3">
                  <c:v>439.183</c:v>
                </c:pt>
                <c:pt idx="4">
                  <c:v>439.058</c:v>
                </c:pt>
                <c:pt idx="5">
                  <c:v>439.207</c:v>
                </c:pt>
                <c:pt idx="6">
                  <c:v>438.964</c:v>
                </c:pt>
                <c:pt idx="7">
                  <c:v>438.867</c:v>
                </c:pt>
                <c:pt idx="8">
                  <c:v>438.98</c:v>
                </c:pt>
                <c:pt idx="9">
                  <c:v>438.975</c:v>
                </c:pt>
                <c:pt idx="10">
                  <c:v>433.094</c:v>
                </c:pt>
              </c:numCache>
            </c:numRef>
          </c:val>
        </c:ser>
        <c:ser>
          <c:idx val="29"/>
          <c:order val="29"/>
          <c:tx>
            <c:strRef>
              <c:f>'perf stat_frq'!$AH$5</c:f>
              <c:strCache>
                <c:ptCount val="1"/>
                <c:pt idx="0">
                  <c:v>L3 miss latency (ns)</c:v>
                </c:pt>
              </c:strCache>
            </c:strRef>
          </c:tx>
          <c:spPr>
            <a:ln>
              <a:solidFill>
                <a:srgbClr val="C5B0D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5B0D5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stat_frq'!$AH$6:$AH$16</c:f>
              <c:numCache>
                <c:formatCode>General</c:formatCode>
                <c:ptCount val="11"/>
                <c:pt idx="0">
                  <c:v>184.122</c:v>
                </c:pt>
                <c:pt idx="1">
                  <c:v>182.808</c:v>
                </c:pt>
                <c:pt idx="2">
                  <c:v>182.843</c:v>
                </c:pt>
                <c:pt idx="3">
                  <c:v>182.993</c:v>
                </c:pt>
                <c:pt idx="4">
                  <c:v>182.944</c:v>
                </c:pt>
                <c:pt idx="5">
                  <c:v>183.009</c:v>
                </c:pt>
                <c:pt idx="6">
                  <c:v>182.905</c:v>
                </c:pt>
                <c:pt idx="7">
                  <c:v>182.852</c:v>
                </c:pt>
                <c:pt idx="8">
                  <c:v>182.905</c:v>
                </c:pt>
                <c:pt idx="9">
                  <c:v>182.904</c:v>
                </c:pt>
                <c:pt idx="10">
                  <c:v>180.983</c:v>
                </c:pt>
              </c:numCache>
            </c:numRef>
          </c:val>
        </c:ser>
        <c:ser>
          <c:idx val="30"/>
          <c:order val="30"/>
          <c:tx>
            <c:strRef>
              <c:f>'perf stat_frq'!$AI$5</c:f>
              <c:strCache>
                <c:ptCount val="1"/>
                <c:pt idx="0">
                  <c:v>%LLC misses</c:v>
                </c:pt>
              </c:strCache>
            </c:strRef>
          </c:tx>
          <c:spPr>
            <a:ln>
              <a:solidFill>
                <a:srgbClr val="8C564B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8C564B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stat_frq'!$AI$6:$AI$16</c:f>
              <c:numCache>
                <c:formatCode>General</c:formatCode>
                <c:ptCount val="11"/>
                <c:pt idx="0">
                  <c:v>99.9252</c:v>
                </c:pt>
                <c:pt idx="1">
                  <c:v>99.9671</c:v>
                </c:pt>
                <c:pt idx="2">
                  <c:v>99.9676</c:v>
                </c:pt>
                <c:pt idx="3">
                  <c:v>99.9678</c:v>
                </c:pt>
                <c:pt idx="4">
                  <c:v>99.9683</c:v>
                </c:pt>
                <c:pt idx="5">
                  <c:v>99.96810000000001</c:v>
                </c:pt>
                <c:pt idx="6">
                  <c:v>99.96729999999999</c:v>
                </c:pt>
                <c:pt idx="7">
                  <c:v>99.968</c:v>
                </c:pt>
                <c:pt idx="8">
                  <c:v>99.96769999999999</c:v>
                </c:pt>
                <c:pt idx="9">
                  <c:v>99.96729999999999</c:v>
                </c:pt>
                <c:pt idx="10">
                  <c:v>99.92610000000001</c:v>
                </c:pt>
              </c:numCache>
            </c:numRef>
          </c:val>
        </c:ser>
        <c:ser>
          <c:idx val="31"/>
          <c:order val="31"/>
          <c:tx>
            <c:strRef>
              <c:f>'perf stat_frq'!$AJ$5</c:f>
              <c:strCache>
                <c:ptCount val="1"/>
                <c:pt idx="0">
                  <c:v>unc_read_write (GB/s)</c:v>
                </c:pt>
              </c:strCache>
            </c:strRef>
          </c:tx>
          <c:spPr>
            <a:ln>
              <a:solidFill>
                <a:srgbClr val="C49C9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49C94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stat_frq'!$AJ$6:$AJ$16</c:f>
              <c:numCache>
                <c:formatCode>General</c:formatCode>
                <c:ptCount val="11"/>
                <c:pt idx="0">
                  <c:v>111.718</c:v>
                </c:pt>
                <c:pt idx="1">
                  <c:v>136.515</c:v>
                </c:pt>
                <c:pt idx="2">
                  <c:v>136.644</c:v>
                </c:pt>
                <c:pt idx="3">
                  <c:v>136.557</c:v>
                </c:pt>
                <c:pt idx="4">
                  <c:v>136.525</c:v>
                </c:pt>
                <c:pt idx="5">
                  <c:v>136.455</c:v>
                </c:pt>
                <c:pt idx="6">
                  <c:v>136.524</c:v>
                </c:pt>
                <c:pt idx="7">
                  <c:v>136.558</c:v>
                </c:pt>
                <c:pt idx="8">
                  <c:v>136.494</c:v>
                </c:pt>
                <c:pt idx="9">
                  <c:v>136.489</c:v>
                </c:pt>
                <c:pt idx="10">
                  <c:v>124.973</c:v>
                </c:pt>
              </c:numCache>
            </c:numRef>
          </c:val>
        </c:ser>
        <c:ser>
          <c:idx val="32"/>
          <c:order val="32"/>
          <c:tx>
            <c:strRef>
              <c:f>'perf stat_frq'!$AK$5</c:f>
              <c:strCache>
                <c:ptCount val="1"/>
                <c:pt idx="0">
                  <c:v>IPC</c:v>
                </c:pt>
              </c:strCache>
            </c:strRef>
          </c:tx>
          <c:spPr>
            <a:ln>
              <a:solidFill>
                <a:srgbClr val="E377C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E377C2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stat_frq'!$AK$6:$AK$16</c:f>
              <c:numCache>
                <c:formatCode>General</c:formatCode>
                <c:ptCount val="11"/>
                <c:pt idx="0">
                  <c:v>0.0836783</c:v>
                </c:pt>
                <c:pt idx="1">
                  <c:v>0.0824744</c:v>
                </c:pt>
                <c:pt idx="2">
                  <c:v>0.0825422</c:v>
                </c:pt>
                <c:pt idx="3">
                  <c:v>0.0824941</c:v>
                </c:pt>
                <c:pt idx="4">
                  <c:v>0.0824773</c:v>
                </c:pt>
                <c:pt idx="5">
                  <c:v>0.0824324</c:v>
                </c:pt>
                <c:pt idx="6">
                  <c:v>0.08247889999999999</c:v>
                </c:pt>
                <c:pt idx="7">
                  <c:v>0.08248759999999999</c:v>
                </c:pt>
                <c:pt idx="8">
                  <c:v>0.082454</c:v>
                </c:pt>
                <c:pt idx="9">
                  <c:v>0.0824508</c:v>
                </c:pt>
                <c:pt idx="10">
                  <c:v>0.0869576</c:v>
                </c:pt>
              </c:numCache>
            </c:numRef>
          </c:val>
        </c:ser>
        <c:ser>
          <c:idx val="33"/>
          <c:order val="33"/>
          <c:tx>
            <c:strRef>
              <c:f>'perf stat_frq'!$AL$5</c:f>
              <c:strCache>
                <c:ptCount val="1"/>
                <c:pt idx="0">
                  <c:v>CPI</c:v>
                </c:pt>
              </c:strCache>
            </c:strRef>
          </c:tx>
          <c:spPr>
            <a:ln>
              <a:solidFill>
                <a:srgbClr val="F7B6D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7B6D2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stat_frq'!$AL$6:$AL$16</c:f>
              <c:numCache>
                <c:formatCode>General</c:formatCode>
                <c:ptCount val="11"/>
                <c:pt idx="0">
                  <c:v>11.9505</c:v>
                </c:pt>
                <c:pt idx="1">
                  <c:v>12.125</c:v>
                </c:pt>
                <c:pt idx="2">
                  <c:v>12.115</c:v>
                </c:pt>
                <c:pt idx="3">
                  <c:v>12.1221</c:v>
                </c:pt>
                <c:pt idx="4">
                  <c:v>12.1245</c:v>
                </c:pt>
                <c:pt idx="5">
                  <c:v>12.1311</c:v>
                </c:pt>
                <c:pt idx="6">
                  <c:v>12.1243</c:v>
                </c:pt>
                <c:pt idx="7">
                  <c:v>12.123</c:v>
                </c:pt>
                <c:pt idx="8">
                  <c:v>12.128</c:v>
                </c:pt>
                <c:pt idx="9">
                  <c:v>12.1284</c:v>
                </c:pt>
                <c:pt idx="10">
                  <c:v>11.4999</c:v>
                </c:pt>
              </c:numCache>
            </c:numRef>
          </c:val>
        </c:ser>
        <c:ser>
          <c:idx val="34"/>
          <c:order val="34"/>
          <c:tx>
            <c:strRef>
              <c:f>'perf stat_frq'!$AM$5</c:f>
              <c:strCache>
                <c:ptCount val="1"/>
                <c:pt idx="0">
                  <c:v>QPI_BW (GB/sec)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7F7F7F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stat_frq'!$AM$6:$AM$16</c:f>
              <c:numCache>
                <c:formatCode>General</c:formatCode>
                <c:ptCount val="11"/>
                <c:pt idx="0">
                  <c:v>0.108984</c:v>
                </c:pt>
                <c:pt idx="1">
                  <c:v>0.09449730000000001</c:v>
                </c:pt>
                <c:pt idx="2">
                  <c:v>0.0956511</c:v>
                </c:pt>
                <c:pt idx="3">
                  <c:v>0.0936126</c:v>
                </c:pt>
                <c:pt idx="4">
                  <c:v>0.0938659</c:v>
                </c:pt>
                <c:pt idx="5">
                  <c:v>0.09438829999999999</c:v>
                </c:pt>
                <c:pt idx="6">
                  <c:v>0.094066</c:v>
                </c:pt>
                <c:pt idx="7">
                  <c:v>0.0958657</c:v>
                </c:pt>
                <c:pt idx="8">
                  <c:v>0.0936371</c:v>
                </c:pt>
                <c:pt idx="9">
                  <c:v>0.09360110000000001</c:v>
                </c:pt>
                <c:pt idx="10">
                  <c:v>0.453443</c:v>
                </c:pt>
              </c:numCache>
            </c:numRef>
          </c:val>
        </c:ser>
        <c:ser>
          <c:idx val="35"/>
          <c:order val="35"/>
          <c:tx>
            <c:strRef>
              <c:f>'perf stat_frq'!$AN$5</c:f>
              <c:strCache>
                <c:ptCount val="1"/>
                <c:pt idx="0">
                  <c:v>power_pkg (watts)</c:v>
                </c:pt>
              </c:strCache>
            </c:strRef>
          </c:tx>
          <c:spPr>
            <a:ln>
              <a:solidFill>
                <a:srgbClr val="C7C7C7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7C7C7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stat_frq'!$AN$6:$AN$16</c:f>
              <c:numCache>
                <c:formatCode>General</c:formatCode>
                <c:ptCount val="11"/>
                <c:pt idx="0">
                  <c:v>138.245</c:v>
                </c:pt>
                <c:pt idx="1">
                  <c:v>148.772</c:v>
                </c:pt>
                <c:pt idx="2">
                  <c:v>148.79</c:v>
                </c:pt>
                <c:pt idx="3">
                  <c:v>148.745</c:v>
                </c:pt>
                <c:pt idx="4">
                  <c:v>148.85</c:v>
                </c:pt>
                <c:pt idx="5">
                  <c:v>148.8</c:v>
                </c:pt>
                <c:pt idx="6">
                  <c:v>149.051</c:v>
                </c:pt>
                <c:pt idx="7">
                  <c:v>149.128</c:v>
                </c:pt>
                <c:pt idx="8">
                  <c:v>149.117</c:v>
                </c:pt>
                <c:pt idx="9">
                  <c:v>149.173</c:v>
                </c:pt>
                <c:pt idx="10">
                  <c:v>142.935</c:v>
                </c:pt>
              </c:numCache>
            </c:numRef>
          </c:val>
        </c:ser>
        <c:ser>
          <c:idx val="36"/>
          <c:order val="36"/>
          <c:tx>
            <c:strRef>
              <c:f>'perf stat_frq'!$AO$5</c:f>
              <c:strCache>
                <c:ptCount val="1"/>
                <c:pt idx="0">
                  <c:v>instructions/sec (1e9 instr/sec)</c:v>
                </c:pt>
              </c:strCache>
            </c:strRef>
          </c:tx>
          <c:spPr>
            <a:ln>
              <a:solidFill>
                <a:srgbClr val="BCBD2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BCBD22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stat_frq'!$AO$6:$AO$16</c:f>
              <c:numCache>
                <c:formatCode>General</c:formatCode>
                <c:ptCount val="11"/>
                <c:pt idx="0">
                  <c:v>8.638730000000001</c:v>
                </c:pt>
                <c:pt idx="1">
                  <c:v>10.687</c:v>
                </c:pt>
                <c:pt idx="2">
                  <c:v>10.697</c:v>
                </c:pt>
                <c:pt idx="3">
                  <c:v>10.6912</c:v>
                </c:pt>
                <c:pt idx="4">
                  <c:v>10.6889</c:v>
                </c:pt>
                <c:pt idx="5">
                  <c:v>10.6826</c:v>
                </c:pt>
                <c:pt idx="6">
                  <c:v>10.6889</c:v>
                </c:pt>
                <c:pt idx="7">
                  <c:v>10.6911</c:v>
                </c:pt>
                <c:pt idx="8">
                  <c:v>10.6863</c:v>
                </c:pt>
                <c:pt idx="9">
                  <c:v>10.6856</c:v>
                </c:pt>
                <c:pt idx="10">
                  <c:v>9.870889999999999</c:v>
                </c:pt>
              </c:numCache>
            </c:numRef>
          </c:val>
        </c:ser>
        <c:ser>
          <c:idx val="37"/>
          <c:order val="37"/>
          <c:tx>
            <c:strRef>
              <c:f>'perf stat_frq'!$AP$5</c:f>
              <c:strCache>
                <c:ptCount val="1"/>
                <c:pt idx="0">
                  <c:v>cpu-cycles/sec (1e9 cycles/sec)</c:v>
                </c:pt>
              </c:strCache>
            </c:strRef>
          </c:tx>
          <c:spPr>
            <a:ln>
              <a:solidFill>
                <a:srgbClr val="DBDB8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BDB8D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stat_frq'!$AP$6:$AP$16</c:f>
              <c:numCache>
                <c:formatCode>General</c:formatCode>
                <c:ptCount val="11"/>
                <c:pt idx="0">
                  <c:v>103.237</c:v>
                </c:pt>
                <c:pt idx="1">
                  <c:v>129.58</c:v>
                </c:pt>
                <c:pt idx="2">
                  <c:v>129.594</c:v>
                </c:pt>
                <c:pt idx="3">
                  <c:v>129.6</c:v>
                </c:pt>
                <c:pt idx="4">
                  <c:v>129.598</c:v>
                </c:pt>
                <c:pt idx="5">
                  <c:v>129.592</c:v>
                </c:pt>
                <c:pt idx="6">
                  <c:v>129.596</c:v>
                </c:pt>
                <c:pt idx="7">
                  <c:v>129.608</c:v>
                </c:pt>
                <c:pt idx="8">
                  <c:v>129.603</c:v>
                </c:pt>
                <c:pt idx="9">
                  <c:v>129.599</c:v>
                </c:pt>
                <c:pt idx="10">
                  <c:v>113.514</c:v>
                </c:pt>
              </c:numCache>
            </c:numRef>
          </c:val>
        </c:ser>
        <c:ser>
          <c:idx val="38"/>
          <c:order val="38"/>
          <c:tx>
            <c:strRef>
              <c:f>'perf stat_frq'!$AQ$5</c:f>
              <c:strCache>
                <c:ptCount val="1"/>
                <c:pt idx="0">
                  <c:v>coreIpc</c:v>
                </c:pt>
              </c:strCache>
            </c:strRef>
          </c:tx>
          <c:spPr>
            <a:ln>
              <a:solidFill>
                <a:srgbClr val="17BEC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7BECF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stat_frq'!$AQ$6:$AQ$16</c:f>
              <c:numCache>
                <c:formatCode>General</c:formatCode>
                <c:ptCount val="11"/>
                <c:pt idx="0">
                  <c:v>0.16118</c:v>
                </c:pt>
                <c:pt idx="1">
                  <c:v>0.164949</c:v>
                </c:pt>
                <c:pt idx="2">
                  <c:v>0.165084</c:v>
                </c:pt>
                <c:pt idx="3">
                  <c:v>0.164988</c:v>
                </c:pt>
                <c:pt idx="4">
                  <c:v>0.164955</c:v>
                </c:pt>
                <c:pt idx="5">
                  <c:v>0.164865</c:v>
                </c:pt>
                <c:pt idx="6">
                  <c:v>0.164958</c:v>
                </c:pt>
                <c:pt idx="7">
                  <c:v>0.164975</c:v>
                </c:pt>
                <c:pt idx="8">
                  <c:v>0.164908</c:v>
                </c:pt>
                <c:pt idx="9">
                  <c:v>0.164902</c:v>
                </c:pt>
                <c:pt idx="10">
                  <c:v>0.171063</c:v>
                </c:pt>
              </c:numCache>
            </c:numRef>
          </c:val>
        </c:ser>
        <c:ser>
          <c:idx val="39"/>
          <c:order val="39"/>
          <c:tx>
            <c:strRef>
              <c:f>'perf stat_frq'!$AR$5</c:f>
              <c:strCache>
                <c:ptCount val="1"/>
                <c:pt idx="0">
                  <c:v>topdown_Retiring(%)</c:v>
                </c:pt>
              </c:strCache>
            </c:strRef>
          </c:tx>
          <c:spPr>
            <a:ln>
              <a:solidFill>
                <a:srgbClr val="9EDAE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EDAE5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stat_frq'!$AR$6:$AR$16</c:f>
              <c:numCache>
                <c:formatCode>General</c:formatCode>
                <c:ptCount val="11"/>
                <c:pt idx="0">
                  <c:v>3.50653</c:v>
                </c:pt>
                <c:pt idx="1">
                  <c:v>3.33692</c:v>
                </c:pt>
                <c:pt idx="2">
                  <c:v>3.33888</c:v>
                </c:pt>
                <c:pt idx="3">
                  <c:v>3.33721</c:v>
                </c:pt>
                <c:pt idx="4">
                  <c:v>3.33716</c:v>
                </c:pt>
                <c:pt idx="5">
                  <c:v>3.3352</c:v>
                </c:pt>
                <c:pt idx="6">
                  <c:v>3.33685</c:v>
                </c:pt>
                <c:pt idx="7">
                  <c:v>3.33746</c:v>
                </c:pt>
                <c:pt idx="8">
                  <c:v>3.33618</c:v>
                </c:pt>
                <c:pt idx="9">
                  <c:v>3.33614</c:v>
                </c:pt>
                <c:pt idx="10">
                  <c:v>3.48815</c:v>
                </c:pt>
              </c:numCache>
            </c:numRef>
          </c:val>
        </c:ser>
        <c:ser>
          <c:idx val="40"/>
          <c:order val="40"/>
          <c:tx>
            <c:strRef>
              <c:f>'perf stat_frq'!$AS$5</c:f>
              <c:strCache>
                <c:ptCount val="1"/>
                <c:pt idx="0">
                  <c:v>topdown_Frontend_Bound(%)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F77B4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stat_frq'!$AS$6:$AS$16</c:f>
              <c:numCache>
                <c:formatCode>General</c:formatCode>
                <c:ptCount val="11"/>
                <c:pt idx="0">
                  <c:v>1.57139</c:v>
                </c:pt>
                <c:pt idx="1">
                  <c:v>1.2956</c:v>
                </c:pt>
                <c:pt idx="2">
                  <c:v>1.27263</c:v>
                </c:pt>
                <c:pt idx="3">
                  <c:v>1.2698</c:v>
                </c:pt>
                <c:pt idx="4">
                  <c:v>1.29254</c:v>
                </c:pt>
                <c:pt idx="5">
                  <c:v>1.29706</c:v>
                </c:pt>
                <c:pt idx="6">
                  <c:v>1.28188</c:v>
                </c:pt>
                <c:pt idx="7">
                  <c:v>1.30224</c:v>
                </c:pt>
                <c:pt idx="8">
                  <c:v>1.29765</c:v>
                </c:pt>
                <c:pt idx="9">
                  <c:v>1.30103</c:v>
                </c:pt>
                <c:pt idx="10">
                  <c:v>1.4386</c:v>
                </c:pt>
              </c:numCache>
            </c:numRef>
          </c:val>
        </c:ser>
        <c:ser>
          <c:idx val="41"/>
          <c:order val="41"/>
          <c:tx>
            <c:strRef>
              <c:f>'perf stat_frq'!$AT$5</c:f>
              <c:strCache>
                <c:ptCount val="1"/>
                <c:pt idx="0">
                  <c:v>topdown_Backend_Bound_BadSpec(%)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stat_frq'!$AT$6:$AT$16</c:f>
              <c:numCache>
                <c:formatCode>General</c:formatCode>
                <c:ptCount val="11"/>
                <c:pt idx="0">
                  <c:v>94.9221</c:v>
                </c:pt>
                <c:pt idx="1">
                  <c:v>95.36750000000001</c:v>
                </c:pt>
                <c:pt idx="2">
                  <c:v>95.38849999999999</c:v>
                </c:pt>
                <c:pt idx="3">
                  <c:v>95.393</c:v>
                </c:pt>
                <c:pt idx="4">
                  <c:v>95.3703</c:v>
                </c:pt>
                <c:pt idx="5">
                  <c:v>95.3677</c:v>
                </c:pt>
                <c:pt idx="6">
                  <c:v>95.3813</c:v>
                </c:pt>
                <c:pt idx="7">
                  <c:v>95.3603</c:v>
                </c:pt>
                <c:pt idx="8">
                  <c:v>95.36620000000001</c:v>
                </c:pt>
                <c:pt idx="9">
                  <c:v>95.36279999999999</c:v>
                </c:pt>
                <c:pt idx="10">
                  <c:v>95.0733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Top Lev: %cpus Back/Front End Bound, Retiring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stat_frq_0'!$AA$5</c:f>
              <c:strCache>
                <c:ptCount val="1"/>
                <c:pt idx="0">
                  <c:v>%not_halted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stat_frq_0'!$AA$6:$AA$16</c:f>
              <c:numCache>
                <c:formatCode>General</c:formatCode>
                <c:ptCount val="11"/>
                <c:pt idx="0">
                  <c:v>89.9415</c:v>
                </c:pt>
                <c:pt idx="1">
                  <c:v>99.9838</c:v>
                </c:pt>
                <c:pt idx="2">
                  <c:v>99.99679999999999</c:v>
                </c:pt>
                <c:pt idx="3">
                  <c:v>99.7864</c:v>
                </c:pt>
                <c:pt idx="4">
                  <c:v>99.8193</c:v>
                </c:pt>
                <c:pt idx="5">
                  <c:v>99.8235</c:v>
                </c:pt>
                <c:pt idx="6">
                  <c:v>99.78</c:v>
                </c:pt>
                <c:pt idx="7">
                  <c:v>99.7932</c:v>
                </c:pt>
                <c:pt idx="8">
                  <c:v>99.7884</c:v>
                </c:pt>
                <c:pt idx="9">
                  <c:v>99.78449999999999</c:v>
                </c:pt>
                <c:pt idx="10">
                  <c:v>97.2608</c:v>
                </c:pt>
              </c:numCache>
            </c:numRef>
          </c:val>
        </c:ser>
        <c:ser>
          <c:idx val="1"/>
          <c:order val="1"/>
          <c:tx>
            <c:strRef>
              <c:f>'perf stat_frq_0'!$AN$5</c:f>
              <c:strCache>
                <c:ptCount val="1"/>
                <c:pt idx="0">
                  <c:v>power_pkg (watts)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stat_frq_0'!$AN$6:$AN$16</c:f>
              <c:numCache>
                <c:formatCode>General</c:formatCode>
                <c:ptCount val="11"/>
                <c:pt idx="0">
                  <c:v>159.401</c:v>
                </c:pt>
                <c:pt idx="1">
                  <c:v>167.806</c:v>
                </c:pt>
                <c:pt idx="2">
                  <c:v>167.965</c:v>
                </c:pt>
                <c:pt idx="3">
                  <c:v>165.687</c:v>
                </c:pt>
                <c:pt idx="4">
                  <c:v>165.538</c:v>
                </c:pt>
                <c:pt idx="5">
                  <c:v>165.597</c:v>
                </c:pt>
                <c:pt idx="6">
                  <c:v>165.6</c:v>
                </c:pt>
                <c:pt idx="7">
                  <c:v>165.597</c:v>
                </c:pt>
                <c:pt idx="8">
                  <c:v>165.564</c:v>
                </c:pt>
                <c:pt idx="9">
                  <c:v>165.573</c:v>
                </c:pt>
                <c:pt idx="10">
                  <c:v>165.005</c:v>
                </c:pt>
              </c:numCache>
            </c:numRef>
          </c:val>
        </c:ser>
        <c:ser>
          <c:idx val="2"/>
          <c:order val="2"/>
          <c:tx>
            <c:strRef>
              <c:f>'perf stat_frq_0'!$AR$5</c:f>
              <c:strCache>
                <c:ptCount val="1"/>
                <c:pt idx="0">
                  <c:v>topdown_Retiring(%)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stat_frq_0'!$AR$6:$AR$16</c:f>
              <c:numCache>
                <c:formatCode>General</c:formatCode>
                <c:ptCount val="11"/>
                <c:pt idx="0">
                  <c:v>65.8961</c:v>
                </c:pt>
                <c:pt idx="1">
                  <c:v>65.99930000000001</c:v>
                </c:pt>
                <c:pt idx="2">
                  <c:v>65.9552</c:v>
                </c:pt>
                <c:pt idx="3">
                  <c:v>65.9798</c:v>
                </c:pt>
                <c:pt idx="4">
                  <c:v>65.75530000000001</c:v>
                </c:pt>
                <c:pt idx="5">
                  <c:v>65.842</c:v>
                </c:pt>
                <c:pt idx="6">
                  <c:v>65.7516</c:v>
                </c:pt>
                <c:pt idx="7">
                  <c:v>65.80289999999999</c:v>
                </c:pt>
                <c:pt idx="8">
                  <c:v>65.9397</c:v>
                </c:pt>
                <c:pt idx="9">
                  <c:v>65.7094</c:v>
                </c:pt>
                <c:pt idx="10">
                  <c:v>66.2548</c:v>
                </c:pt>
              </c:numCache>
            </c:numRef>
          </c:val>
        </c:ser>
        <c:ser>
          <c:idx val="3"/>
          <c:order val="3"/>
          <c:tx>
            <c:strRef>
              <c:f>'perf stat_frq_0'!$AS$5</c:f>
              <c:strCache>
                <c:ptCount val="1"/>
                <c:pt idx="0">
                  <c:v>topdown_Frontend_Bound(%)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stat_frq_0'!$AS$6:$AS$16</c:f>
              <c:numCache>
                <c:formatCode>General</c:formatCode>
                <c:ptCount val="11"/>
                <c:pt idx="0">
                  <c:v>11.2266</c:v>
                </c:pt>
                <c:pt idx="1">
                  <c:v>11.1519</c:v>
                </c:pt>
                <c:pt idx="2">
                  <c:v>11.1668</c:v>
                </c:pt>
                <c:pt idx="3">
                  <c:v>11.1455</c:v>
                </c:pt>
                <c:pt idx="4">
                  <c:v>11.151</c:v>
                </c:pt>
                <c:pt idx="5">
                  <c:v>11.1752</c:v>
                </c:pt>
                <c:pt idx="6">
                  <c:v>11.1463</c:v>
                </c:pt>
                <c:pt idx="7">
                  <c:v>11.1443</c:v>
                </c:pt>
                <c:pt idx="8">
                  <c:v>11.1641</c:v>
                </c:pt>
                <c:pt idx="9">
                  <c:v>11.1695</c:v>
                </c:pt>
                <c:pt idx="10">
                  <c:v>11.2418</c:v>
                </c:pt>
              </c:numCache>
            </c:numRef>
          </c:val>
        </c:ser>
        <c:ser>
          <c:idx val="4"/>
          <c:order val="4"/>
          <c:tx>
            <c:strRef>
              <c:f>'perf stat_frq_0'!$AT$5</c:f>
              <c:strCache>
                <c:ptCount val="1"/>
                <c:pt idx="0">
                  <c:v>topdown_Backend_Bound_BadSpec(%)</c:v>
                </c:pt>
              </c:strCache>
            </c:strRef>
          </c:tx>
          <c:spPr>
            <a:ln>
              <a:solidFill>
                <a:srgbClr val="2CA02C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2CA02C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stat_frq_0'!$AT$6:$AT$16</c:f>
              <c:numCache>
                <c:formatCode>General</c:formatCode>
                <c:ptCount val="11"/>
                <c:pt idx="0">
                  <c:v>22.8773</c:v>
                </c:pt>
                <c:pt idx="1">
                  <c:v>22.8488</c:v>
                </c:pt>
                <c:pt idx="2">
                  <c:v>22.878</c:v>
                </c:pt>
                <c:pt idx="3">
                  <c:v>22.8747</c:v>
                </c:pt>
                <c:pt idx="4">
                  <c:v>23.0937</c:v>
                </c:pt>
                <c:pt idx="5">
                  <c:v>22.9828</c:v>
                </c:pt>
                <c:pt idx="6">
                  <c:v>23.1021</c:v>
                </c:pt>
                <c:pt idx="7">
                  <c:v>23.0528</c:v>
                </c:pt>
                <c:pt idx="8">
                  <c:v>22.8962</c:v>
                </c:pt>
                <c:pt idx="9">
                  <c:v>23.1211</c:v>
                </c:pt>
                <c:pt idx="10">
                  <c:v>22.5034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mem bw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stat_frq_0'!$AF$5</c:f>
              <c:strCache>
                <c:ptCount val="1"/>
                <c:pt idx="0">
                  <c:v>LLC-miss bw (GB/s)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stat_frq_0'!$AF$6:$AF$16</c:f>
              <c:numCache>
                <c:formatCode>General</c:formatCode>
                <c:ptCount val="11"/>
                <c:pt idx="0">
                  <c:v>0.000619073</c:v>
                </c:pt>
                <c:pt idx="1">
                  <c:v>0.0009190650000000001</c:v>
                </c:pt>
                <c:pt idx="2">
                  <c:v>0.00089278</c:v>
                </c:pt>
                <c:pt idx="3">
                  <c:v>0.000458033</c:v>
                </c:pt>
                <c:pt idx="4">
                  <c:v>0.000331136</c:v>
                </c:pt>
                <c:pt idx="5">
                  <c:v>0.000417707</c:v>
                </c:pt>
                <c:pt idx="6">
                  <c:v>0.000484481</c:v>
                </c:pt>
                <c:pt idx="7">
                  <c:v>0.000388642</c:v>
                </c:pt>
                <c:pt idx="8">
                  <c:v>0.00037758</c:v>
                </c:pt>
                <c:pt idx="9">
                  <c:v>0.000350816</c:v>
                </c:pt>
                <c:pt idx="10">
                  <c:v>0.00257309</c:v>
                </c:pt>
              </c:numCache>
            </c:numRef>
          </c:val>
        </c:ser>
        <c:ser>
          <c:idx val="1"/>
          <c:order val="1"/>
          <c:tx>
            <c:strRef>
              <c:f>'perf stat_frq_0'!$AJ$5</c:f>
              <c:strCache>
                <c:ptCount val="1"/>
                <c:pt idx="0">
                  <c:v>unc_read_write (GB/s)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stat_frq_0'!$AJ$6:$AJ$16</c:f>
              <c:numCache>
                <c:formatCode>General</c:formatCode>
                <c:ptCount val="11"/>
                <c:pt idx="0">
                  <c:v>0.061061</c:v>
                </c:pt>
                <c:pt idx="1">
                  <c:v>0.057243</c:v>
                </c:pt>
                <c:pt idx="2">
                  <c:v>0.0600802</c:v>
                </c:pt>
                <c:pt idx="3">
                  <c:v>0.0415147</c:v>
                </c:pt>
                <c:pt idx="4">
                  <c:v>0.0381368</c:v>
                </c:pt>
                <c:pt idx="5">
                  <c:v>0.043109</c:v>
                </c:pt>
                <c:pt idx="6">
                  <c:v>0.0466232</c:v>
                </c:pt>
                <c:pt idx="7">
                  <c:v>0.0428762</c:v>
                </c:pt>
                <c:pt idx="8">
                  <c:v>0.0453828</c:v>
                </c:pt>
                <c:pt idx="9">
                  <c:v>0.0399104</c:v>
                </c:pt>
                <c:pt idx="10">
                  <c:v>0.173537</c:v>
                </c:pt>
              </c:numCache>
            </c:numRef>
          </c:val>
        </c:ser>
        <c:ser>
          <c:idx val="2"/>
          <c:order val="2"/>
          <c:tx>
            <c:strRef>
              <c:f>'perf stat_frq_0'!$AM$5</c:f>
              <c:strCache>
                <c:ptCount val="1"/>
                <c:pt idx="0">
                  <c:v>QPI_BW (GB/sec)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stat_frq_0'!$AM$6:$AM$16</c:f>
              <c:numCache>
                <c:formatCode>General</c:formatCode>
                <c:ptCount val="11"/>
                <c:pt idx="0">
                  <c:v>0.0148371</c:v>
                </c:pt>
                <c:pt idx="1">
                  <c:v>0.0212248</c:v>
                </c:pt>
                <c:pt idx="2">
                  <c:v>0.0233127</c:v>
                </c:pt>
                <c:pt idx="3">
                  <c:v>0.0133644</c:v>
                </c:pt>
                <c:pt idx="4">
                  <c:v>0.01233</c:v>
                </c:pt>
                <c:pt idx="5">
                  <c:v>0.0148475</c:v>
                </c:pt>
                <c:pt idx="6">
                  <c:v>0.0153027</c:v>
                </c:pt>
                <c:pt idx="7">
                  <c:v>0.0144157</c:v>
                </c:pt>
                <c:pt idx="8">
                  <c:v>0.0145078</c:v>
                </c:pt>
                <c:pt idx="9">
                  <c:v>0.0126387</c:v>
                </c:pt>
                <c:pt idx="10">
                  <c:v>0.0551694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mem IPC, CPU freq, LLC misses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stat_frq_0'!$AC$5</c:f>
              <c:strCache>
                <c:ptCount val="1"/>
                <c:pt idx="0">
                  <c:v>uncore_freq (GHz)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stat_frq_0'!$AC$6:$AC$16</c:f>
              <c:numCache>
                <c:formatCode>General</c:formatCode>
                <c:ptCount val="11"/>
                <c:pt idx="0">
                  <c:v>2.39816</c:v>
                </c:pt>
                <c:pt idx="1">
                  <c:v>2.39989</c:v>
                </c:pt>
                <c:pt idx="2">
                  <c:v>2.39996</c:v>
                </c:pt>
                <c:pt idx="3">
                  <c:v>2.33881</c:v>
                </c:pt>
                <c:pt idx="4">
                  <c:v>2.34075</c:v>
                </c:pt>
                <c:pt idx="5">
                  <c:v>2.34079</c:v>
                </c:pt>
                <c:pt idx="6">
                  <c:v>2.33888</c:v>
                </c:pt>
                <c:pt idx="7">
                  <c:v>2.33975</c:v>
                </c:pt>
                <c:pt idx="8">
                  <c:v>2.33848</c:v>
                </c:pt>
                <c:pt idx="9">
                  <c:v>2.33914</c:v>
                </c:pt>
                <c:pt idx="10">
                  <c:v>2.33077</c:v>
                </c:pt>
              </c:numCache>
            </c:numRef>
          </c:val>
        </c:ser>
        <c:ser>
          <c:idx val="1"/>
          <c:order val="1"/>
          <c:tx>
            <c:strRef>
              <c:f>'perf stat_frq_0'!$AD$5</c:f>
              <c:strCache>
                <c:ptCount val="1"/>
                <c:pt idx="0">
                  <c:v>avg_freq (GHz)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stat_frq_0'!$AD$6:$AD$16</c:f>
              <c:numCache>
                <c:formatCode>General</c:formatCode>
                <c:ptCount val="11"/>
                <c:pt idx="0">
                  <c:v>2.69953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2.70001</c:v>
                </c:pt>
              </c:numCache>
            </c:numRef>
          </c:val>
        </c:ser>
        <c:ser>
          <c:idx val="2"/>
          <c:order val="2"/>
          <c:tx>
            <c:strRef>
              <c:f>'perf stat_frq_0'!$AE$5</c:f>
              <c:strCache>
                <c:ptCount val="1"/>
                <c:pt idx="0">
                  <c:v>LLC-misses PKI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stat_frq_0'!$AE$6:$AE$16</c:f>
              <c:numCache>
                <c:formatCode>General</c:formatCode>
                <c:ptCount val="11"/>
                <c:pt idx="0">
                  <c:v>5.58878e-05</c:v>
                </c:pt>
                <c:pt idx="1">
                  <c:v>7.462240000000001e-05</c:v>
                </c:pt>
                <c:pt idx="2">
                  <c:v>7.252740000000001e-05</c:v>
                </c:pt>
                <c:pt idx="3">
                  <c:v>3.72698e-05</c:v>
                </c:pt>
                <c:pt idx="4">
                  <c:v>2.70269e-05</c:v>
                </c:pt>
                <c:pt idx="5">
                  <c:v>3.4047e-05</c:v>
                </c:pt>
                <c:pt idx="6">
                  <c:v>3.95608e-05</c:v>
                </c:pt>
                <c:pt idx="7">
                  <c:v>3.17054e-05</c:v>
                </c:pt>
                <c:pt idx="8">
                  <c:v>3.07402e-05</c:v>
                </c:pt>
                <c:pt idx="9">
                  <c:v>2.86625e-05</c:v>
                </c:pt>
                <c:pt idx="10">
                  <c:v>0.000213578</c:v>
                </c:pt>
              </c:numCache>
            </c:numRef>
          </c:val>
        </c:ser>
        <c:ser>
          <c:idx val="3"/>
          <c:order val="3"/>
          <c:tx>
            <c:strRef>
              <c:f>'perf stat_frq_0'!$AK$5</c:f>
              <c:strCache>
                <c:ptCount val="1"/>
                <c:pt idx="0">
                  <c:v>IPC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stat_frq_0'!$AK$6:$AK$16</c:f>
              <c:numCache>
                <c:formatCode>General</c:formatCode>
                <c:ptCount val="11"/>
                <c:pt idx="0">
                  <c:v>1.4851</c:v>
                </c:pt>
                <c:pt idx="1">
                  <c:v>1.48512</c:v>
                </c:pt>
                <c:pt idx="2">
                  <c:v>1.48413</c:v>
                </c:pt>
                <c:pt idx="3">
                  <c:v>1.48485</c:v>
                </c:pt>
                <c:pt idx="4">
                  <c:v>1.47982</c:v>
                </c:pt>
                <c:pt idx="5">
                  <c:v>1.48175</c:v>
                </c:pt>
                <c:pt idx="6">
                  <c:v>1.47973</c:v>
                </c:pt>
                <c:pt idx="7">
                  <c:v>1.48092</c:v>
                </c:pt>
                <c:pt idx="8">
                  <c:v>1.48401</c:v>
                </c:pt>
                <c:pt idx="9">
                  <c:v>1.47883</c:v>
                </c:pt>
                <c:pt idx="10">
                  <c:v>1.4934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%cpus not halted (running), %LLC misses, %both_HT_threads_active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stat_frq_0'!$AA$5</c:f>
              <c:strCache>
                <c:ptCount val="1"/>
                <c:pt idx="0">
                  <c:v>%not_halted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stat_frq_0'!$AA$6:$AA$16</c:f>
              <c:numCache>
                <c:formatCode>General</c:formatCode>
                <c:ptCount val="11"/>
                <c:pt idx="0">
                  <c:v>89.9415</c:v>
                </c:pt>
                <c:pt idx="1">
                  <c:v>99.9838</c:v>
                </c:pt>
                <c:pt idx="2">
                  <c:v>99.99679999999999</c:v>
                </c:pt>
                <c:pt idx="3">
                  <c:v>99.7864</c:v>
                </c:pt>
                <c:pt idx="4">
                  <c:v>99.8193</c:v>
                </c:pt>
                <c:pt idx="5">
                  <c:v>99.8235</c:v>
                </c:pt>
                <c:pt idx="6">
                  <c:v>99.78</c:v>
                </c:pt>
                <c:pt idx="7">
                  <c:v>99.7932</c:v>
                </c:pt>
                <c:pt idx="8">
                  <c:v>99.7884</c:v>
                </c:pt>
                <c:pt idx="9">
                  <c:v>99.78449999999999</c:v>
                </c:pt>
                <c:pt idx="10">
                  <c:v>97.2608</c:v>
                </c:pt>
              </c:numCache>
            </c:numRef>
          </c:val>
        </c:ser>
        <c:ser>
          <c:idx val="1"/>
          <c:order val="1"/>
          <c:tx>
            <c:strRef>
              <c:f>'perf stat_frq_0'!$AB$5</c:f>
              <c:strCache>
                <c:ptCount val="1"/>
                <c:pt idx="0">
                  <c:v>%both_HT_threads_active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stat_frq_0'!$AB$6:$AB$16</c:f>
              <c:numCache>
                <c:formatCode>General</c:formatCode>
                <c:ptCount val="11"/>
                <c:pt idx="0">
                  <c:v>99.5048</c:v>
                </c:pt>
                <c:pt idx="1">
                  <c:v>99.99630000000001</c:v>
                </c:pt>
                <c:pt idx="2">
                  <c:v>100</c:v>
                </c:pt>
                <c:pt idx="3">
                  <c:v>99.9712</c:v>
                </c:pt>
                <c:pt idx="4">
                  <c:v>99.97580000000001</c:v>
                </c:pt>
                <c:pt idx="5">
                  <c:v>99.97620000000001</c:v>
                </c:pt>
                <c:pt idx="6">
                  <c:v>99.9701</c:v>
                </c:pt>
                <c:pt idx="7">
                  <c:v>99.9723</c:v>
                </c:pt>
                <c:pt idx="8">
                  <c:v>99.9713</c:v>
                </c:pt>
                <c:pt idx="9">
                  <c:v>99.971</c:v>
                </c:pt>
                <c:pt idx="10">
                  <c:v>99.6061</c:v>
                </c:pt>
              </c:numCache>
            </c:numRef>
          </c:val>
        </c:ser>
        <c:ser>
          <c:idx val="2"/>
          <c:order val="2"/>
          <c:tx>
            <c:strRef>
              <c:f>'perf stat_frq_0'!$AI$5</c:f>
              <c:strCache>
                <c:ptCount val="1"/>
                <c:pt idx="0">
                  <c:v>%LLC misses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stat_frq_0'!$AI$6:$AI$16</c:f>
              <c:numCache>
                <c:formatCode>General</c:formatCode>
                <c:ptCount val="11"/>
                <c:pt idx="0">
                  <c:v>17.2061</c:v>
                </c:pt>
                <c:pt idx="1">
                  <c:v>18.649</c:v>
                </c:pt>
                <c:pt idx="2">
                  <c:v>19.3589</c:v>
                </c:pt>
                <c:pt idx="3">
                  <c:v>15.6314</c:v>
                </c:pt>
                <c:pt idx="4">
                  <c:v>13.921</c:v>
                </c:pt>
                <c:pt idx="5">
                  <c:v>16.3189</c:v>
                </c:pt>
                <c:pt idx="6">
                  <c:v>17.7646</c:v>
                </c:pt>
                <c:pt idx="7">
                  <c:v>15.2393</c:v>
                </c:pt>
                <c:pt idx="8">
                  <c:v>14.4104</c:v>
                </c:pt>
                <c:pt idx="9">
                  <c:v>13.705</c:v>
                </c:pt>
                <c:pt idx="10">
                  <c:v>21.3143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L3 miss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stat_frq_0'!$AG$5</c:f>
              <c:strCache>
                <c:ptCount val="1"/>
                <c:pt idx="0">
                  <c:v>L3 miss latency (core_clks)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stat_frq_0'!$AG$6:$AG$16</c:f>
              <c:numCache>
                <c:formatCode>General</c:formatCode>
                <c:ptCount val="11"/>
                <c:pt idx="0">
                  <c:v>367.351</c:v>
                </c:pt>
                <c:pt idx="1">
                  <c:v>381.366</c:v>
                </c:pt>
                <c:pt idx="2">
                  <c:v>389.751</c:v>
                </c:pt>
                <c:pt idx="3">
                  <c:v>392.565</c:v>
                </c:pt>
                <c:pt idx="4">
                  <c:v>388.449</c:v>
                </c:pt>
                <c:pt idx="5">
                  <c:v>412.131</c:v>
                </c:pt>
                <c:pt idx="6">
                  <c:v>414.404</c:v>
                </c:pt>
                <c:pt idx="7">
                  <c:v>421.069</c:v>
                </c:pt>
                <c:pt idx="8">
                  <c:v>396.133</c:v>
                </c:pt>
                <c:pt idx="9">
                  <c:v>396.253</c:v>
                </c:pt>
                <c:pt idx="10">
                  <c:v>376.086</c:v>
                </c:pt>
              </c:numCache>
            </c:numRef>
          </c:val>
        </c:ser>
        <c:ser>
          <c:idx val="1"/>
          <c:order val="1"/>
          <c:tx>
            <c:strRef>
              <c:f>'perf stat_frq_0'!$AH$5</c:f>
              <c:strCache>
                <c:ptCount val="1"/>
                <c:pt idx="0">
                  <c:v>L3 miss latency (ns)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stat_frq_0'!$AH$6:$AH$16</c:f>
              <c:numCache>
                <c:formatCode>General</c:formatCode>
                <c:ptCount val="11"/>
                <c:pt idx="0">
                  <c:v>153.181</c:v>
                </c:pt>
                <c:pt idx="1">
                  <c:v>158.91</c:v>
                </c:pt>
                <c:pt idx="2">
                  <c:v>162.399</c:v>
                </c:pt>
                <c:pt idx="3">
                  <c:v>167.848</c:v>
                </c:pt>
                <c:pt idx="4">
                  <c:v>165.951</c:v>
                </c:pt>
                <c:pt idx="5">
                  <c:v>176.065</c:v>
                </c:pt>
                <c:pt idx="6">
                  <c:v>177.18</c:v>
                </c:pt>
                <c:pt idx="7">
                  <c:v>179.964</c:v>
                </c:pt>
                <c:pt idx="8">
                  <c:v>169.398</c:v>
                </c:pt>
                <c:pt idx="9">
                  <c:v>169.401</c:v>
                </c:pt>
                <c:pt idx="10">
                  <c:v>161.357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stat_frq_1'!$E$5</c:f>
              <c:strCache>
                <c:ptCount val="1"/>
                <c:pt idx="0">
                  <c:v>cpu-clock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F77B4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stat_frq_1'!$E$6:$E$16</c:f>
              <c:numCache>
                <c:formatCode>General</c:formatCode>
                <c:ptCount val="11"/>
                <c:pt idx="0">
                  <c:v>48658.12</c:v>
                </c:pt>
                <c:pt idx="1">
                  <c:v>48110.25</c:v>
                </c:pt>
                <c:pt idx="2">
                  <c:v>48103.43</c:v>
                </c:pt>
                <c:pt idx="3">
                  <c:v>48102.7</c:v>
                </c:pt>
                <c:pt idx="4">
                  <c:v>48103.76</c:v>
                </c:pt>
                <c:pt idx="5">
                  <c:v>48093.21</c:v>
                </c:pt>
                <c:pt idx="6">
                  <c:v>48101.73</c:v>
                </c:pt>
                <c:pt idx="7">
                  <c:v>48091.08</c:v>
                </c:pt>
                <c:pt idx="8">
                  <c:v>48100.82</c:v>
                </c:pt>
                <c:pt idx="9">
                  <c:v>48091.69</c:v>
                </c:pt>
                <c:pt idx="10">
                  <c:v>3706.35</c:v>
                </c:pt>
              </c:numCache>
            </c:numRef>
          </c:val>
        </c:ser>
        <c:ser>
          <c:idx val="1"/>
          <c:order val="1"/>
          <c:tx>
            <c:strRef>
              <c:f>'perf stat_frq_1'!$F$5</c:f>
              <c:strCache>
                <c:ptCount val="1"/>
                <c:pt idx="0">
                  <c:v>instructions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stat_frq_1'!$F$6:$F$16</c:f>
              <c:numCache>
                <c:formatCode>General</c:formatCode>
                <c:ptCount val="11"/>
                <c:pt idx="0">
                  <c:v>118519466142</c:v>
                </c:pt>
                <c:pt idx="1">
                  <c:v>129814780243</c:v>
                </c:pt>
                <c:pt idx="2">
                  <c:v>129812211842</c:v>
                </c:pt>
                <c:pt idx="3">
                  <c:v>129825442049</c:v>
                </c:pt>
                <c:pt idx="4">
                  <c:v>129821409872</c:v>
                </c:pt>
                <c:pt idx="5">
                  <c:v>129800573313</c:v>
                </c:pt>
                <c:pt idx="6">
                  <c:v>129821354867</c:v>
                </c:pt>
                <c:pt idx="7">
                  <c:v>129794413062</c:v>
                </c:pt>
                <c:pt idx="8">
                  <c:v>129819218274</c:v>
                </c:pt>
                <c:pt idx="9">
                  <c:v>129797063829</c:v>
                </c:pt>
                <c:pt idx="10">
                  <c:v>9210479397</c:v>
                </c:pt>
              </c:numCache>
            </c:numRef>
          </c:val>
        </c:ser>
        <c:ser>
          <c:idx val="2"/>
          <c:order val="2"/>
          <c:tx>
            <c:strRef>
              <c:f>'perf stat_frq_1'!$G$5</c:f>
              <c:strCache>
                <c:ptCount val="1"/>
                <c:pt idx="0">
                  <c:v>msr/aperf/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stat_frq_1'!$G$6:$G$16</c:f>
              <c:numCache>
                <c:formatCode>General</c:formatCode>
                <c:ptCount val="11"/>
                <c:pt idx="0">
                  <c:v>118605044542</c:v>
                </c:pt>
                <c:pt idx="1">
                  <c:v>129896628092</c:v>
                </c:pt>
                <c:pt idx="2">
                  <c:v>129878248962</c:v>
                </c:pt>
                <c:pt idx="3">
                  <c:v>129876274048</c:v>
                </c:pt>
                <c:pt idx="4">
                  <c:v>129879148004</c:v>
                </c:pt>
                <c:pt idx="5">
                  <c:v>129850650052</c:v>
                </c:pt>
                <c:pt idx="6">
                  <c:v>129873675039</c:v>
                </c:pt>
                <c:pt idx="7">
                  <c:v>129844909801</c:v>
                </c:pt>
                <c:pt idx="8">
                  <c:v>129871218073</c:v>
                </c:pt>
                <c:pt idx="9">
                  <c:v>129846563802</c:v>
                </c:pt>
                <c:pt idx="10">
                  <c:v>9225515359</c:v>
                </c:pt>
              </c:numCache>
            </c:numRef>
          </c:val>
        </c:ser>
        <c:ser>
          <c:idx val="3"/>
          <c:order val="3"/>
          <c:tx>
            <c:strRef>
              <c:f>'perf stat_frq_1'!$H$5</c:f>
              <c:strCache>
                <c:ptCount val="1"/>
                <c:pt idx="0">
                  <c:v>msr/mperf/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stat_frq_1'!$H$6:$H$16</c:f>
              <c:numCache>
                <c:formatCode>General</c:formatCode>
                <c:ptCount val="11"/>
                <c:pt idx="0">
                  <c:v>96643457330</c:v>
                </c:pt>
                <c:pt idx="1">
                  <c:v>105841693076</c:v>
                </c:pt>
                <c:pt idx="2">
                  <c:v>105826719333</c:v>
                </c:pt>
                <c:pt idx="3">
                  <c:v>105825112507</c:v>
                </c:pt>
                <c:pt idx="4">
                  <c:v>105827451092</c:v>
                </c:pt>
                <c:pt idx="5">
                  <c:v>105804232852</c:v>
                </c:pt>
                <c:pt idx="6">
                  <c:v>105822997245</c:v>
                </c:pt>
                <c:pt idx="7">
                  <c:v>105799555311</c:v>
                </c:pt>
                <c:pt idx="8">
                  <c:v>105820990698</c:v>
                </c:pt>
                <c:pt idx="9">
                  <c:v>105800905945</c:v>
                </c:pt>
                <c:pt idx="10">
                  <c:v>7517309513</c:v>
                </c:pt>
              </c:numCache>
            </c:numRef>
          </c:val>
        </c:ser>
        <c:ser>
          <c:idx val="4"/>
          <c:order val="4"/>
          <c:tx>
            <c:strRef>
              <c:f>'perf stat_frq_1'!$I$5</c:f>
              <c:strCache>
                <c:ptCount val="1"/>
                <c:pt idx="0">
                  <c:v>idq_uops_not_delivered.core</c:v>
                </c:pt>
              </c:strCache>
            </c:strRef>
          </c:tx>
          <c:spPr>
            <a:ln>
              <a:solidFill>
                <a:srgbClr val="2CA02C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2CA02C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stat_frq_1'!$I$6:$I$16</c:f>
              <c:numCache>
                <c:formatCode>General</c:formatCode>
                <c:ptCount val="11"/>
                <c:pt idx="0">
                  <c:v>67362448557</c:v>
                </c:pt>
                <c:pt idx="1">
                  <c:v>73755311921</c:v>
                </c:pt>
                <c:pt idx="2">
                  <c:v>73742621432</c:v>
                </c:pt>
                <c:pt idx="3">
                  <c:v>73742727559</c:v>
                </c:pt>
                <c:pt idx="4">
                  <c:v>73742723906</c:v>
                </c:pt>
                <c:pt idx="5">
                  <c:v>73726634961</c:v>
                </c:pt>
                <c:pt idx="6">
                  <c:v>73740463012</c:v>
                </c:pt>
                <c:pt idx="7">
                  <c:v>73723169636</c:v>
                </c:pt>
                <c:pt idx="8">
                  <c:v>73735573933</c:v>
                </c:pt>
                <c:pt idx="9">
                  <c:v>73723587488</c:v>
                </c:pt>
                <c:pt idx="10">
                  <c:v>5221412308</c:v>
                </c:pt>
              </c:numCache>
            </c:numRef>
          </c:val>
        </c:ser>
        <c:ser>
          <c:idx val="5"/>
          <c:order val="5"/>
          <c:tx>
            <c:strRef>
              <c:f>'perf stat_frq_1'!$J$5</c:f>
              <c:strCache>
                <c:ptCount val="1"/>
                <c:pt idx="0">
                  <c:v>uops_retired.retire_slots</c:v>
                </c:pt>
              </c:strCache>
            </c:strRef>
          </c:tx>
          <c:spPr>
            <a:ln>
              <a:solidFill>
                <a:srgbClr val="98DF8A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8DF8A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stat_frq_1'!$J$6:$J$16</c:f>
              <c:numCache>
                <c:formatCode>General</c:formatCode>
                <c:ptCount val="11"/>
                <c:pt idx="0">
                  <c:v>118540767432</c:v>
                </c:pt>
                <c:pt idx="1">
                  <c:v>129715136812</c:v>
                </c:pt>
                <c:pt idx="2">
                  <c:v>129709149960</c:v>
                </c:pt>
                <c:pt idx="3">
                  <c:v>129719761793</c:v>
                </c:pt>
                <c:pt idx="4">
                  <c:v>129716878275</c:v>
                </c:pt>
                <c:pt idx="5">
                  <c:v>129694751880</c:v>
                </c:pt>
                <c:pt idx="6">
                  <c:v>129716147617</c:v>
                </c:pt>
                <c:pt idx="7">
                  <c:v>129688690645</c:v>
                </c:pt>
                <c:pt idx="8">
                  <c:v>129713323961</c:v>
                </c:pt>
                <c:pt idx="9">
                  <c:v>129691250912</c:v>
                </c:pt>
                <c:pt idx="10">
                  <c:v>9205455148</c:v>
                </c:pt>
              </c:numCache>
            </c:numRef>
          </c:val>
        </c:ser>
        <c:ser>
          <c:idx val="6"/>
          <c:order val="6"/>
          <c:tx>
            <c:strRef>
              <c:f>'perf stat_frq_1'!$K$5</c:f>
              <c:strCache>
                <c:ptCount val="1"/>
                <c:pt idx="0">
                  <c:v>cpu_clk_unhalted.thread_any</c:v>
                </c:pt>
              </c:strCache>
            </c:strRef>
          </c:tx>
          <c:spPr>
            <a:ln>
              <a:solidFill>
                <a:srgbClr val="D6272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6272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stat_frq_1'!$K$6:$K$16</c:f>
              <c:numCache>
                <c:formatCode>General</c:formatCode>
                <c:ptCount val="11"/>
                <c:pt idx="0">
                  <c:v>118889823394</c:v>
                </c:pt>
                <c:pt idx="1">
                  <c:v>129896609598</c:v>
                </c:pt>
                <c:pt idx="2">
                  <c:v>129878240512</c:v>
                </c:pt>
                <c:pt idx="3">
                  <c:v>129876289775</c:v>
                </c:pt>
                <c:pt idx="4">
                  <c:v>129879126966</c:v>
                </c:pt>
                <c:pt idx="5">
                  <c:v>129850644518</c:v>
                </c:pt>
                <c:pt idx="6">
                  <c:v>129873685208</c:v>
                </c:pt>
                <c:pt idx="7">
                  <c:v>129844907506</c:v>
                </c:pt>
                <c:pt idx="8">
                  <c:v>129871212824</c:v>
                </c:pt>
                <c:pt idx="9">
                  <c:v>129846569997</c:v>
                </c:pt>
                <c:pt idx="10">
                  <c:v>9279989374</c:v>
                </c:pt>
              </c:numCache>
            </c:numRef>
          </c:val>
        </c:ser>
        <c:ser>
          <c:idx val="7"/>
          <c:order val="7"/>
          <c:tx>
            <c:strRef>
              <c:f>'perf stat_frq_1'!$L$5</c:f>
              <c:strCache>
                <c:ptCount val="1"/>
                <c:pt idx="0">
                  <c:v>power/energy-pkg/</c:v>
                </c:pt>
              </c:strCache>
            </c:strRef>
          </c:tx>
          <c:spPr>
            <a:ln>
              <a:solidFill>
                <a:srgbClr val="FF9896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9896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stat_frq_1'!$L$6:$L$16</c:f>
              <c:numCache>
                <c:formatCode>General</c:formatCode>
                <c:ptCount val="11"/>
                <c:pt idx="0">
                  <c:v>130.59</c:v>
                </c:pt>
                <c:pt idx="1">
                  <c:v>133.59</c:v>
                </c:pt>
                <c:pt idx="2">
                  <c:v>133.7</c:v>
                </c:pt>
                <c:pt idx="3">
                  <c:v>133.67</c:v>
                </c:pt>
                <c:pt idx="4">
                  <c:v>133.65</c:v>
                </c:pt>
                <c:pt idx="5">
                  <c:v>133.76</c:v>
                </c:pt>
                <c:pt idx="6">
                  <c:v>133.76</c:v>
                </c:pt>
                <c:pt idx="7">
                  <c:v>133.77</c:v>
                </c:pt>
                <c:pt idx="8">
                  <c:v>133.81</c:v>
                </c:pt>
                <c:pt idx="9">
                  <c:v>133.75</c:v>
                </c:pt>
                <c:pt idx="10">
                  <c:v>10.08</c:v>
                </c:pt>
              </c:numCache>
            </c:numRef>
          </c:val>
        </c:ser>
        <c:ser>
          <c:idx val="8"/>
          <c:order val="8"/>
          <c:tx>
            <c:strRef>
              <c:f>'perf stat_frq_1'!$M$5</c:f>
              <c:strCache>
                <c:ptCount val="1"/>
                <c:pt idx="0">
                  <c:v>offcore_requests_outstanding.l3_miss_demand_data_rd</c:v>
                </c:pt>
              </c:strCache>
            </c:strRef>
          </c:tx>
          <c:spPr>
            <a:ln>
              <a:solidFill>
                <a:srgbClr val="9467B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467BD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stat_frq_1'!$M$6:$M$16</c:f>
              <c:numCache>
                <c:formatCode>General</c:formatCode>
                <c:ptCount val="11"/>
                <c:pt idx="0">
                  <c:v>6158672</c:v>
                </c:pt>
                <c:pt idx="1">
                  <c:v>7390557</c:v>
                </c:pt>
                <c:pt idx="2">
                  <c:v>5259303</c:v>
                </c:pt>
                <c:pt idx="3">
                  <c:v>2905217</c:v>
                </c:pt>
                <c:pt idx="4">
                  <c:v>4024063</c:v>
                </c:pt>
                <c:pt idx="5">
                  <c:v>2877962</c:v>
                </c:pt>
                <c:pt idx="6">
                  <c:v>3593876</c:v>
                </c:pt>
                <c:pt idx="7">
                  <c:v>2853228</c:v>
                </c:pt>
                <c:pt idx="8">
                  <c:v>2882174</c:v>
                </c:pt>
                <c:pt idx="9">
                  <c:v>2800492</c:v>
                </c:pt>
                <c:pt idx="10">
                  <c:v>4506403</c:v>
                </c:pt>
              </c:numCache>
            </c:numRef>
          </c:val>
        </c:ser>
        <c:ser>
          <c:idx val="9"/>
          <c:order val="9"/>
          <c:tx>
            <c:strRef>
              <c:f>'perf stat_frq_1'!$N$5</c:f>
              <c:strCache>
                <c:ptCount val="1"/>
                <c:pt idx="0">
                  <c:v>offcore_requests.l3_miss_demand_data_rd</c:v>
                </c:pt>
              </c:strCache>
            </c:strRef>
          </c:tx>
          <c:spPr>
            <a:ln>
              <a:solidFill>
                <a:srgbClr val="C5B0D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5B0D5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stat_frq_1'!$N$6:$N$16</c:f>
              <c:numCache>
                <c:formatCode>General</c:formatCode>
                <c:ptCount val="11"/>
                <c:pt idx="0">
                  <c:v>21162</c:v>
                </c:pt>
                <c:pt idx="1">
                  <c:v>23156</c:v>
                </c:pt>
                <c:pt idx="2">
                  <c:v>16051</c:v>
                </c:pt>
                <c:pt idx="3">
                  <c:v>8293</c:v>
                </c:pt>
                <c:pt idx="4">
                  <c:v>11728</c:v>
                </c:pt>
                <c:pt idx="5">
                  <c:v>8292</c:v>
                </c:pt>
                <c:pt idx="6">
                  <c:v>10268</c:v>
                </c:pt>
                <c:pt idx="7">
                  <c:v>8095</c:v>
                </c:pt>
                <c:pt idx="8">
                  <c:v>8081</c:v>
                </c:pt>
                <c:pt idx="9">
                  <c:v>7923</c:v>
                </c:pt>
                <c:pt idx="10">
                  <c:v>14978</c:v>
                </c:pt>
              </c:numCache>
            </c:numRef>
          </c:val>
        </c:ser>
        <c:ser>
          <c:idx val="10"/>
          <c:order val="10"/>
          <c:tx>
            <c:strRef>
              <c:f>'perf stat_frq_1'!$O$5</c:f>
              <c:strCache>
                <c:ptCount val="1"/>
                <c:pt idx="0">
                  <c:v>unc0_read_write</c:v>
                </c:pt>
              </c:strCache>
            </c:strRef>
          </c:tx>
          <c:spPr>
            <a:ln>
              <a:solidFill>
                <a:srgbClr val="8C564B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8C564B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stat_frq_1'!$O$6:$O$16</c:f>
              <c:numCache>
                <c:formatCode>General</c:formatCode>
                <c:ptCount val="11"/>
                <c:pt idx="0">
                  <c:v>138137</c:v>
                </c:pt>
                <c:pt idx="1">
                  <c:v>132051</c:v>
                </c:pt>
                <c:pt idx="2">
                  <c:v>98233</c:v>
                </c:pt>
                <c:pt idx="3">
                  <c:v>58480</c:v>
                </c:pt>
                <c:pt idx="4">
                  <c:v>69081</c:v>
                </c:pt>
                <c:pt idx="5">
                  <c:v>64355</c:v>
                </c:pt>
                <c:pt idx="6">
                  <c:v>64706</c:v>
                </c:pt>
                <c:pt idx="7">
                  <c:v>62074</c:v>
                </c:pt>
                <c:pt idx="8">
                  <c:v>63144</c:v>
                </c:pt>
                <c:pt idx="9">
                  <c:v>62254</c:v>
                </c:pt>
                <c:pt idx="10">
                  <c:v>38156</c:v>
                </c:pt>
              </c:numCache>
            </c:numRef>
          </c:val>
        </c:ser>
        <c:ser>
          <c:idx val="11"/>
          <c:order val="11"/>
          <c:tx>
            <c:strRef>
              <c:f>'perf stat_frq_1'!$P$5</c:f>
              <c:strCache>
                <c:ptCount val="1"/>
                <c:pt idx="0">
                  <c:v>unc1_read_write</c:v>
                </c:pt>
              </c:strCache>
            </c:strRef>
          </c:tx>
          <c:spPr>
            <a:ln>
              <a:solidFill>
                <a:srgbClr val="C49C9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49C94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stat_frq_1'!$P$6:$P$16</c:f>
              <c:numCache>
                <c:formatCode>General</c:formatCode>
                <c:ptCount val="11"/>
                <c:pt idx="0">
                  <c:v>135585</c:v>
                </c:pt>
                <c:pt idx="1">
                  <c:v>125426</c:v>
                </c:pt>
                <c:pt idx="2">
                  <c:v>99589</c:v>
                </c:pt>
                <c:pt idx="3">
                  <c:v>69559</c:v>
                </c:pt>
                <c:pt idx="4">
                  <c:v>73611</c:v>
                </c:pt>
                <c:pt idx="5">
                  <c:v>71605</c:v>
                </c:pt>
                <c:pt idx="6">
                  <c:v>76249</c:v>
                </c:pt>
                <c:pt idx="7">
                  <c:v>70517</c:v>
                </c:pt>
                <c:pt idx="8">
                  <c:v>73166</c:v>
                </c:pt>
                <c:pt idx="9">
                  <c:v>73520</c:v>
                </c:pt>
                <c:pt idx="10">
                  <c:v>35469</c:v>
                </c:pt>
              </c:numCache>
            </c:numRef>
          </c:val>
        </c:ser>
        <c:ser>
          <c:idx val="12"/>
          <c:order val="12"/>
          <c:tx>
            <c:strRef>
              <c:f>'perf stat_frq_1'!$Q$5</c:f>
              <c:strCache>
                <c:ptCount val="1"/>
                <c:pt idx="0">
                  <c:v>unc2_read_write</c:v>
                </c:pt>
              </c:strCache>
            </c:strRef>
          </c:tx>
          <c:spPr>
            <a:ln>
              <a:solidFill>
                <a:srgbClr val="E377C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E377C2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stat_frq_1'!$Q$6:$Q$16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'perf stat_frq_1'!$R$5</c:f>
              <c:strCache>
                <c:ptCount val="1"/>
                <c:pt idx="0">
                  <c:v>unc3_read_write</c:v>
                </c:pt>
              </c:strCache>
            </c:strRef>
          </c:tx>
          <c:spPr>
            <a:ln>
              <a:solidFill>
                <a:srgbClr val="F7B6D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7B6D2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stat_frq_1'!$R$6:$R$16</c:f>
              <c:numCache>
                <c:formatCode>General</c:formatCode>
                <c:ptCount val="11"/>
                <c:pt idx="0">
                  <c:v>123759</c:v>
                </c:pt>
                <c:pt idx="1">
                  <c:v>119758</c:v>
                </c:pt>
                <c:pt idx="2">
                  <c:v>93221</c:v>
                </c:pt>
                <c:pt idx="3">
                  <c:v>64058</c:v>
                </c:pt>
                <c:pt idx="4">
                  <c:v>66526</c:v>
                </c:pt>
                <c:pt idx="5">
                  <c:v>68021</c:v>
                </c:pt>
                <c:pt idx="6">
                  <c:v>65499</c:v>
                </c:pt>
                <c:pt idx="7">
                  <c:v>66414</c:v>
                </c:pt>
                <c:pt idx="8">
                  <c:v>67163</c:v>
                </c:pt>
                <c:pt idx="9">
                  <c:v>68299</c:v>
                </c:pt>
                <c:pt idx="10">
                  <c:v>32845</c:v>
                </c:pt>
              </c:numCache>
            </c:numRef>
          </c:val>
        </c:ser>
        <c:ser>
          <c:idx val="14"/>
          <c:order val="14"/>
          <c:tx>
            <c:strRef>
              <c:f>'perf stat_frq_1'!$S$5</c:f>
              <c:strCache>
                <c:ptCount val="1"/>
                <c:pt idx="0">
                  <c:v>unc4_read_write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7F7F7F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stat_frq_1'!$S$6:$S$16</c:f>
              <c:numCache>
                <c:formatCode>General</c:formatCode>
                <c:ptCount val="11"/>
                <c:pt idx="0">
                  <c:v>125189</c:v>
                </c:pt>
                <c:pt idx="1">
                  <c:v>107610</c:v>
                </c:pt>
                <c:pt idx="2">
                  <c:v>85881</c:v>
                </c:pt>
                <c:pt idx="3">
                  <c:v>55064</c:v>
                </c:pt>
                <c:pt idx="4">
                  <c:v>58403</c:v>
                </c:pt>
                <c:pt idx="5">
                  <c:v>58231</c:v>
                </c:pt>
                <c:pt idx="6">
                  <c:v>58378</c:v>
                </c:pt>
                <c:pt idx="7">
                  <c:v>57615</c:v>
                </c:pt>
                <c:pt idx="8">
                  <c:v>58054</c:v>
                </c:pt>
                <c:pt idx="9">
                  <c:v>60065</c:v>
                </c:pt>
                <c:pt idx="10">
                  <c:v>35600</c:v>
                </c:pt>
              </c:numCache>
            </c:numRef>
          </c:val>
        </c:ser>
        <c:ser>
          <c:idx val="15"/>
          <c:order val="15"/>
          <c:tx>
            <c:strRef>
              <c:f>'perf stat_frq_1'!$T$5</c:f>
              <c:strCache>
                <c:ptCount val="1"/>
                <c:pt idx="0">
                  <c:v>unc5_read_write</c:v>
                </c:pt>
              </c:strCache>
            </c:strRef>
          </c:tx>
          <c:spPr>
            <a:ln>
              <a:solidFill>
                <a:srgbClr val="C7C7C7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7C7C7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stat_frq_1'!$T$6:$T$16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'perf stat_frq_1'!$U$5</c:f>
              <c:strCache>
                <c:ptCount val="1"/>
                <c:pt idx="0">
                  <c:v>qpi_data_bandwidth_tx0</c:v>
                </c:pt>
              </c:strCache>
            </c:strRef>
          </c:tx>
          <c:spPr>
            <a:ln>
              <a:solidFill>
                <a:srgbClr val="BCBD2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BCBD22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stat_frq_1'!$U$6:$U$16</c:f>
              <c:numCache>
                <c:formatCode>General</c:formatCode>
                <c:ptCount val="11"/>
                <c:pt idx="0">
                  <c:v>375579</c:v>
                </c:pt>
                <c:pt idx="1">
                  <c:v>662049</c:v>
                </c:pt>
                <c:pt idx="2">
                  <c:v>444690</c:v>
                </c:pt>
                <c:pt idx="3">
                  <c:v>210861</c:v>
                </c:pt>
                <c:pt idx="4">
                  <c:v>239139</c:v>
                </c:pt>
                <c:pt idx="5">
                  <c:v>229464</c:v>
                </c:pt>
                <c:pt idx="6">
                  <c:v>238734</c:v>
                </c:pt>
                <c:pt idx="7">
                  <c:v>206928</c:v>
                </c:pt>
                <c:pt idx="8">
                  <c:v>228528</c:v>
                </c:pt>
                <c:pt idx="9">
                  <c:v>221976</c:v>
                </c:pt>
                <c:pt idx="10">
                  <c:v>187938</c:v>
                </c:pt>
              </c:numCache>
            </c:numRef>
          </c:val>
        </c:ser>
        <c:ser>
          <c:idx val="17"/>
          <c:order val="17"/>
          <c:tx>
            <c:strRef>
              <c:f>'perf stat_frq_1'!$V$5</c:f>
              <c:strCache>
                <c:ptCount val="1"/>
                <c:pt idx="0">
                  <c:v>qpi_data_bandwidth_tx1</c:v>
                </c:pt>
              </c:strCache>
            </c:strRef>
          </c:tx>
          <c:spPr>
            <a:ln>
              <a:solidFill>
                <a:srgbClr val="DBDB8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BDB8D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stat_frq_1'!$V$6:$V$16</c:f>
              <c:numCache>
                <c:formatCode>General</c:formatCode>
                <c:ptCount val="11"/>
                <c:pt idx="0">
                  <c:v>365742</c:v>
                </c:pt>
                <c:pt idx="1">
                  <c:v>667197</c:v>
                </c:pt>
                <c:pt idx="2">
                  <c:v>430677</c:v>
                </c:pt>
                <c:pt idx="3">
                  <c:v>202221</c:v>
                </c:pt>
                <c:pt idx="4">
                  <c:v>223551</c:v>
                </c:pt>
                <c:pt idx="5">
                  <c:v>221598</c:v>
                </c:pt>
                <c:pt idx="6">
                  <c:v>232677</c:v>
                </c:pt>
                <c:pt idx="7">
                  <c:v>198414</c:v>
                </c:pt>
                <c:pt idx="8">
                  <c:v>218889</c:v>
                </c:pt>
                <c:pt idx="9">
                  <c:v>213705</c:v>
                </c:pt>
                <c:pt idx="10">
                  <c:v>184626</c:v>
                </c:pt>
              </c:numCache>
            </c:numRef>
          </c:val>
        </c:ser>
        <c:ser>
          <c:idx val="18"/>
          <c:order val="18"/>
          <c:tx>
            <c:strRef>
              <c:f>'perf stat_frq_1'!$W$5</c:f>
              <c:strCache>
                <c:ptCount val="1"/>
                <c:pt idx="0">
                  <c:v>UNC_CHA_TOR_INSERTS.IA.0x40433</c:v>
                </c:pt>
              </c:strCache>
            </c:strRef>
          </c:tx>
          <c:spPr>
            <a:ln>
              <a:solidFill>
                <a:srgbClr val="17BEC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7BECF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stat_frq_1'!$W$6:$W$16</c:f>
              <c:numCache>
                <c:formatCode>General</c:formatCode>
                <c:ptCount val="11"/>
                <c:pt idx="0">
                  <c:v>25951</c:v>
                </c:pt>
                <c:pt idx="1">
                  <c:v>28496</c:v>
                </c:pt>
                <c:pt idx="2">
                  <c:v>22618</c:v>
                </c:pt>
                <c:pt idx="3">
                  <c:v>17911</c:v>
                </c:pt>
                <c:pt idx="4">
                  <c:v>19093</c:v>
                </c:pt>
                <c:pt idx="5">
                  <c:v>18439</c:v>
                </c:pt>
                <c:pt idx="6">
                  <c:v>19004</c:v>
                </c:pt>
                <c:pt idx="7">
                  <c:v>17560</c:v>
                </c:pt>
                <c:pt idx="8">
                  <c:v>18219</c:v>
                </c:pt>
                <c:pt idx="9">
                  <c:v>18687</c:v>
                </c:pt>
                <c:pt idx="10">
                  <c:v>9387</c:v>
                </c:pt>
              </c:numCache>
            </c:numRef>
          </c:val>
        </c:ser>
        <c:ser>
          <c:idx val="19"/>
          <c:order val="19"/>
          <c:tx>
            <c:strRef>
              <c:f>'perf stat_frq_1'!$X$5</c:f>
              <c:strCache>
                <c:ptCount val="1"/>
                <c:pt idx="0">
                  <c:v>UNC_CHA_TOR_INSERTS.IA_MISS.0x40433</c:v>
                </c:pt>
              </c:strCache>
            </c:strRef>
          </c:tx>
          <c:spPr>
            <a:ln>
              <a:solidFill>
                <a:srgbClr val="9EDAE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EDAE5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stat_frq_1'!$X$6:$X$16</c:f>
              <c:numCache>
                <c:formatCode>General</c:formatCode>
                <c:ptCount val="11"/>
                <c:pt idx="0">
                  <c:v>3500</c:v>
                </c:pt>
                <c:pt idx="1">
                  <c:v>9056</c:v>
                </c:pt>
                <c:pt idx="2">
                  <c:v>5235</c:v>
                </c:pt>
                <c:pt idx="3">
                  <c:v>1707</c:v>
                </c:pt>
                <c:pt idx="4">
                  <c:v>2038</c:v>
                </c:pt>
                <c:pt idx="5">
                  <c:v>1828</c:v>
                </c:pt>
                <c:pt idx="6">
                  <c:v>1775</c:v>
                </c:pt>
                <c:pt idx="7">
                  <c:v>1600</c:v>
                </c:pt>
                <c:pt idx="8">
                  <c:v>1614</c:v>
                </c:pt>
                <c:pt idx="9">
                  <c:v>1684</c:v>
                </c:pt>
                <c:pt idx="10">
                  <c:v>2524</c:v>
                </c:pt>
              </c:numCache>
            </c:numRef>
          </c:val>
        </c:ser>
        <c:ser>
          <c:idx val="20"/>
          <c:order val="20"/>
          <c:tx>
            <c:strRef>
              <c:f>'perf stat_frq_1'!$Y$5</c:f>
              <c:strCache>
                <c:ptCount val="1"/>
                <c:pt idx="0">
                  <c:v>UNC_CHA_TOR_OCCUPANCY.IA_MISS.0x40433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F77B4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stat_frq_1'!$Y$6:$Y$16</c:f>
              <c:numCache>
                <c:formatCode>General</c:formatCode>
                <c:ptCount val="11"/>
                <c:pt idx="0">
                  <c:v>1247390</c:v>
                </c:pt>
                <c:pt idx="1">
                  <c:v>3311861</c:v>
                </c:pt>
                <c:pt idx="2">
                  <c:v>1862769</c:v>
                </c:pt>
                <c:pt idx="3">
                  <c:v>649590</c:v>
                </c:pt>
                <c:pt idx="4">
                  <c:v>777630</c:v>
                </c:pt>
                <c:pt idx="5">
                  <c:v>693696</c:v>
                </c:pt>
                <c:pt idx="6">
                  <c:v>692588</c:v>
                </c:pt>
                <c:pt idx="7">
                  <c:v>628391</c:v>
                </c:pt>
                <c:pt idx="8">
                  <c:v>628269</c:v>
                </c:pt>
                <c:pt idx="9">
                  <c:v>648671</c:v>
                </c:pt>
                <c:pt idx="10">
                  <c:v>932039</c:v>
                </c:pt>
              </c:numCache>
            </c:numRef>
          </c:val>
        </c:ser>
        <c:ser>
          <c:idx val="21"/>
          <c:order val="21"/>
          <c:tx>
            <c:strRef>
              <c:f>'perf stat_frq_1'!$Z$5</c:f>
              <c:strCache>
                <c:ptCount val="1"/>
                <c:pt idx="0">
                  <c:v>UNC_CHA_CLOCKTICKS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stat_frq_1'!$Z$6:$Z$16</c:f>
              <c:numCache>
                <c:formatCode>General</c:formatCode>
                <c:ptCount val="11"/>
                <c:pt idx="0">
                  <c:v>4876734584</c:v>
                </c:pt>
                <c:pt idx="1">
                  <c:v>4811253248</c:v>
                </c:pt>
                <c:pt idx="2">
                  <c:v>4810373666</c:v>
                </c:pt>
                <c:pt idx="3">
                  <c:v>4810249528</c:v>
                </c:pt>
                <c:pt idx="4">
                  <c:v>4810323706</c:v>
                </c:pt>
                <c:pt idx="5">
                  <c:v>4809339394</c:v>
                </c:pt>
                <c:pt idx="6">
                  <c:v>4810107160</c:v>
                </c:pt>
                <c:pt idx="7">
                  <c:v>4809097724</c:v>
                </c:pt>
                <c:pt idx="8">
                  <c:v>4810056626</c:v>
                </c:pt>
                <c:pt idx="9">
                  <c:v>4809126360</c:v>
                </c:pt>
                <c:pt idx="10">
                  <c:v>370258382</c:v>
                </c:pt>
              </c:numCache>
            </c:numRef>
          </c:val>
        </c:ser>
        <c:ser>
          <c:idx val="22"/>
          <c:order val="22"/>
          <c:tx>
            <c:strRef>
              <c:f>'perf stat_frq_1'!$AA$5</c:f>
              <c:strCache>
                <c:ptCount val="1"/>
                <c:pt idx="0">
                  <c:v>%not_halted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stat_frq_1'!$AA$6:$AA$16</c:f>
              <c:numCache>
                <c:formatCode>General</c:formatCode>
                <c:ptCount val="11"/>
                <c:pt idx="0">
                  <c:v>89.9948</c:v>
                </c:pt>
                <c:pt idx="1">
                  <c:v>99.9906</c:v>
                </c:pt>
                <c:pt idx="2">
                  <c:v>99.9973</c:v>
                </c:pt>
                <c:pt idx="3">
                  <c:v>99.99930000000001</c:v>
                </c:pt>
                <c:pt idx="4">
                  <c:v>100.001</c:v>
                </c:pt>
                <c:pt idx="5">
                  <c:v>99.99809999999999</c:v>
                </c:pt>
                <c:pt idx="6">
                  <c:v>100.001</c:v>
                </c:pt>
                <c:pt idx="7">
                  <c:v>99.999</c:v>
                </c:pt>
                <c:pt idx="8">
                  <c:v>99.99930000000001</c:v>
                </c:pt>
                <c:pt idx="9">
                  <c:v>100</c:v>
                </c:pt>
                <c:pt idx="10">
                  <c:v>92.4686</c:v>
                </c:pt>
              </c:numCache>
            </c:numRef>
          </c:val>
        </c:ser>
        <c:ser>
          <c:idx val="23"/>
          <c:order val="23"/>
          <c:tx>
            <c:strRef>
              <c:f>'perf stat_frq_1'!$AB$5</c:f>
              <c:strCache>
                <c:ptCount val="1"/>
                <c:pt idx="0">
                  <c:v>%both_HT_threads_active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stat_frq_1'!$AB$6:$AB$16</c:f>
              <c:numCache>
                <c:formatCode>General</c:formatCode>
                <c:ptCount val="11"/>
                <c:pt idx="0">
                  <c:v>99.5209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98.82599999999999</c:v>
                </c:pt>
              </c:numCache>
            </c:numRef>
          </c:val>
        </c:ser>
        <c:ser>
          <c:idx val="24"/>
          <c:order val="24"/>
          <c:tx>
            <c:strRef>
              <c:f>'perf stat_frq_1'!$AC$5</c:f>
              <c:strCache>
                <c:ptCount val="1"/>
                <c:pt idx="0">
                  <c:v>uncore_freq (GHz)</c:v>
                </c:pt>
              </c:strCache>
            </c:strRef>
          </c:tx>
          <c:spPr>
            <a:ln>
              <a:solidFill>
                <a:srgbClr val="2CA02C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2CA02C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stat_frq_1'!$AC$6:$AC$16</c:f>
              <c:numCache>
                <c:formatCode>General</c:formatCode>
                <c:ptCount val="11"/>
                <c:pt idx="0">
                  <c:v>2.39777</c:v>
                </c:pt>
                <c:pt idx="1">
                  <c:v>2.39991</c:v>
                </c:pt>
                <c:pt idx="2">
                  <c:v>2.39997</c:v>
                </c:pt>
                <c:pt idx="3">
                  <c:v>2.39999</c:v>
                </c:pt>
                <c:pt idx="4">
                  <c:v>2.40001</c:v>
                </c:pt>
                <c:pt idx="5">
                  <c:v>2.39998</c:v>
                </c:pt>
                <c:pt idx="6">
                  <c:v>2.40001</c:v>
                </c:pt>
                <c:pt idx="7">
                  <c:v>2.39999</c:v>
                </c:pt>
                <c:pt idx="8">
                  <c:v>2.39999</c:v>
                </c:pt>
                <c:pt idx="9">
                  <c:v>2.4</c:v>
                </c:pt>
                <c:pt idx="10">
                  <c:v>2.40475</c:v>
                </c:pt>
              </c:numCache>
            </c:numRef>
          </c:val>
        </c:ser>
        <c:ser>
          <c:idx val="25"/>
          <c:order val="25"/>
          <c:tx>
            <c:strRef>
              <c:f>'perf stat_frq_1'!$AD$5</c:f>
              <c:strCache>
                <c:ptCount val="1"/>
                <c:pt idx="0">
                  <c:v>avg_freq (GHz)</c:v>
                </c:pt>
              </c:strCache>
            </c:strRef>
          </c:tx>
          <c:spPr>
            <a:ln>
              <a:solidFill>
                <a:srgbClr val="98DF8A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8DF8A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stat_frq_1'!$AD$6:$AD$16</c:f>
              <c:numCache>
                <c:formatCode>General</c:formatCode>
                <c:ptCount val="11"/>
                <c:pt idx="0">
                  <c:v>2.69994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2.69992</c:v>
                </c:pt>
              </c:numCache>
            </c:numRef>
          </c:val>
        </c:ser>
        <c:ser>
          <c:idx val="26"/>
          <c:order val="26"/>
          <c:tx>
            <c:strRef>
              <c:f>'perf stat_frq_1'!$AE$5</c:f>
              <c:strCache>
                <c:ptCount val="1"/>
                <c:pt idx="0">
                  <c:v>LLC-misses PKI</c:v>
                </c:pt>
              </c:strCache>
            </c:strRef>
          </c:tx>
          <c:spPr>
            <a:ln>
              <a:solidFill>
                <a:srgbClr val="D6272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6272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stat_frq_1'!$AE$6:$AE$16</c:f>
              <c:numCache>
                <c:formatCode>General</c:formatCode>
                <c:ptCount val="11"/>
                <c:pt idx="0">
                  <c:v>2.9531e-05</c:v>
                </c:pt>
                <c:pt idx="1">
                  <c:v>6.97609e-05</c:v>
                </c:pt>
                <c:pt idx="2">
                  <c:v>4.03275e-05</c:v>
                </c:pt>
                <c:pt idx="3">
                  <c:v>1.31484e-05</c:v>
                </c:pt>
                <c:pt idx="4">
                  <c:v>1.56985e-05</c:v>
                </c:pt>
                <c:pt idx="5">
                  <c:v>1.40831e-05</c:v>
                </c:pt>
                <c:pt idx="6">
                  <c:v>1.36726e-05</c:v>
                </c:pt>
                <c:pt idx="7">
                  <c:v>1.23272e-05</c:v>
                </c:pt>
                <c:pt idx="8">
                  <c:v>1.24327e-05</c:v>
                </c:pt>
                <c:pt idx="9">
                  <c:v>1.29741e-05</c:v>
                </c:pt>
                <c:pt idx="10">
                  <c:v>0.000274036</c:v>
                </c:pt>
              </c:numCache>
            </c:numRef>
          </c:val>
        </c:ser>
        <c:ser>
          <c:idx val="27"/>
          <c:order val="27"/>
          <c:tx>
            <c:strRef>
              <c:f>'perf stat_frq_1'!$AF$5</c:f>
              <c:strCache>
                <c:ptCount val="1"/>
                <c:pt idx="0">
                  <c:v>LLC-miss bw (GB/s)</c:v>
                </c:pt>
              </c:strCache>
            </c:strRef>
          </c:tx>
          <c:spPr>
            <a:ln>
              <a:solidFill>
                <a:srgbClr val="FF9896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9896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stat_frq_1'!$AF$6:$AF$16</c:f>
              <c:numCache>
                <c:formatCode>General</c:formatCode>
                <c:ptCount val="11"/>
                <c:pt idx="0">
                  <c:v>0.000220271</c:v>
                </c:pt>
                <c:pt idx="1">
                  <c:v>0.0005782060000000001</c:v>
                </c:pt>
                <c:pt idx="2">
                  <c:v>0.000334313</c:v>
                </c:pt>
                <c:pt idx="3">
                  <c:v>0.000109015</c:v>
                </c:pt>
                <c:pt idx="4">
                  <c:v>0.000130152</c:v>
                </c:pt>
                <c:pt idx="5">
                  <c:v>0.000116764</c:v>
                </c:pt>
                <c:pt idx="6">
                  <c:v>0.000113362</c:v>
                </c:pt>
                <c:pt idx="7">
                  <c:v>0.000102206</c:v>
                </c:pt>
                <c:pt idx="8">
                  <c:v>0.00010308</c:v>
                </c:pt>
                <c:pt idx="9">
                  <c:v>0.000107572</c:v>
                </c:pt>
                <c:pt idx="10">
                  <c:v>0.00209829</c:v>
                </c:pt>
              </c:numCache>
            </c:numRef>
          </c:val>
        </c:ser>
        <c:ser>
          <c:idx val="28"/>
          <c:order val="28"/>
          <c:tx>
            <c:strRef>
              <c:f>'perf stat_frq_1'!$AG$5</c:f>
              <c:strCache>
                <c:ptCount val="1"/>
                <c:pt idx="0">
                  <c:v>L3 miss latency (core_clks)</c:v>
                </c:pt>
              </c:strCache>
            </c:strRef>
          </c:tx>
          <c:spPr>
            <a:ln>
              <a:solidFill>
                <a:srgbClr val="9467B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467BD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stat_frq_1'!$AG$6:$AG$16</c:f>
              <c:numCache>
                <c:formatCode>General</c:formatCode>
                <c:ptCount val="11"/>
                <c:pt idx="0">
                  <c:v>356.397</c:v>
                </c:pt>
                <c:pt idx="1">
                  <c:v>365.709</c:v>
                </c:pt>
                <c:pt idx="2">
                  <c:v>355.83</c:v>
                </c:pt>
                <c:pt idx="3">
                  <c:v>380.545</c:v>
                </c:pt>
                <c:pt idx="4">
                  <c:v>381.565</c:v>
                </c:pt>
                <c:pt idx="5">
                  <c:v>379.484</c:v>
                </c:pt>
                <c:pt idx="6">
                  <c:v>390.19</c:v>
                </c:pt>
                <c:pt idx="7">
                  <c:v>392.744</c:v>
                </c:pt>
                <c:pt idx="8">
                  <c:v>389.262</c:v>
                </c:pt>
                <c:pt idx="9">
                  <c:v>385.197</c:v>
                </c:pt>
                <c:pt idx="10">
                  <c:v>369.271</c:v>
                </c:pt>
              </c:numCache>
            </c:numRef>
          </c:val>
        </c:ser>
        <c:ser>
          <c:idx val="29"/>
          <c:order val="29"/>
          <c:tx>
            <c:strRef>
              <c:f>'perf stat_frq_1'!$AH$5</c:f>
              <c:strCache>
                <c:ptCount val="1"/>
                <c:pt idx="0">
                  <c:v>L3 miss latency (ns)</c:v>
                </c:pt>
              </c:strCache>
            </c:strRef>
          </c:tx>
          <c:spPr>
            <a:ln>
              <a:solidFill>
                <a:srgbClr val="C5B0D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5B0D5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stat_frq_1'!$AH$6:$AH$16</c:f>
              <c:numCache>
                <c:formatCode>General</c:formatCode>
                <c:ptCount val="11"/>
                <c:pt idx="0">
                  <c:v>148.637</c:v>
                </c:pt>
                <c:pt idx="1">
                  <c:v>152.384</c:v>
                </c:pt>
                <c:pt idx="2">
                  <c:v>148.264</c:v>
                </c:pt>
                <c:pt idx="3">
                  <c:v>158.561</c:v>
                </c:pt>
                <c:pt idx="4">
                  <c:v>158.985</c:v>
                </c:pt>
                <c:pt idx="5">
                  <c:v>158.119</c:v>
                </c:pt>
                <c:pt idx="6">
                  <c:v>162.578</c:v>
                </c:pt>
                <c:pt idx="7">
                  <c:v>163.644</c:v>
                </c:pt>
                <c:pt idx="8">
                  <c:v>162.193</c:v>
                </c:pt>
                <c:pt idx="9">
                  <c:v>160.498</c:v>
                </c:pt>
                <c:pt idx="10">
                  <c:v>153.559</c:v>
                </c:pt>
              </c:numCache>
            </c:numRef>
          </c:val>
        </c:ser>
        <c:ser>
          <c:idx val="30"/>
          <c:order val="30"/>
          <c:tx>
            <c:strRef>
              <c:f>'perf stat_frq_1'!$AI$5</c:f>
              <c:strCache>
                <c:ptCount val="1"/>
                <c:pt idx="0">
                  <c:v>%LLC misses</c:v>
                </c:pt>
              </c:strCache>
            </c:strRef>
          </c:tx>
          <c:spPr>
            <a:ln>
              <a:solidFill>
                <a:srgbClr val="8C564B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8C564B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stat_frq_1'!$AI$6:$AI$16</c:f>
              <c:numCache>
                <c:formatCode>General</c:formatCode>
                <c:ptCount val="11"/>
                <c:pt idx="0">
                  <c:v>13.487</c:v>
                </c:pt>
                <c:pt idx="1">
                  <c:v>31.7799</c:v>
                </c:pt>
                <c:pt idx="2">
                  <c:v>23.1453</c:v>
                </c:pt>
                <c:pt idx="3">
                  <c:v>9.53046</c:v>
                </c:pt>
                <c:pt idx="4">
                  <c:v>10.6741</c:v>
                </c:pt>
                <c:pt idx="5">
                  <c:v>9.91377</c:v>
                </c:pt>
                <c:pt idx="6">
                  <c:v>9.34014</c:v>
                </c:pt>
                <c:pt idx="7">
                  <c:v>9.11162</c:v>
                </c:pt>
                <c:pt idx="8">
                  <c:v>8.858879999999999</c:v>
                </c:pt>
                <c:pt idx="9">
                  <c:v>9.011609999999999</c:v>
                </c:pt>
                <c:pt idx="10">
                  <c:v>26.8882</c:v>
                </c:pt>
              </c:numCache>
            </c:numRef>
          </c:val>
        </c:ser>
        <c:ser>
          <c:idx val="31"/>
          <c:order val="31"/>
          <c:tx>
            <c:strRef>
              <c:f>'perf stat_frq_1'!$AJ$5</c:f>
              <c:strCache>
                <c:ptCount val="1"/>
                <c:pt idx="0">
                  <c:v>unc_read_write (GB/s)</c:v>
                </c:pt>
              </c:strCache>
            </c:strRef>
          </c:tx>
          <c:spPr>
            <a:ln>
              <a:solidFill>
                <a:srgbClr val="C49C9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49C94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stat_frq_1'!$AJ$6:$AJ$16</c:f>
              <c:numCache>
                <c:formatCode>General</c:formatCode>
                <c:ptCount val="11"/>
                <c:pt idx="0">
                  <c:v>0.032894</c:v>
                </c:pt>
                <c:pt idx="1">
                  <c:v>0.0309563</c:v>
                </c:pt>
                <c:pt idx="2">
                  <c:v>0.0240708</c:v>
                </c:pt>
                <c:pt idx="3">
                  <c:v>0.0157845</c:v>
                </c:pt>
                <c:pt idx="4">
                  <c:v>0.017091</c:v>
                </c:pt>
                <c:pt idx="5">
                  <c:v>0.0167488</c:v>
                </c:pt>
                <c:pt idx="6">
                  <c:v>0.0169137</c:v>
                </c:pt>
                <c:pt idx="7">
                  <c:v>0.0163925</c:v>
                </c:pt>
                <c:pt idx="8">
                  <c:v>0.0167027</c:v>
                </c:pt>
                <c:pt idx="9">
                  <c:v>0.0168728</c:v>
                </c:pt>
                <c:pt idx="10">
                  <c:v>0.118108</c:v>
                </c:pt>
              </c:numCache>
            </c:numRef>
          </c:val>
        </c:ser>
        <c:ser>
          <c:idx val="32"/>
          <c:order val="32"/>
          <c:tx>
            <c:strRef>
              <c:f>'perf stat_frq_1'!$AK$5</c:f>
              <c:strCache>
                <c:ptCount val="1"/>
                <c:pt idx="0">
                  <c:v>IPC</c:v>
                </c:pt>
              </c:strCache>
            </c:strRef>
          </c:tx>
          <c:spPr>
            <a:ln>
              <a:solidFill>
                <a:srgbClr val="E377C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E377C2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stat_frq_1'!$AK$6:$AK$16</c:f>
              <c:numCache>
                <c:formatCode>General</c:formatCode>
                <c:ptCount val="11"/>
                <c:pt idx="0">
                  <c:v>0.999278</c:v>
                </c:pt>
                <c:pt idx="1">
                  <c:v>0.99937</c:v>
                </c:pt>
                <c:pt idx="2">
                  <c:v>0.999492</c:v>
                </c:pt>
                <c:pt idx="3">
                  <c:v>0.999609</c:v>
                </c:pt>
                <c:pt idx="4">
                  <c:v>0.999555</c:v>
                </c:pt>
                <c:pt idx="5">
                  <c:v>0.999614</c:v>
                </c:pt>
                <c:pt idx="6">
                  <c:v>0.999597</c:v>
                </c:pt>
                <c:pt idx="7">
                  <c:v>0.999611</c:v>
                </c:pt>
                <c:pt idx="8">
                  <c:v>0.9996</c:v>
                </c:pt>
                <c:pt idx="9">
                  <c:v>0.999619</c:v>
                </c:pt>
                <c:pt idx="10">
                  <c:v>0.99837</c:v>
                </c:pt>
              </c:numCache>
            </c:numRef>
          </c:val>
        </c:ser>
        <c:ser>
          <c:idx val="33"/>
          <c:order val="33"/>
          <c:tx>
            <c:strRef>
              <c:f>'perf stat_frq_1'!$AL$5</c:f>
              <c:strCache>
                <c:ptCount val="1"/>
                <c:pt idx="0">
                  <c:v>CPI</c:v>
                </c:pt>
              </c:strCache>
            </c:strRef>
          </c:tx>
          <c:spPr>
            <a:ln>
              <a:solidFill>
                <a:srgbClr val="F7B6D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7B6D2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stat_frq_1'!$AL$6:$AL$16</c:f>
              <c:numCache>
                <c:formatCode>General</c:formatCode>
                <c:ptCount val="11"/>
                <c:pt idx="0">
                  <c:v>1.00072</c:v>
                </c:pt>
                <c:pt idx="1">
                  <c:v>1.00063</c:v>
                </c:pt>
                <c:pt idx="2">
                  <c:v>1.00051</c:v>
                </c:pt>
                <c:pt idx="3">
                  <c:v>1.00039</c:v>
                </c:pt>
                <c:pt idx="4">
                  <c:v>1.00044</c:v>
                </c:pt>
                <c:pt idx="5">
                  <c:v>1.00039</c:v>
                </c:pt>
                <c:pt idx="6">
                  <c:v>1.0004</c:v>
                </c:pt>
                <c:pt idx="7">
                  <c:v>1.00039</c:v>
                </c:pt>
                <c:pt idx="8">
                  <c:v>1.0004</c:v>
                </c:pt>
                <c:pt idx="9">
                  <c:v>1.00038</c:v>
                </c:pt>
                <c:pt idx="10">
                  <c:v>1.00163</c:v>
                </c:pt>
              </c:numCache>
            </c:numRef>
          </c:val>
        </c:ser>
        <c:ser>
          <c:idx val="34"/>
          <c:order val="34"/>
          <c:tx>
            <c:strRef>
              <c:f>'perf stat_frq_1'!$AM$5</c:f>
              <c:strCache>
                <c:ptCount val="1"/>
                <c:pt idx="0">
                  <c:v>QPI_BW (GB/sec)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7F7F7F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stat_frq_1'!$AM$6:$AM$16</c:f>
              <c:numCache>
                <c:formatCode>General</c:formatCode>
                <c:ptCount val="11"/>
                <c:pt idx="0">
                  <c:v>0.00518385</c:v>
                </c:pt>
                <c:pt idx="1">
                  <c:v>0.009429949999999999</c:v>
                </c:pt>
                <c:pt idx="2">
                  <c:v>0.00621133</c:v>
                </c:pt>
                <c:pt idx="3">
                  <c:v>0.0029312</c:v>
                </c:pt>
                <c:pt idx="4">
                  <c:v>0.00328319</c:v>
                </c:pt>
                <c:pt idx="5">
                  <c:v>0.0032013</c:v>
                </c:pt>
                <c:pt idx="6">
                  <c:v>0.00334523</c:v>
                </c:pt>
                <c:pt idx="7">
                  <c:v>0.00287697</c:v>
                </c:pt>
                <c:pt idx="8">
                  <c:v>0.00317497</c:v>
                </c:pt>
                <c:pt idx="9">
                  <c:v>0.0030923</c:v>
                </c:pt>
                <c:pt idx="10">
                  <c:v>0.0344139</c:v>
                </c:pt>
              </c:numCache>
            </c:numRef>
          </c:val>
        </c:ser>
        <c:ser>
          <c:idx val="35"/>
          <c:order val="35"/>
          <c:tx>
            <c:strRef>
              <c:f>'perf stat_frq_1'!$AN$5</c:f>
              <c:strCache>
                <c:ptCount val="1"/>
                <c:pt idx="0">
                  <c:v>power_pkg (watts)</c:v>
                </c:pt>
              </c:strCache>
            </c:strRef>
          </c:tx>
          <c:spPr>
            <a:ln>
              <a:solidFill>
                <a:srgbClr val="C7C7C7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7C7C7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stat_frq_1'!$AN$6:$AN$16</c:f>
              <c:numCache>
                <c:formatCode>General</c:formatCode>
                <c:ptCount val="11"/>
                <c:pt idx="0">
                  <c:v>128.416</c:v>
                </c:pt>
                <c:pt idx="1">
                  <c:v>133.272</c:v>
                </c:pt>
                <c:pt idx="2">
                  <c:v>133.41</c:v>
                </c:pt>
                <c:pt idx="3">
                  <c:v>133.385</c:v>
                </c:pt>
                <c:pt idx="4">
                  <c:v>133.363</c:v>
                </c:pt>
                <c:pt idx="5">
                  <c:v>133.499</c:v>
                </c:pt>
                <c:pt idx="6">
                  <c:v>133.48</c:v>
                </c:pt>
                <c:pt idx="7">
                  <c:v>133.516</c:v>
                </c:pt>
                <c:pt idx="8">
                  <c:v>133.53</c:v>
                </c:pt>
                <c:pt idx="9">
                  <c:v>133.496</c:v>
                </c:pt>
                <c:pt idx="10">
                  <c:v>130.935</c:v>
                </c:pt>
              </c:numCache>
            </c:numRef>
          </c:val>
        </c:ser>
        <c:ser>
          <c:idx val="36"/>
          <c:order val="36"/>
          <c:tx>
            <c:strRef>
              <c:f>'perf stat_frq_1'!$AO$5</c:f>
              <c:strCache>
                <c:ptCount val="1"/>
                <c:pt idx="0">
                  <c:v>instructions/sec (1e9 instr/sec)</c:v>
                </c:pt>
              </c:strCache>
            </c:strRef>
          </c:tx>
          <c:spPr>
            <a:ln>
              <a:solidFill>
                <a:srgbClr val="BCBD2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BCBD22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stat_frq_1'!$AO$6:$AO$16</c:f>
              <c:numCache>
                <c:formatCode>General</c:formatCode>
                <c:ptCount val="11"/>
                <c:pt idx="0">
                  <c:v>116.546</c:v>
                </c:pt>
                <c:pt idx="1">
                  <c:v>129.506</c:v>
                </c:pt>
                <c:pt idx="2">
                  <c:v>129.531</c:v>
                </c:pt>
                <c:pt idx="3">
                  <c:v>129.548</c:v>
                </c:pt>
                <c:pt idx="4">
                  <c:v>129.543</c:v>
                </c:pt>
                <c:pt idx="5">
                  <c:v>129.547</c:v>
                </c:pt>
                <c:pt idx="6">
                  <c:v>129.549</c:v>
                </c:pt>
                <c:pt idx="7">
                  <c:v>129.548</c:v>
                </c:pt>
                <c:pt idx="8">
                  <c:v>129.547</c:v>
                </c:pt>
                <c:pt idx="9">
                  <c:v>129.551</c:v>
                </c:pt>
                <c:pt idx="10">
                  <c:v>119.64</c:v>
                </c:pt>
              </c:numCache>
            </c:numRef>
          </c:val>
        </c:ser>
        <c:ser>
          <c:idx val="37"/>
          <c:order val="37"/>
          <c:tx>
            <c:strRef>
              <c:f>'perf stat_frq_1'!$AP$5</c:f>
              <c:strCache>
                <c:ptCount val="1"/>
                <c:pt idx="0">
                  <c:v>cpu-cycles/sec (1e9 cycles/sec)</c:v>
                </c:pt>
              </c:strCache>
            </c:strRef>
          </c:tx>
          <c:spPr>
            <a:ln>
              <a:solidFill>
                <a:srgbClr val="DBDB8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BDB8D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stat_frq_1'!$AP$6:$AP$16</c:f>
              <c:numCache>
                <c:formatCode>General</c:formatCode>
                <c:ptCount val="11"/>
                <c:pt idx="0">
                  <c:v>116.63</c:v>
                </c:pt>
                <c:pt idx="1">
                  <c:v>129.588</c:v>
                </c:pt>
                <c:pt idx="2">
                  <c:v>129.596</c:v>
                </c:pt>
                <c:pt idx="3">
                  <c:v>129.599</c:v>
                </c:pt>
                <c:pt idx="4">
                  <c:v>129.601</c:v>
                </c:pt>
                <c:pt idx="5">
                  <c:v>129.597</c:v>
                </c:pt>
                <c:pt idx="6">
                  <c:v>129.602</c:v>
                </c:pt>
                <c:pt idx="7">
                  <c:v>129.599</c:v>
                </c:pt>
                <c:pt idx="8">
                  <c:v>129.599</c:v>
                </c:pt>
                <c:pt idx="9">
                  <c:v>129.6</c:v>
                </c:pt>
                <c:pt idx="10">
                  <c:v>119.836</c:v>
                </c:pt>
              </c:numCache>
            </c:numRef>
          </c:val>
        </c:ser>
        <c:ser>
          <c:idx val="38"/>
          <c:order val="38"/>
          <c:tx>
            <c:strRef>
              <c:f>'perf stat_frq_1'!$AQ$5</c:f>
              <c:strCache>
                <c:ptCount val="1"/>
                <c:pt idx="0">
                  <c:v>coreIpc</c:v>
                </c:pt>
              </c:strCache>
            </c:strRef>
          </c:tx>
          <c:spPr>
            <a:ln>
              <a:solidFill>
                <a:srgbClr val="17BEC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7BECF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stat_frq_1'!$AQ$6:$AQ$16</c:f>
              <c:numCache>
                <c:formatCode>General</c:formatCode>
                <c:ptCount val="11"/>
                <c:pt idx="0">
                  <c:v>1.99377</c:v>
                </c:pt>
                <c:pt idx="1">
                  <c:v>1.99874</c:v>
                </c:pt>
                <c:pt idx="2">
                  <c:v>1.99898</c:v>
                </c:pt>
                <c:pt idx="3">
                  <c:v>1.99922</c:v>
                </c:pt>
                <c:pt idx="4">
                  <c:v>1.99911</c:v>
                </c:pt>
                <c:pt idx="5">
                  <c:v>1.99923</c:v>
                </c:pt>
                <c:pt idx="6">
                  <c:v>1.99919</c:v>
                </c:pt>
                <c:pt idx="7">
                  <c:v>1.99922</c:v>
                </c:pt>
                <c:pt idx="8">
                  <c:v>1.9992</c:v>
                </c:pt>
                <c:pt idx="9">
                  <c:v>1.99924</c:v>
                </c:pt>
                <c:pt idx="10">
                  <c:v>1.98502</c:v>
                </c:pt>
              </c:numCache>
            </c:numRef>
          </c:val>
        </c:ser>
        <c:ser>
          <c:idx val="39"/>
          <c:order val="39"/>
          <c:tx>
            <c:strRef>
              <c:f>'perf stat_frq_1'!$AR$5</c:f>
              <c:strCache>
                <c:ptCount val="1"/>
                <c:pt idx="0">
                  <c:v>topdown_Retiring(%)</c:v>
                </c:pt>
              </c:strCache>
            </c:strRef>
          </c:tx>
          <c:spPr>
            <a:ln>
              <a:solidFill>
                <a:srgbClr val="9EDAE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EDAE5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stat_frq_1'!$AR$6:$AR$16</c:f>
              <c:numCache>
                <c:formatCode>General</c:formatCode>
                <c:ptCount val="11"/>
                <c:pt idx="0">
                  <c:v>49.8532</c:v>
                </c:pt>
                <c:pt idx="1">
                  <c:v>49.9301</c:v>
                </c:pt>
                <c:pt idx="2">
                  <c:v>49.9349</c:v>
                </c:pt>
                <c:pt idx="3">
                  <c:v>49.9397</c:v>
                </c:pt>
                <c:pt idx="4">
                  <c:v>49.9375</c:v>
                </c:pt>
                <c:pt idx="5">
                  <c:v>49.94</c:v>
                </c:pt>
                <c:pt idx="6">
                  <c:v>49.9393</c:v>
                </c:pt>
                <c:pt idx="7">
                  <c:v>49.9398</c:v>
                </c:pt>
                <c:pt idx="8">
                  <c:v>49.9392</c:v>
                </c:pt>
                <c:pt idx="9">
                  <c:v>49.9402</c:v>
                </c:pt>
                <c:pt idx="10">
                  <c:v>49.5984</c:v>
                </c:pt>
              </c:numCache>
            </c:numRef>
          </c:val>
        </c:ser>
        <c:ser>
          <c:idx val="40"/>
          <c:order val="40"/>
          <c:tx>
            <c:strRef>
              <c:f>'perf stat_frq_1'!$AS$5</c:f>
              <c:strCache>
                <c:ptCount val="1"/>
                <c:pt idx="0">
                  <c:v>topdown_Frontend_Bound(%)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F77B4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stat_frq_1'!$AS$6:$AS$16</c:f>
              <c:numCache>
                <c:formatCode>General</c:formatCode>
                <c:ptCount val="11"/>
                <c:pt idx="0">
                  <c:v>28.3298</c:v>
                </c:pt>
                <c:pt idx="1">
                  <c:v>28.39</c:v>
                </c:pt>
                <c:pt idx="2">
                  <c:v>28.3891</c:v>
                </c:pt>
                <c:pt idx="3">
                  <c:v>28.3896</c:v>
                </c:pt>
                <c:pt idx="4">
                  <c:v>28.389</c:v>
                </c:pt>
                <c:pt idx="5">
                  <c:v>28.389</c:v>
                </c:pt>
                <c:pt idx="6">
                  <c:v>28.3893</c:v>
                </c:pt>
                <c:pt idx="7">
                  <c:v>28.3889</c:v>
                </c:pt>
                <c:pt idx="8">
                  <c:v>28.388</c:v>
                </c:pt>
                <c:pt idx="9">
                  <c:v>28.3887</c:v>
                </c:pt>
                <c:pt idx="10">
                  <c:v>28.1326</c:v>
                </c:pt>
              </c:numCache>
            </c:numRef>
          </c:val>
        </c:ser>
        <c:ser>
          <c:idx val="41"/>
          <c:order val="41"/>
          <c:tx>
            <c:strRef>
              <c:f>'perf stat_frq_1'!$AT$5</c:f>
              <c:strCache>
                <c:ptCount val="1"/>
                <c:pt idx="0">
                  <c:v>topdown_Backend_Bound_BadSpec(%)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stat_frq_1'!$AT$6:$AT$16</c:f>
              <c:numCache>
                <c:formatCode>General</c:formatCode>
                <c:ptCount val="11"/>
                <c:pt idx="0">
                  <c:v>21.817</c:v>
                </c:pt>
                <c:pt idx="1">
                  <c:v>21.6799</c:v>
                </c:pt>
                <c:pt idx="2">
                  <c:v>21.676</c:v>
                </c:pt>
                <c:pt idx="3">
                  <c:v>21.6707</c:v>
                </c:pt>
                <c:pt idx="4">
                  <c:v>21.6735</c:v>
                </c:pt>
                <c:pt idx="5">
                  <c:v>21.671</c:v>
                </c:pt>
                <c:pt idx="6">
                  <c:v>21.6714</c:v>
                </c:pt>
                <c:pt idx="7">
                  <c:v>21.6713</c:v>
                </c:pt>
                <c:pt idx="8">
                  <c:v>21.6728</c:v>
                </c:pt>
                <c:pt idx="9">
                  <c:v>21.6711</c:v>
                </c:pt>
                <c:pt idx="10">
                  <c:v>22.269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TopLev Level 1 Percentages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'perf stat_frq_1'!$AS$5</c:f>
              <c:strCache>
                <c:ptCount val="1"/>
                <c:pt idx="0">
                  <c:v>topdown_Frontend_Bound(%)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stat_frq_1'!$AS$6:$AS$16</c:f>
              <c:numCache>
                <c:formatCode>General</c:formatCode>
                <c:ptCount val="11"/>
                <c:pt idx="0">
                  <c:v>28.3298</c:v>
                </c:pt>
                <c:pt idx="1">
                  <c:v>28.39</c:v>
                </c:pt>
                <c:pt idx="2">
                  <c:v>28.3891</c:v>
                </c:pt>
                <c:pt idx="3">
                  <c:v>28.3896</c:v>
                </c:pt>
                <c:pt idx="4">
                  <c:v>28.389</c:v>
                </c:pt>
                <c:pt idx="5">
                  <c:v>28.389</c:v>
                </c:pt>
                <c:pt idx="6">
                  <c:v>28.3893</c:v>
                </c:pt>
                <c:pt idx="7">
                  <c:v>28.3889</c:v>
                </c:pt>
                <c:pt idx="8">
                  <c:v>28.388</c:v>
                </c:pt>
                <c:pt idx="9">
                  <c:v>28.3887</c:v>
                </c:pt>
                <c:pt idx="10">
                  <c:v>28.1326</c:v>
                </c:pt>
              </c:numCache>
            </c:numRef>
          </c:val>
        </c:ser>
        <c:ser>
          <c:idx val="1"/>
          <c:order val="1"/>
          <c:tx>
            <c:strRef>
              <c:f>'perf stat_frq_1'!$AT$5</c:f>
              <c:strCache>
                <c:ptCount val="1"/>
                <c:pt idx="0">
                  <c:v>topdown_Backend_Bound_BadSpec(%)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dPt>
            <c:idx val="0"/>
            <c:spPr>
              <a:solidFill>
                <a:srgbClr val="AEC7E8"/>
              </a:solidFill>
            </c:spP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stat_frq_1'!$AT$6:$AT$16</c:f>
              <c:numCache>
                <c:formatCode>General</c:formatCode>
                <c:ptCount val="11"/>
                <c:pt idx="0">
                  <c:v>21.817</c:v>
                </c:pt>
                <c:pt idx="1">
                  <c:v>21.6799</c:v>
                </c:pt>
                <c:pt idx="2">
                  <c:v>21.676</c:v>
                </c:pt>
                <c:pt idx="3">
                  <c:v>21.6707</c:v>
                </c:pt>
                <c:pt idx="4">
                  <c:v>21.6735</c:v>
                </c:pt>
                <c:pt idx="5">
                  <c:v>21.671</c:v>
                </c:pt>
                <c:pt idx="6">
                  <c:v>21.6714</c:v>
                </c:pt>
                <c:pt idx="7">
                  <c:v>21.6713</c:v>
                </c:pt>
                <c:pt idx="8">
                  <c:v>21.6728</c:v>
                </c:pt>
                <c:pt idx="9">
                  <c:v>21.6711</c:v>
                </c:pt>
                <c:pt idx="10">
                  <c:v>22.269</c:v>
                </c:pt>
              </c:numCache>
            </c:numRef>
          </c:val>
        </c:ser>
        <c:ser>
          <c:idx val="2"/>
          <c:order val="2"/>
          <c:tx>
            <c:strRef>
              <c:f>'perf stat_frq_1'!$AR$5</c:f>
              <c:strCache>
                <c:ptCount val="1"/>
                <c:pt idx="0">
                  <c:v>topdown_Retiring(%)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dPt>
            <c:idx val="0"/>
            <c:spPr>
              <a:solidFill>
                <a:srgbClr val="FF7F0E"/>
              </a:solidFill>
            </c:spP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stat_frq_1'!$AR$6:$AR$16</c:f>
              <c:numCache>
                <c:formatCode>General</c:formatCode>
                <c:ptCount val="11"/>
                <c:pt idx="0">
                  <c:v>49.8532</c:v>
                </c:pt>
                <c:pt idx="1">
                  <c:v>49.9301</c:v>
                </c:pt>
                <c:pt idx="2">
                  <c:v>49.9349</c:v>
                </c:pt>
                <c:pt idx="3">
                  <c:v>49.9397</c:v>
                </c:pt>
                <c:pt idx="4">
                  <c:v>49.9375</c:v>
                </c:pt>
                <c:pt idx="5">
                  <c:v>49.94</c:v>
                </c:pt>
                <c:pt idx="6">
                  <c:v>49.9393</c:v>
                </c:pt>
                <c:pt idx="7">
                  <c:v>49.9398</c:v>
                </c:pt>
                <c:pt idx="8">
                  <c:v>49.9392</c:v>
                </c:pt>
                <c:pt idx="9">
                  <c:v>49.9402</c:v>
                </c:pt>
                <c:pt idx="10">
                  <c:v>49.5984</c:v>
                </c:pt>
              </c:numCache>
            </c:numRef>
          </c:val>
        </c:ser>
        <c:axId val="50160001"/>
        <c:axId val="50160002"/>
      </c:area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Top Lev: %cpus Back/Front End Bound, Retiring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stat_frq_1'!$AA$5</c:f>
              <c:strCache>
                <c:ptCount val="1"/>
                <c:pt idx="0">
                  <c:v>%not_halted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stat_frq_1'!$AA$6:$AA$16</c:f>
              <c:numCache>
                <c:formatCode>General</c:formatCode>
                <c:ptCount val="11"/>
                <c:pt idx="0">
                  <c:v>89.9948</c:v>
                </c:pt>
                <c:pt idx="1">
                  <c:v>99.9906</c:v>
                </c:pt>
                <c:pt idx="2">
                  <c:v>99.9973</c:v>
                </c:pt>
                <c:pt idx="3">
                  <c:v>99.99930000000001</c:v>
                </c:pt>
                <c:pt idx="4">
                  <c:v>100.001</c:v>
                </c:pt>
                <c:pt idx="5">
                  <c:v>99.99809999999999</c:v>
                </c:pt>
                <c:pt idx="6">
                  <c:v>100.001</c:v>
                </c:pt>
                <c:pt idx="7">
                  <c:v>99.999</c:v>
                </c:pt>
                <c:pt idx="8">
                  <c:v>99.99930000000001</c:v>
                </c:pt>
                <c:pt idx="9">
                  <c:v>100</c:v>
                </c:pt>
                <c:pt idx="10">
                  <c:v>92.4686</c:v>
                </c:pt>
              </c:numCache>
            </c:numRef>
          </c:val>
        </c:ser>
        <c:ser>
          <c:idx val="1"/>
          <c:order val="1"/>
          <c:tx>
            <c:strRef>
              <c:f>'perf stat_frq_1'!$AN$5</c:f>
              <c:strCache>
                <c:ptCount val="1"/>
                <c:pt idx="0">
                  <c:v>power_pkg (watts)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stat_frq_1'!$AN$6:$AN$16</c:f>
              <c:numCache>
                <c:formatCode>General</c:formatCode>
                <c:ptCount val="11"/>
                <c:pt idx="0">
                  <c:v>128.416</c:v>
                </c:pt>
                <c:pt idx="1">
                  <c:v>133.272</c:v>
                </c:pt>
                <c:pt idx="2">
                  <c:v>133.41</c:v>
                </c:pt>
                <c:pt idx="3">
                  <c:v>133.385</c:v>
                </c:pt>
                <c:pt idx="4">
                  <c:v>133.363</c:v>
                </c:pt>
                <c:pt idx="5">
                  <c:v>133.499</c:v>
                </c:pt>
                <c:pt idx="6">
                  <c:v>133.48</c:v>
                </c:pt>
                <c:pt idx="7">
                  <c:v>133.516</c:v>
                </c:pt>
                <c:pt idx="8">
                  <c:v>133.53</c:v>
                </c:pt>
                <c:pt idx="9">
                  <c:v>133.496</c:v>
                </c:pt>
                <c:pt idx="10">
                  <c:v>130.935</c:v>
                </c:pt>
              </c:numCache>
            </c:numRef>
          </c:val>
        </c:ser>
        <c:ser>
          <c:idx val="2"/>
          <c:order val="2"/>
          <c:tx>
            <c:strRef>
              <c:f>'perf stat_frq_1'!$AR$5</c:f>
              <c:strCache>
                <c:ptCount val="1"/>
                <c:pt idx="0">
                  <c:v>topdown_Retiring(%)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stat_frq_1'!$AR$6:$AR$16</c:f>
              <c:numCache>
                <c:formatCode>General</c:formatCode>
                <c:ptCount val="11"/>
                <c:pt idx="0">
                  <c:v>49.8532</c:v>
                </c:pt>
                <c:pt idx="1">
                  <c:v>49.9301</c:v>
                </c:pt>
                <c:pt idx="2">
                  <c:v>49.9349</c:v>
                </c:pt>
                <c:pt idx="3">
                  <c:v>49.9397</c:v>
                </c:pt>
                <c:pt idx="4">
                  <c:v>49.9375</c:v>
                </c:pt>
                <c:pt idx="5">
                  <c:v>49.94</c:v>
                </c:pt>
                <c:pt idx="6">
                  <c:v>49.9393</c:v>
                </c:pt>
                <c:pt idx="7">
                  <c:v>49.9398</c:v>
                </c:pt>
                <c:pt idx="8">
                  <c:v>49.9392</c:v>
                </c:pt>
                <c:pt idx="9">
                  <c:v>49.9402</c:v>
                </c:pt>
                <c:pt idx="10">
                  <c:v>49.5984</c:v>
                </c:pt>
              </c:numCache>
            </c:numRef>
          </c:val>
        </c:ser>
        <c:ser>
          <c:idx val="3"/>
          <c:order val="3"/>
          <c:tx>
            <c:strRef>
              <c:f>'perf stat_frq_1'!$AS$5</c:f>
              <c:strCache>
                <c:ptCount val="1"/>
                <c:pt idx="0">
                  <c:v>topdown_Frontend_Bound(%)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stat_frq_1'!$AS$6:$AS$16</c:f>
              <c:numCache>
                <c:formatCode>General</c:formatCode>
                <c:ptCount val="11"/>
                <c:pt idx="0">
                  <c:v>28.3298</c:v>
                </c:pt>
                <c:pt idx="1">
                  <c:v>28.39</c:v>
                </c:pt>
                <c:pt idx="2">
                  <c:v>28.3891</c:v>
                </c:pt>
                <c:pt idx="3">
                  <c:v>28.3896</c:v>
                </c:pt>
                <c:pt idx="4">
                  <c:v>28.389</c:v>
                </c:pt>
                <c:pt idx="5">
                  <c:v>28.389</c:v>
                </c:pt>
                <c:pt idx="6">
                  <c:v>28.3893</c:v>
                </c:pt>
                <c:pt idx="7">
                  <c:v>28.3889</c:v>
                </c:pt>
                <c:pt idx="8">
                  <c:v>28.388</c:v>
                </c:pt>
                <c:pt idx="9">
                  <c:v>28.3887</c:v>
                </c:pt>
                <c:pt idx="10">
                  <c:v>28.1326</c:v>
                </c:pt>
              </c:numCache>
            </c:numRef>
          </c:val>
        </c:ser>
        <c:ser>
          <c:idx val="4"/>
          <c:order val="4"/>
          <c:tx>
            <c:strRef>
              <c:f>'perf stat_frq_1'!$AT$5</c:f>
              <c:strCache>
                <c:ptCount val="1"/>
                <c:pt idx="0">
                  <c:v>topdown_Backend_Bound_BadSpec(%)</c:v>
                </c:pt>
              </c:strCache>
            </c:strRef>
          </c:tx>
          <c:spPr>
            <a:ln>
              <a:solidFill>
                <a:srgbClr val="2CA02C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2CA02C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stat_frq_1'!$AT$6:$AT$16</c:f>
              <c:numCache>
                <c:formatCode>General</c:formatCode>
                <c:ptCount val="11"/>
                <c:pt idx="0">
                  <c:v>21.817</c:v>
                </c:pt>
                <c:pt idx="1">
                  <c:v>21.6799</c:v>
                </c:pt>
                <c:pt idx="2">
                  <c:v>21.676</c:v>
                </c:pt>
                <c:pt idx="3">
                  <c:v>21.6707</c:v>
                </c:pt>
                <c:pt idx="4">
                  <c:v>21.6735</c:v>
                </c:pt>
                <c:pt idx="5">
                  <c:v>21.671</c:v>
                </c:pt>
                <c:pt idx="6">
                  <c:v>21.6714</c:v>
                </c:pt>
                <c:pt idx="7">
                  <c:v>21.6713</c:v>
                </c:pt>
                <c:pt idx="8">
                  <c:v>21.6728</c:v>
                </c:pt>
                <c:pt idx="9">
                  <c:v>21.6711</c:v>
                </c:pt>
                <c:pt idx="10">
                  <c:v>22.269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mem bw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stat_frq_1'!$AF$5</c:f>
              <c:strCache>
                <c:ptCount val="1"/>
                <c:pt idx="0">
                  <c:v>LLC-miss bw (GB/s)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stat_frq_1'!$AF$6:$AF$16</c:f>
              <c:numCache>
                <c:formatCode>General</c:formatCode>
                <c:ptCount val="11"/>
                <c:pt idx="0">
                  <c:v>0.000220271</c:v>
                </c:pt>
                <c:pt idx="1">
                  <c:v>0.0005782060000000001</c:v>
                </c:pt>
                <c:pt idx="2">
                  <c:v>0.000334313</c:v>
                </c:pt>
                <c:pt idx="3">
                  <c:v>0.000109015</c:v>
                </c:pt>
                <c:pt idx="4">
                  <c:v>0.000130152</c:v>
                </c:pt>
                <c:pt idx="5">
                  <c:v>0.000116764</c:v>
                </c:pt>
                <c:pt idx="6">
                  <c:v>0.000113362</c:v>
                </c:pt>
                <c:pt idx="7">
                  <c:v>0.000102206</c:v>
                </c:pt>
                <c:pt idx="8">
                  <c:v>0.00010308</c:v>
                </c:pt>
                <c:pt idx="9">
                  <c:v>0.000107572</c:v>
                </c:pt>
                <c:pt idx="10">
                  <c:v>0.00209829</c:v>
                </c:pt>
              </c:numCache>
            </c:numRef>
          </c:val>
        </c:ser>
        <c:ser>
          <c:idx val="1"/>
          <c:order val="1"/>
          <c:tx>
            <c:strRef>
              <c:f>'perf stat_frq_1'!$AJ$5</c:f>
              <c:strCache>
                <c:ptCount val="1"/>
                <c:pt idx="0">
                  <c:v>unc_read_write (GB/s)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stat_frq_1'!$AJ$6:$AJ$16</c:f>
              <c:numCache>
                <c:formatCode>General</c:formatCode>
                <c:ptCount val="11"/>
                <c:pt idx="0">
                  <c:v>0.032894</c:v>
                </c:pt>
                <c:pt idx="1">
                  <c:v>0.0309563</c:v>
                </c:pt>
                <c:pt idx="2">
                  <c:v>0.0240708</c:v>
                </c:pt>
                <c:pt idx="3">
                  <c:v>0.0157845</c:v>
                </c:pt>
                <c:pt idx="4">
                  <c:v>0.017091</c:v>
                </c:pt>
                <c:pt idx="5">
                  <c:v>0.0167488</c:v>
                </c:pt>
                <c:pt idx="6">
                  <c:v>0.0169137</c:v>
                </c:pt>
                <c:pt idx="7">
                  <c:v>0.0163925</c:v>
                </c:pt>
                <c:pt idx="8">
                  <c:v>0.0167027</c:v>
                </c:pt>
                <c:pt idx="9">
                  <c:v>0.0168728</c:v>
                </c:pt>
                <c:pt idx="10">
                  <c:v>0.118108</c:v>
                </c:pt>
              </c:numCache>
            </c:numRef>
          </c:val>
        </c:ser>
        <c:ser>
          <c:idx val="2"/>
          <c:order val="2"/>
          <c:tx>
            <c:strRef>
              <c:f>'perf stat_frq_1'!$AM$5</c:f>
              <c:strCache>
                <c:ptCount val="1"/>
                <c:pt idx="0">
                  <c:v>QPI_BW (GB/sec)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stat_frq_1'!$AM$6:$AM$16</c:f>
              <c:numCache>
                <c:formatCode>General</c:formatCode>
                <c:ptCount val="11"/>
                <c:pt idx="0">
                  <c:v>0.00518385</c:v>
                </c:pt>
                <c:pt idx="1">
                  <c:v>0.009429949999999999</c:v>
                </c:pt>
                <c:pt idx="2">
                  <c:v>0.00621133</c:v>
                </c:pt>
                <c:pt idx="3">
                  <c:v>0.0029312</c:v>
                </c:pt>
                <c:pt idx="4">
                  <c:v>0.00328319</c:v>
                </c:pt>
                <c:pt idx="5">
                  <c:v>0.0032013</c:v>
                </c:pt>
                <c:pt idx="6">
                  <c:v>0.00334523</c:v>
                </c:pt>
                <c:pt idx="7">
                  <c:v>0.00287697</c:v>
                </c:pt>
                <c:pt idx="8">
                  <c:v>0.00317497</c:v>
                </c:pt>
                <c:pt idx="9">
                  <c:v>0.0030923</c:v>
                </c:pt>
                <c:pt idx="10">
                  <c:v>0.0344139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mem IPC, CPU freq, LLC misses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stat_frq_1'!$AC$5</c:f>
              <c:strCache>
                <c:ptCount val="1"/>
                <c:pt idx="0">
                  <c:v>uncore_freq (GHz)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stat_frq_1'!$AC$6:$AC$16</c:f>
              <c:numCache>
                <c:formatCode>General</c:formatCode>
                <c:ptCount val="11"/>
                <c:pt idx="0">
                  <c:v>2.39777</c:v>
                </c:pt>
                <c:pt idx="1">
                  <c:v>2.39991</c:v>
                </c:pt>
                <c:pt idx="2">
                  <c:v>2.39997</c:v>
                </c:pt>
                <c:pt idx="3">
                  <c:v>2.39999</c:v>
                </c:pt>
                <c:pt idx="4">
                  <c:v>2.40001</c:v>
                </c:pt>
                <c:pt idx="5">
                  <c:v>2.39998</c:v>
                </c:pt>
                <c:pt idx="6">
                  <c:v>2.40001</c:v>
                </c:pt>
                <c:pt idx="7">
                  <c:v>2.39999</c:v>
                </c:pt>
                <c:pt idx="8">
                  <c:v>2.39999</c:v>
                </c:pt>
                <c:pt idx="9">
                  <c:v>2.4</c:v>
                </c:pt>
                <c:pt idx="10">
                  <c:v>2.40475</c:v>
                </c:pt>
              </c:numCache>
            </c:numRef>
          </c:val>
        </c:ser>
        <c:ser>
          <c:idx val="1"/>
          <c:order val="1"/>
          <c:tx>
            <c:strRef>
              <c:f>'perf stat_frq_1'!$AD$5</c:f>
              <c:strCache>
                <c:ptCount val="1"/>
                <c:pt idx="0">
                  <c:v>avg_freq (GHz)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stat_frq_1'!$AD$6:$AD$16</c:f>
              <c:numCache>
                <c:formatCode>General</c:formatCode>
                <c:ptCount val="11"/>
                <c:pt idx="0">
                  <c:v>2.69994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2.69992</c:v>
                </c:pt>
              </c:numCache>
            </c:numRef>
          </c:val>
        </c:ser>
        <c:ser>
          <c:idx val="2"/>
          <c:order val="2"/>
          <c:tx>
            <c:strRef>
              <c:f>'perf stat_frq_1'!$AE$5</c:f>
              <c:strCache>
                <c:ptCount val="1"/>
                <c:pt idx="0">
                  <c:v>LLC-misses PKI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stat_frq_1'!$AE$6:$AE$16</c:f>
              <c:numCache>
                <c:formatCode>General</c:formatCode>
                <c:ptCount val="11"/>
                <c:pt idx="0">
                  <c:v>2.9531e-05</c:v>
                </c:pt>
                <c:pt idx="1">
                  <c:v>6.97609e-05</c:v>
                </c:pt>
                <c:pt idx="2">
                  <c:v>4.03275e-05</c:v>
                </c:pt>
                <c:pt idx="3">
                  <c:v>1.31484e-05</c:v>
                </c:pt>
                <c:pt idx="4">
                  <c:v>1.56985e-05</c:v>
                </c:pt>
                <c:pt idx="5">
                  <c:v>1.40831e-05</c:v>
                </c:pt>
                <c:pt idx="6">
                  <c:v>1.36726e-05</c:v>
                </c:pt>
                <c:pt idx="7">
                  <c:v>1.23272e-05</c:v>
                </c:pt>
                <c:pt idx="8">
                  <c:v>1.24327e-05</c:v>
                </c:pt>
                <c:pt idx="9">
                  <c:v>1.29741e-05</c:v>
                </c:pt>
                <c:pt idx="10">
                  <c:v>0.000274036</c:v>
                </c:pt>
              </c:numCache>
            </c:numRef>
          </c:val>
        </c:ser>
        <c:ser>
          <c:idx val="3"/>
          <c:order val="3"/>
          <c:tx>
            <c:strRef>
              <c:f>'perf stat_frq_1'!$AK$5</c:f>
              <c:strCache>
                <c:ptCount val="1"/>
                <c:pt idx="0">
                  <c:v>IPC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stat_frq_1'!$AK$6:$AK$16</c:f>
              <c:numCache>
                <c:formatCode>General</c:formatCode>
                <c:ptCount val="11"/>
                <c:pt idx="0">
                  <c:v>0.999278</c:v>
                </c:pt>
                <c:pt idx="1">
                  <c:v>0.99937</c:v>
                </c:pt>
                <c:pt idx="2">
                  <c:v>0.999492</c:v>
                </c:pt>
                <c:pt idx="3">
                  <c:v>0.999609</c:v>
                </c:pt>
                <c:pt idx="4">
                  <c:v>0.999555</c:v>
                </c:pt>
                <c:pt idx="5">
                  <c:v>0.999614</c:v>
                </c:pt>
                <c:pt idx="6">
                  <c:v>0.999597</c:v>
                </c:pt>
                <c:pt idx="7">
                  <c:v>0.999611</c:v>
                </c:pt>
                <c:pt idx="8">
                  <c:v>0.9996</c:v>
                </c:pt>
                <c:pt idx="9">
                  <c:v>0.999619</c:v>
                </c:pt>
                <c:pt idx="10">
                  <c:v>0.99837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TopLev Level 1 Percentages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'perf stat_frq'!$AS$5</c:f>
              <c:strCache>
                <c:ptCount val="1"/>
                <c:pt idx="0">
                  <c:v>topdown_Frontend_Bound(%)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stat_frq'!$AS$6:$AS$16</c:f>
              <c:numCache>
                <c:formatCode>General</c:formatCode>
                <c:ptCount val="11"/>
                <c:pt idx="0">
                  <c:v>1.57139</c:v>
                </c:pt>
                <c:pt idx="1">
                  <c:v>1.2956</c:v>
                </c:pt>
                <c:pt idx="2">
                  <c:v>1.27263</c:v>
                </c:pt>
                <c:pt idx="3">
                  <c:v>1.2698</c:v>
                </c:pt>
                <c:pt idx="4">
                  <c:v>1.29254</c:v>
                </c:pt>
                <c:pt idx="5">
                  <c:v>1.29706</c:v>
                </c:pt>
                <c:pt idx="6">
                  <c:v>1.28188</c:v>
                </c:pt>
                <c:pt idx="7">
                  <c:v>1.30224</c:v>
                </c:pt>
                <c:pt idx="8">
                  <c:v>1.29765</c:v>
                </c:pt>
                <c:pt idx="9">
                  <c:v>1.30103</c:v>
                </c:pt>
                <c:pt idx="10">
                  <c:v>1.4386</c:v>
                </c:pt>
              </c:numCache>
            </c:numRef>
          </c:val>
        </c:ser>
        <c:ser>
          <c:idx val="1"/>
          <c:order val="1"/>
          <c:tx>
            <c:strRef>
              <c:f>'perf stat_frq'!$AT$5</c:f>
              <c:strCache>
                <c:ptCount val="1"/>
                <c:pt idx="0">
                  <c:v>topdown_Backend_Bound_BadSpec(%)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dPt>
            <c:idx val="0"/>
            <c:spPr>
              <a:solidFill>
                <a:srgbClr val="AEC7E8"/>
              </a:solidFill>
            </c:spP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stat_frq'!$AT$6:$AT$16</c:f>
              <c:numCache>
                <c:formatCode>General</c:formatCode>
                <c:ptCount val="11"/>
                <c:pt idx="0">
                  <c:v>94.9221</c:v>
                </c:pt>
                <c:pt idx="1">
                  <c:v>95.36750000000001</c:v>
                </c:pt>
                <c:pt idx="2">
                  <c:v>95.38849999999999</c:v>
                </c:pt>
                <c:pt idx="3">
                  <c:v>95.393</c:v>
                </c:pt>
                <c:pt idx="4">
                  <c:v>95.3703</c:v>
                </c:pt>
                <c:pt idx="5">
                  <c:v>95.3677</c:v>
                </c:pt>
                <c:pt idx="6">
                  <c:v>95.3813</c:v>
                </c:pt>
                <c:pt idx="7">
                  <c:v>95.3603</c:v>
                </c:pt>
                <c:pt idx="8">
                  <c:v>95.36620000000001</c:v>
                </c:pt>
                <c:pt idx="9">
                  <c:v>95.36279999999999</c:v>
                </c:pt>
                <c:pt idx="10">
                  <c:v>95.0733</c:v>
                </c:pt>
              </c:numCache>
            </c:numRef>
          </c:val>
        </c:ser>
        <c:ser>
          <c:idx val="2"/>
          <c:order val="2"/>
          <c:tx>
            <c:strRef>
              <c:f>'perf stat_frq'!$AR$5</c:f>
              <c:strCache>
                <c:ptCount val="1"/>
                <c:pt idx="0">
                  <c:v>topdown_Retiring(%)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dPt>
            <c:idx val="0"/>
            <c:spPr>
              <a:solidFill>
                <a:srgbClr val="FF7F0E"/>
              </a:solidFill>
            </c:spP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stat_frq'!$AR$6:$AR$16</c:f>
              <c:numCache>
                <c:formatCode>General</c:formatCode>
                <c:ptCount val="11"/>
                <c:pt idx="0">
                  <c:v>3.50653</c:v>
                </c:pt>
                <c:pt idx="1">
                  <c:v>3.33692</c:v>
                </c:pt>
                <c:pt idx="2">
                  <c:v>3.33888</c:v>
                </c:pt>
                <c:pt idx="3">
                  <c:v>3.33721</c:v>
                </c:pt>
                <c:pt idx="4">
                  <c:v>3.33716</c:v>
                </c:pt>
                <c:pt idx="5">
                  <c:v>3.3352</c:v>
                </c:pt>
                <c:pt idx="6">
                  <c:v>3.33685</c:v>
                </c:pt>
                <c:pt idx="7">
                  <c:v>3.33746</c:v>
                </c:pt>
                <c:pt idx="8">
                  <c:v>3.33618</c:v>
                </c:pt>
                <c:pt idx="9">
                  <c:v>3.33614</c:v>
                </c:pt>
                <c:pt idx="10">
                  <c:v>3.48815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%cpus not halted (running), %LLC misses, %both_HT_threads_active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stat_frq_1'!$AA$5</c:f>
              <c:strCache>
                <c:ptCount val="1"/>
                <c:pt idx="0">
                  <c:v>%not_halted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stat_frq_1'!$AA$6:$AA$16</c:f>
              <c:numCache>
                <c:formatCode>General</c:formatCode>
                <c:ptCount val="11"/>
                <c:pt idx="0">
                  <c:v>89.9948</c:v>
                </c:pt>
                <c:pt idx="1">
                  <c:v>99.9906</c:v>
                </c:pt>
                <c:pt idx="2">
                  <c:v>99.9973</c:v>
                </c:pt>
                <c:pt idx="3">
                  <c:v>99.99930000000001</c:v>
                </c:pt>
                <c:pt idx="4">
                  <c:v>100.001</c:v>
                </c:pt>
                <c:pt idx="5">
                  <c:v>99.99809999999999</c:v>
                </c:pt>
                <c:pt idx="6">
                  <c:v>100.001</c:v>
                </c:pt>
                <c:pt idx="7">
                  <c:v>99.999</c:v>
                </c:pt>
                <c:pt idx="8">
                  <c:v>99.99930000000001</c:v>
                </c:pt>
                <c:pt idx="9">
                  <c:v>100</c:v>
                </c:pt>
                <c:pt idx="10">
                  <c:v>92.4686</c:v>
                </c:pt>
              </c:numCache>
            </c:numRef>
          </c:val>
        </c:ser>
        <c:ser>
          <c:idx val="1"/>
          <c:order val="1"/>
          <c:tx>
            <c:strRef>
              <c:f>'perf stat_frq_1'!$AB$5</c:f>
              <c:strCache>
                <c:ptCount val="1"/>
                <c:pt idx="0">
                  <c:v>%both_HT_threads_active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stat_frq_1'!$AB$6:$AB$16</c:f>
              <c:numCache>
                <c:formatCode>General</c:formatCode>
                <c:ptCount val="11"/>
                <c:pt idx="0">
                  <c:v>99.5209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98.82599999999999</c:v>
                </c:pt>
              </c:numCache>
            </c:numRef>
          </c:val>
        </c:ser>
        <c:ser>
          <c:idx val="2"/>
          <c:order val="2"/>
          <c:tx>
            <c:strRef>
              <c:f>'perf stat_frq_1'!$AI$5</c:f>
              <c:strCache>
                <c:ptCount val="1"/>
                <c:pt idx="0">
                  <c:v>%LLC misses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stat_frq_1'!$AI$6:$AI$16</c:f>
              <c:numCache>
                <c:formatCode>General</c:formatCode>
                <c:ptCount val="11"/>
                <c:pt idx="0">
                  <c:v>13.487</c:v>
                </c:pt>
                <c:pt idx="1">
                  <c:v>31.7799</c:v>
                </c:pt>
                <c:pt idx="2">
                  <c:v>23.1453</c:v>
                </c:pt>
                <c:pt idx="3">
                  <c:v>9.53046</c:v>
                </c:pt>
                <c:pt idx="4">
                  <c:v>10.6741</c:v>
                </c:pt>
                <c:pt idx="5">
                  <c:v>9.91377</c:v>
                </c:pt>
                <c:pt idx="6">
                  <c:v>9.34014</c:v>
                </c:pt>
                <c:pt idx="7">
                  <c:v>9.11162</c:v>
                </c:pt>
                <c:pt idx="8">
                  <c:v>8.858879999999999</c:v>
                </c:pt>
                <c:pt idx="9">
                  <c:v>9.011609999999999</c:v>
                </c:pt>
                <c:pt idx="10">
                  <c:v>26.8882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L3 miss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stat_frq_1'!$AG$5</c:f>
              <c:strCache>
                <c:ptCount val="1"/>
                <c:pt idx="0">
                  <c:v>L3 miss latency (core_clks)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stat_frq_1'!$AG$6:$AG$16</c:f>
              <c:numCache>
                <c:formatCode>General</c:formatCode>
                <c:ptCount val="11"/>
                <c:pt idx="0">
                  <c:v>356.397</c:v>
                </c:pt>
                <c:pt idx="1">
                  <c:v>365.709</c:v>
                </c:pt>
                <c:pt idx="2">
                  <c:v>355.83</c:v>
                </c:pt>
                <c:pt idx="3">
                  <c:v>380.545</c:v>
                </c:pt>
                <c:pt idx="4">
                  <c:v>381.565</c:v>
                </c:pt>
                <c:pt idx="5">
                  <c:v>379.484</c:v>
                </c:pt>
                <c:pt idx="6">
                  <c:v>390.19</c:v>
                </c:pt>
                <c:pt idx="7">
                  <c:v>392.744</c:v>
                </c:pt>
                <c:pt idx="8">
                  <c:v>389.262</c:v>
                </c:pt>
                <c:pt idx="9">
                  <c:v>385.197</c:v>
                </c:pt>
                <c:pt idx="10">
                  <c:v>369.271</c:v>
                </c:pt>
              </c:numCache>
            </c:numRef>
          </c:val>
        </c:ser>
        <c:ser>
          <c:idx val="1"/>
          <c:order val="1"/>
          <c:tx>
            <c:strRef>
              <c:f>'perf stat_frq_1'!$AH$5</c:f>
              <c:strCache>
                <c:ptCount val="1"/>
                <c:pt idx="0">
                  <c:v>L3 miss latency (ns)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stat_frq_1'!$B$6:$B$16</c:f>
              <c:numCache>
                <c:formatCode>General</c:formatCode>
                <c:ptCount val="11"/>
                <c:pt idx="0">
                  <c:v>1.01693011</c:v>
                </c:pt>
                <c:pt idx="1">
                  <c:v>2.019312977</c:v>
                </c:pt>
                <c:pt idx="2">
                  <c:v>3.021487348</c:v>
                </c:pt>
                <c:pt idx="3">
                  <c:v>4.02362627</c:v>
                </c:pt>
                <c:pt idx="4">
                  <c:v>5.025774949</c:v>
                </c:pt>
                <c:pt idx="5">
                  <c:v>6.027728482</c:v>
                </c:pt>
                <c:pt idx="6">
                  <c:v>7.029828338</c:v>
                </c:pt>
                <c:pt idx="7">
                  <c:v>8.031728529</c:v>
                </c:pt>
                <c:pt idx="8">
                  <c:v>9.033828164999999</c:v>
                </c:pt>
                <c:pt idx="9">
                  <c:v>10.035728885</c:v>
                </c:pt>
                <c:pt idx="10">
                  <c:v>10.112713562</c:v>
                </c:pt>
              </c:numCache>
            </c:numRef>
          </c:cat>
          <c:val>
            <c:numRef>
              <c:f>'perf stat_frq_1'!$AH$6:$AH$16</c:f>
              <c:numCache>
                <c:formatCode>General</c:formatCode>
                <c:ptCount val="11"/>
                <c:pt idx="0">
                  <c:v>148.637</c:v>
                </c:pt>
                <c:pt idx="1">
                  <c:v>152.384</c:v>
                </c:pt>
                <c:pt idx="2">
                  <c:v>148.264</c:v>
                </c:pt>
                <c:pt idx="3">
                  <c:v>158.561</c:v>
                </c:pt>
                <c:pt idx="4">
                  <c:v>158.985</c:v>
                </c:pt>
                <c:pt idx="5">
                  <c:v>158.119</c:v>
                </c:pt>
                <c:pt idx="6">
                  <c:v>162.578</c:v>
                </c:pt>
                <c:pt idx="7">
                  <c:v>163.644</c:v>
                </c:pt>
                <c:pt idx="8">
                  <c:v>162.193</c:v>
                </c:pt>
                <c:pt idx="9">
                  <c:v>160.498</c:v>
                </c:pt>
                <c:pt idx="10">
                  <c:v>153.559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Top Lev: %cpus Back/Front End Bound, Retiring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stat_frq'!$AA$5</c:f>
              <c:strCache>
                <c:ptCount val="1"/>
                <c:pt idx="0">
                  <c:v>%not_halted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stat_frq'!$AA$6:$AA$16</c:f>
              <c:numCache>
                <c:formatCode>General</c:formatCode>
                <c:ptCount val="11"/>
                <c:pt idx="0">
                  <c:v>79.8627</c:v>
                </c:pt>
                <c:pt idx="1">
                  <c:v>99.9845</c:v>
                </c:pt>
                <c:pt idx="2">
                  <c:v>99.9952</c:v>
                </c:pt>
                <c:pt idx="3">
                  <c:v>99.9997</c:v>
                </c:pt>
                <c:pt idx="4">
                  <c:v>99.9984</c:v>
                </c:pt>
                <c:pt idx="5">
                  <c:v>99.9939</c:v>
                </c:pt>
                <c:pt idx="6">
                  <c:v>99.99679999999999</c:v>
                </c:pt>
                <c:pt idx="7">
                  <c:v>100.006</c:v>
                </c:pt>
                <c:pt idx="8">
                  <c:v>100.002</c:v>
                </c:pt>
                <c:pt idx="9">
                  <c:v>99.99939999999999</c:v>
                </c:pt>
                <c:pt idx="10">
                  <c:v>87.6052</c:v>
                </c:pt>
              </c:numCache>
            </c:numRef>
          </c:val>
        </c:ser>
        <c:ser>
          <c:idx val="1"/>
          <c:order val="1"/>
          <c:tx>
            <c:strRef>
              <c:f>'perf stat_frq'!$AN$5</c:f>
              <c:strCache>
                <c:ptCount val="1"/>
                <c:pt idx="0">
                  <c:v>power_pkg (watts)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stat_frq'!$AN$6:$AN$16</c:f>
              <c:numCache>
                <c:formatCode>General</c:formatCode>
                <c:ptCount val="11"/>
                <c:pt idx="0">
                  <c:v>138.245</c:v>
                </c:pt>
                <c:pt idx="1">
                  <c:v>148.772</c:v>
                </c:pt>
                <c:pt idx="2">
                  <c:v>148.79</c:v>
                </c:pt>
                <c:pt idx="3">
                  <c:v>148.745</c:v>
                </c:pt>
                <c:pt idx="4">
                  <c:v>148.85</c:v>
                </c:pt>
                <c:pt idx="5">
                  <c:v>148.8</c:v>
                </c:pt>
                <c:pt idx="6">
                  <c:v>149.051</c:v>
                </c:pt>
                <c:pt idx="7">
                  <c:v>149.128</c:v>
                </c:pt>
                <c:pt idx="8">
                  <c:v>149.117</c:v>
                </c:pt>
                <c:pt idx="9">
                  <c:v>149.173</c:v>
                </c:pt>
                <c:pt idx="10">
                  <c:v>142.935</c:v>
                </c:pt>
              </c:numCache>
            </c:numRef>
          </c:val>
        </c:ser>
        <c:ser>
          <c:idx val="2"/>
          <c:order val="2"/>
          <c:tx>
            <c:strRef>
              <c:f>'perf stat_frq'!$AR$5</c:f>
              <c:strCache>
                <c:ptCount val="1"/>
                <c:pt idx="0">
                  <c:v>topdown_Retiring(%)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stat_frq'!$AR$6:$AR$16</c:f>
              <c:numCache>
                <c:formatCode>General</c:formatCode>
                <c:ptCount val="11"/>
                <c:pt idx="0">
                  <c:v>3.50653</c:v>
                </c:pt>
                <c:pt idx="1">
                  <c:v>3.33692</c:v>
                </c:pt>
                <c:pt idx="2">
                  <c:v>3.33888</c:v>
                </c:pt>
                <c:pt idx="3">
                  <c:v>3.33721</c:v>
                </c:pt>
                <c:pt idx="4">
                  <c:v>3.33716</c:v>
                </c:pt>
                <c:pt idx="5">
                  <c:v>3.3352</c:v>
                </c:pt>
                <c:pt idx="6">
                  <c:v>3.33685</c:v>
                </c:pt>
                <c:pt idx="7">
                  <c:v>3.33746</c:v>
                </c:pt>
                <c:pt idx="8">
                  <c:v>3.33618</c:v>
                </c:pt>
                <c:pt idx="9">
                  <c:v>3.33614</c:v>
                </c:pt>
                <c:pt idx="10">
                  <c:v>3.48815</c:v>
                </c:pt>
              </c:numCache>
            </c:numRef>
          </c:val>
        </c:ser>
        <c:ser>
          <c:idx val="3"/>
          <c:order val="3"/>
          <c:tx>
            <c:strRef>
              <c:f>'perf stat_frq'!$AS$5</c:f>
              <c:strCache>
                <c:ptCount val="1"/>
                <c:pt idx="0">
                  <c:v>topdown_Frontend_Bound(%)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stat_frq'!$AS$6:$AS$16</c:f>
              <c:numCache>
                <c:formatCode>General</c:formatCode>
                <c:ptCount val="11"/>
                <c:pt idx="0">
                  <c:v>1.57139</c:v>
                </c:pt>
                <c:pt idx="1">
                  <c:v>1.2956</c:v>
                </c:pt>
                <c:pt idx="2">
                  <c:v>1.27263</c:v>
                </c:pt>
                <c:pt idx="3">
                  <c:v>1.2698</c:v>
                </c:pt>
                <c:pt idx="4">
                  <c:v>1.29254</c:v>
                </c:pt>
                <c:pt idx="5">
                  <c:v>1.29706</c:v>
                </c:pt>
                <c:pt idx="6">
                  <c:v>1.28188</c:v>
                </c:pt>
                <c:pt idx="7">
                  <c:v>1.30224</c:v>
                </c:pt>
                <c:pt idx="8">
                  <c:v>1.29765</c:v>
                </c:pt>
                <c:pt idx="9">
                  <c:v>1.30103</c:v>
                </c:pt>
                <c:pt idx="10">
                  <c:v>1.4386</c:v>
                </c:pt>
              </c:numCache>
            </c:numRef>
          </c:val>
        </c:ser>
        <c:ser>
          <c:idx val="4"/>
          <c:order val="4"/>
          <c:tx>
            <c:strRef>
              <c:f>'perf stat_frq'!$AT$5</c:f>
              <c:strCache>
                <c:ptCount val="1"/>
                <c:pt idx="0">
                  <c:v>topdown_Backend_Bound_BadSpec(%)</c:v>
                </c:pt>
              </c:strCache>
            </c:strRef>
          </c:tx>
          <c:spPr>
            <a:ln>
              <a:solidFill>
                <a:srgbClr val="2CA02C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2CA02C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stat_frq'!$AT$6:$AT$16</c:f>
              <c:numCache>
                <c:formatCode>General</c:formatCode>
                <c:ptCount val="11"/>
                <c:pt idx="0">
                  <c:v>94.9221</c:v>
                </c:pt>
                <c:pt idx="1">
                  <c:v>95.36750000000001</c:v>
                </c:pt>
                <c:pt idx="2">
                  <c:v>95.38849999999999</c:v>
                </c:pt>
                <c:pt idx="3">
                  <c:v>95.393</c:v>
                </c:pt>
                <c:pt idx="4">
                  <c:v>95.3703</c:v>
                </c:pt>
                <c:pt idx="5">
                  <c:v>95.3677</c:v>
                </c:pt>
                <c:pt idx="6">
                  <c:v>95.3813</c:v>
                </c:pt>
                <c:pt idx="7">
                  <c:v>95.3603</c:v>
                </c:pt>
                <c:pt idx="8">
                  <c:v>95.36620000000001</c:v>
                </c:pt>
                <c:pt idx="9">
                  <c:v>95.36279999999999</c:v>
                </c:pt>
                <c:pt idx="10">
                  <c:v>95.0733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mem bw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stat_frq'!$AF$5</c:f>
              <c:strCache>
                <c:ptCount val="1"/>
                <c:pt idx="0">
                  <c:v>LLC-miss bw (GB/s)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stat_frq'!$AF$6:$AF$16</c:f>
              <c:numCache>
                <c:formatCode>General</c:formatCode>
                <c:ptCount val="11"/>
                <c:pt idx="0">
                  <c:v>8.74212</c:v>
                </c:pt>
                <c:pt idx="1">
                  <c:v>11.7202</c:v>
                </c:pt>
                <c:pt idx="2">
                  <c:v>11.7314</c:v>
                </c:pt>
                <c:pt idx="3">
                  <c:v>11.7241</c:v>
                </c:pt>
                <c:pt idx="4">
                  <c:v>11.7212</c:v>
                </c:pt>
                <c:pt idx="5">
                  <c:v>11.7151</c:v>
                </c:pt>
                <c:pt idx="6">
                  <c:v>11.7211</c:v>
                </c:pt>
                <c:pt idx="7">
                  <c:v>11.7243</c:v>
                </c:pt>
                <c:pt idx="8">
                  <c:v>11.7185</c:v>
                </c:pt>
                <c:pt idx="9">
                  <c:v>11.7183</c:v>
                </c:pt>
                <c:pt idx="10">
                  <c:v>10.6683</c:v>
                </c:pt>
              </c:numCache>
            </c:numRef>
          </c:val>
        </c:ser>
        <c:ser>
          <c:idx val="1"/>
          <c:order val="1"/>
          <c:tx>
            <c:strRef>
              <c:f>'perf stat_frq'!$AJ$5</c:f>
              <c:strCache>
                <c:ptCount val="1"/>
                <c:pt idx="0">
                  <c:v>unc_read_write (GB/s)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stat_frq'!$AJ$6:$AJ$16</c:f>
              <c:numCache>
                <c:formatCode>General</c:formatCode>
                <c:ptCount val="11"/>
                <c:pt idx="0">
                  <c:v>111.718</c:v>
                </c:pt>
                <c:pt idx="1">
                  <c:v>136.515</c:v>
                </c:pt>
                <c:pt idx="2">
                  <c:v>136.644</c:v>
                </c:pt>
                <c:pt idx="3">
                  <c:v>136.557</c:v>
                </c:pt>
                <c:pt idx="4">
                  <c:v>136.525</c:v>
                </c:pt>
                <c:pt idx="5">
                  <c:v>136.455</c:v>
                </c:pt>
                <c:pt idx="6">
                  <c:v>136.524</c:v>
                </c:pt>
                <c:pt idx="7">
                  <c:v>136.558</c:v>
                </c:pt>
                <c:pt idx="8">
                  <c:v>136.494</c:v>
                </c:pt>
                <c:pt idx="9">
                  <c:v>136.489</c:v>
                </c:pt>
                <c:pt idx="10">
                  <c:v>124.973</c:v>
                </c:pt>
              </c:numCache>
            </c:numRef>
          </c:val>
        </c:ser>
        <c:ser>
          <c:idx val="2"/>
          <c:order val="2"/>
          <c:tx>
            <c:strRef>
              <c:f>'perf stat_frq'!$AM$5</c:f>
              <c:strCache>
                <c:ptCount val="1"/>
                <c:pt idx="0">
                  <c:v>QPI_BW (GB/sec)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stat_frq'!$AM$6:$AM$16</c:f>
              <c:numCache>
                <c:formatCode>General</c:formatCode>
                <c:ptCount val="11"/>
                <c:pt idx="0">
                  <c:v>0.108984</c:v>
                </c:pt>
                <c:pt idx="1">
                  <c:v>0.09449730000000001</c:v>
                </c:pt>
                <c:pt idx="2">
                  <c:v>0.0956511</c:v>
                </c:pt>
                <c:pt idx="3">
                  <c:v>0.0936126</c:v>
                </c:pt>
                <c:pt idx="4">
                  <c:v>0.0938659</c:v>
                </c:pt>
                <c:pt idx="5">
                  <c:v>0.09438829999999999</c:v>
                </c:pt>
                <c:pt idx="6">
                  <c:v>0.094066</c:v>
                </c:pt>
                <c:pt idx="7">
                  <c:v>0.0958657</c:v>
                </c:pt>
                <c:pt idx="8">
                  <c:v>0.0936371</c:v>
                </c:pt>
                <c:pt idx="9">
                  <c:v>0.09360110000000001</c:v>
                </c:pt>
                <c:pt idx="10">
                  <c:v>0.453443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mem IPC, CPU freq, LLC misses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stat_frq'!$AC$5</c:f>
              <c:strCache>
                <c:ptCount val="1"/>
                <c:pt idx="0">
                  <c:v>uncore_freq (GHz)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stat_frq'!$AC$6:$AC$16</c:f>
              <c:numCache>
                <c:formatCode>General</c:formatCode>
                <c:ptCount val="11"/>
                <c:pt idx="0">
                  <c:v>2.38456</c:v>
                </c:pt>
                <c:pt idx="1">
                  <c:v>2.39988</c:v>
                </c:pt>
                <c:pt idx="2">
                  <c:v>2.39994</c:v>
                </c:pt>
                <c:pt idx="3">
                  <c:v>2.39998</c:v>
                </c:pt>
                <c:pt idx="4">
                  <c:v>2.39996</c:v>
                </c:pt>
                <c:pt idx="5">
                  <c:v>2.39993</c:v>
                </c:pt>
                <c:pt idx="6">
                  <c:v>2.39996</c:v>
                </c:pt>
                <c:pt idx="7">
                  <c:v>2.40011</c:v>
                </c:pt>
                <c:pt idx="8">
                  <c:v>2.40003</c:v>
                </c:pt>
                <c:pt idx="9">
                  <c:v>2.40003</c:v>
                </c:pt>
                <c:pt idx="10">
                  <c:v>2.39301</c:v>
                </c:pt>
              </c:numCache>
            </c:numRef>
          </c:val>
        </c:ser>
        <c:ser>
          <c:idx val="1"/>
          <c:order val="1"/>
          <c:tx>
            <c:strRef>
              <c:f>'perf stat_frq'!$AD$5</c:f>
              <c:strCache>
                <c:ptCount val="1"/>
                <c:pt idx="0">
                  <c:v>avg_freq (GHz)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stat_frq'!$AD$6:$AD$16</c:f>
              <c:numCache>
                <c:formatCode>General</c:formatCode>
                <c:ptCount val="11"/>
                <c:pt idx="0">
                  <c:v>2.69309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2.69947</c:v>
                </c:pt>
              </c:numCache>
            </c:numRef>
          </c:val>
        </c:ser>
        <c:ser>
          <c:idx val="2"/>
          <c:order val="2"/>
          <c:tx>
            <c:strRef>
              <c:f>'perf stat_frq'!$AE$5</c:f>
              <c:strCache>
                <c:ptCount val="1"/>
                <c:pt idx="0">
                  <c:v>LLC-misses PKI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stat_frq'!$AE$6:$AE$16</c:f>
              <c:numCache>
                <c:formatCode>General</c:formatCode>
                <c:ptCount val="11"/>
                <c:pt idx="0">
                  <c:v>15.812</c:v>
                </c:pt>
                <c:pt idx="1">
                  <c:v>17.1356</c:v>
                </c:pt>
                <c:pt idx="2">
                  <c:v>17.1361</c:v>
                </c:pt>
                <c:pt idx="3">
                  <c:v>17.1346</c:v>
                </c:pt>
                <c:pt idx="4">
                  <c:v>17.134</c:v>
                </c:pt>
                <c:pt idx="5">
                  <c:v>17.1353</c:v>
                </c:pt>
                <c:pt idx="6">
                  <c:v>17.1338</c:v>
                </c:pt>
                <c:pt idx="7">
                  <c:v>17.135</c:v>
                </c:pt>
                <c:pt idx="8">
                  <c:v>17.1342</c:v>
                </c:pt>
                <c:pt idx="9">
                  <c:v>17.1351</c:v>
                </c:pt>
                <c:pt idx="10">
                  <c:v>16.8872</c:v>
                </c:pt>
              </c:numCache>
            </c:numRef>
          </c:val>
        </c:ser>
        <c:ser>
          <c:idx val="3"/>
          <c:order val="3"/>
          <c:tx>
            <c:strRef>
              <c:f>'perf stat_frq'!$AK$5</c:f>
              <c:strCache>
                <c:ptCount val="1"/>
                <c:pt idx="0">
                  <c:v>IPC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stat_frq'!$AK$6:$AK$16</c:f>
              <c:numCache>
                <c:formatCode>General</c:formatCode>
                <c:ptCount val="11"/>
                <c:pt idx="0">
                  <c:v>0.0836783</c:v>
                </c:pt>
                <c:pt idx="1">
                  <c:v>0.0824744</c:v>
                </c:pt>
                <c:pt idx="2">
                  <c:v>0.0825422</c:v>
                </c:pt>
                <c:pt idx="3">
                  <c:v>0.0824941</c:v>
                </c:pt>
                <c:pt idx="4">
                  <c:v>0.0824773</c:v>
                </c:pt>
                <c:pt idx="5">
                  <c:v>0.0824324</c:v>
                </c:pt>
                <c:pt idx="6">
                  <c:v>0.08247889999999999</c:v>
                </c:pt>
                <c:pt idx="7">
                  <c:v>0.08248759999999999</c:v>
                </c:pt>
                <c:pt idx="8">
                  <c:v>0.082454</c:v>
                </c:pt>
                <c:pt idx="9">
                  <c:v>0.0824508</c:v>
                </c:pt>
                <c:pt idx="10">
                  <c:v>0.0869576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%cpus not halted (running), %LLC misses, %both_HT_threads_active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stat_frq'!$AA$5</c:f>
              <c:strCache>
                <c:ptCount val="1"/>
                <c:pt idx="0">
                  <c:v>%not_halted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stat_frq'!$AA$6:$AA$16</c:f>
              <c:numCache>
                <c:formatCode>General</c:formatCode>
                <c:ptCount val="11"/>
                <c:pt idx="0">
                  <c:v>79.8627</c:v>
                </c:pt>
                <c:pt idx="1">
                  <c:v>99.9845</c:v>
                </c:pt>
                <c:pt idx="2">
                  <c:v>99.9952</c:v>
                </c:pt>
                <c:pt idx="3">
                  <c:v>99.9997</c:v>
                </c:pt>
                <c:pt idx="4">
                  <c:v>99.9984</c:v>
                </c:pt>
                <c:pt idx="5">
                  <c:v>99.9939</c:v>
                </c:pt>
                <c:pt idx="6">
                  <c:v>99.99679999999999</c:v>
                </c:pt>
                <c:pt idx="7">
                  <c:v>100.006</c:v>
                </c:pt>
                <c:pt idx="8">
                  <c:v>100.002</c:v>
                </c:pt>
                <c:pt idx="9">
                  <c:v>99.99939999999999</c:v>
                </c:pt>
                <c:pt idx="10">
                  <c:v>87.6052</c:v>
                </c:pt>
              </c:numCache>
            </c:numRef>
          </c:val>
        </c:ser>
        <c:ser>
          <c:idx val="1"/>
          <c:order val="1"/>
          <c:tx>
            <c:strRef>
              <c:f>'perf stat_frq'!$AB$5</c:f>
              <c:strCache>
                <c:ptCount val="1"/>
                <c:pt idx="0">
                  <c:v>%both_HT_threads_active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stat_frq'!$AB$6:$AB$16</c:f>
              <c:numCache>
                <c:formatCode>General</c:formatCode>
                <c:ptCount val="11"/>
                <c:pt idx="0">
                  <c:v>92.6185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96.7204</c:v>
                </c:pt>
              </c:numCache>
            </c:numRef>
          </c:val>
        </c:ser>
        <c:ser>
          <c:idx val="2"/>
          <c:order val="2"/>
          <c:tx>
            <c:strRef>
              <c:f>'perf stat_frq'!$AI$5</c:f>
              <c:strCache>
                <c:ptCount val="1"/>
                <c:pt idx="0">
                  <c:v>%LLC misses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stat_frq'!$AI$6:$AI$16</c:f>
              <c:numCache>
                <c:formatCode>General</c:formatCode>
                <c:ptCount val="11"/>
                <c:pt idx="0">
                  <c:v>99.9252</c:v>
                </c:pt>
                <c:pt idx="1">
                  <c:v>99.9671</c:v>
                </c:pt>
                <c:pt idx="2">
                  <c:v>99.9676</c:v>
                </c:pt>
                <c:pt idx="3">
                  <c:v>99.9678</c:v>
                </c:pt>
                <c:pt idx="4">
                  <c:v>99.9683</c:v>
                </c:pt>
                <c:pt idx="5">
                  <c:v>99.96810000000001</c:v>
                </c:pt>
                <c:pt idx="6">
                  <c:v>99.96729999999999</c:v>
                </c:pt>
                <c:pt idx="7">
                  <c:v>99.968</c:v>
                </c:pt>
                <c:pt idx="8">
                  <c:v>99.96769999999999</c:v>
                </c:pt>
                <c:pt idx="9">
                  <c:v>99.96729999999999</c:v>
                </c:pt>
                <c:pt idx="10">
                  <c:v>99.92610000000001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L3 miss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stat_frq'!$AG$5</c:f>
              <c:strCache>
                <c:ptCount val="1"/>
                <c:pt idx="0">
                  <c:v>L3 miss latency (core_clks)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stat_frq'!$AG$6:$AG$16</c:f>
              <c:numCache>
                <c:formatCode>General</c:formatCode>
                <c:ptCount val="11"/>
                <c:pt idx="0">
                  <c:v>439.047</c:v>
                </c:pt>
                <c:pt idx="1">
                  <c:v>438.719</c:v>
                </c:pt>
                <c:pt idx="2">
                  <c:v>438.812</c:v>
                </c:pt>
                <c:pt idx="3">
                  <c:v>439.183</c:v>
                </c:pt>
                <c:pt idx="4">
                  <c:v>439.058</c:v>
                </c:pt>
                <c:pt idx="5">
                  <c:v>439.207</c:v>
                </c:pt>
                <c:pt idx="6">
                  <c:v>438.964</c:v>
                </c:pt>
                <c:pt idx="7">
                  <c:v>438.867</c:v>
                </c:pt>
                <c:pt idx="8">
                  <c:v>438.98</c:v>
                </c:pt>
                <c:pt idx="9">
                  <c:v>438.975</c:v>
                </c:pt>
                <c:pt idx="10">
                  <c:v>433.094</c:v>
                </c:pt>
              </c:numCache>
            </c:numRef>
          </c:val>
        </c:ser>
        <c:ser>
          <c:idx val="1"/>
          <c:order val="1"/>
          <c:tx>
            <c:strRef>
              <c:f>'perf stat_frq'!$AH$5</c:f>
              <c:strCache>
                <c:ptCount val="1"/>
                <c:pt idx="0">
                  <c:v>L3 miss latency (ns)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stat_frq'!$B$6:$B$16</c:f>
              <c:numCache>
                <c:formatCode>General</c:formatCode>
                <c:ptCount val="11"/>
                <c:pt idx="0">
                  <c:v>1.016746633</c:v>
                </c:pt>
                <c:pt idx="1">
                  <c:v>2.023048995</c:v>
                </c:pt>
                <c:pt idx="2">
                  <c:v>3.028960086</c:v>
                </c:pt>
                <c:pt idx="3">
                  <c:v>4.03484497</c:v>
                </c:pt>
                <c:pt idx="4">
                  <c:v>5.040686905</c:v>
                </c:pt>
                <c:pt idx="5">
                  <c:v>6.045593007</c:v>
                </c:pt>
                <c:pt idx="6">
                  <c:v>7.051290077</c:v>
                </c:pt>
                <c:pt idx="7">
                  <c:v>8.05700146</c:v>
                </c:pt>
                <c:pt idx="8">
                  <c:v>9.062786407999999</c:v>
                </c:pt>
                <c:pt idx="9">
                  <c:v>10.06853275</c:v>
                </c:pt>
                <c:pt idx="10">
                  <c:v>10.299196463</c:v>
                </c:pt>
              </c:numCache>
            </c:numRef>
          </c:cat>
          <c:val>
            <c:numRef>
              <c:f>'perf stat_frq'!$AH$6:$AH$16</c:f>
              <c:numCache>
                <c:formatCode>General</c:formatCode>
                <c:ptCount val="11"/>
                <c:pt idx="0">
                  <c:v>184.122</c:v>
                </c:pt>
                <c:pt idx="1">
                  <c:v>182.808</c:v>
                </c:pt>
                <c:pt idx="2">
                  <c:v>182.843</c:v>
                </c:pt>
                <c:pt idx="3">
                  <c:v>182.993</c:v>
                </c:pt>
                <c:pt idx="4">
                  <c:v>182.944</c:v>
                </c:pt>
                <c:pt idx="5">
                  <c:v>183.009</c:v>
                </c:pt>
                <c:pt idx="6">
                  <c:v>182.905</c:v>
                </c:pt>
                <c:pt idx="7">
                  <c:v>182.852</c:v>
                </c:pt>
                <c:pt idx="8">
                  <c:v>182.905</c:v>
                </c:pt>
                <c:pt idx="9">
                  <c:v>182.904</c:v>
                </c:pt>
                <c:pt idx="10">
                  <c:v>180.983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'perf stat_frq_0'!$E$5</c:f>
              <c:strCache>
                <c:ptCount val="1"/>
                <c:pt idx="0">
                  <c:v>cpu-clock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F77B4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stat_frq_0'!$E$6:$E$16</c:f>
              <c:numCache>
                <c:formatCode>General</c:formatCode>
                <c:ptCount val="11"/>
                <c:pt idx="0">
                  <c:v>48566.33</c:v>
                </c:pt>
                <c:pt idx="1">
                  <c:v>48110.62</c:v>
                </c:pt>
                <c:pt idx="2">
                  <c:v>48103.17</c:v>
                </c:pt>
                <c:pt idx="3">
                  <c:v>48102.45</c:v>
                </c:pt>
                <c:pt idx="4">
                  <c:v>48101.75</c:v>
                </c:pt>
                <c:pt idx="5">
                  <c:v>48091.1</c:v>
                </c:pt>
                <c:pt idx="6">
                  <c:v>48102.22</c:v>
                </c:pt>
                <c:pt idx="7">
                  <c:v>48089.92</c:v>
                </c:pt>
                <c:pt idx="8">
                  <c:v>48101.01</c:v>
                </c:pt>
                <c:pt idx="9">
                  <c:v>48091.7</c:v>
                </c:pt>
                <c:pt idx="10">
                  <c:v>3484.24</c:v>
                </c:pt>
              </c:numCache>
            </c:numRef>
          </c:val>
        </c:ser>
        <c:ser>
          <c:idx val="1"/>
          <c:order val="1"/>
          <c:tx>
            <c:strRef>
              <c:f>'perf stat_frq_0'!$F$5</c:f>
              <c:strCache>
                <c:ptCount val="1"/>
                <c:pt idx="0">
                  <c:v>instructions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stat_frq_0'!$F$6:$F$16</c:f>
              <c:numCache>
                <c:formatCode>General</c:formatCode>
                <c:ptCount val="11"/>
                <c:pt idx="0">
                  <c:v>175673439250</c:v>
                </c:pt>
                <c:pt idx="1">
                  <c:v>192904609068</c:v>
                </c:pt>
                <c:pt idx="2">
                  <c:v>192754713377</c:v>
                </c:pt>
                <c:pt idx="3">
                  <c:v>192434658593</c:v>
                </c:pt>
                <c:pt idx="4">
                  <c:v>191845656888</c:v>
                </c:pt>
                <c:pt idx="5">
                  <c:v>192057798687</c:v>
                </c:pt>
                <c:pt idx="6">
                  <c:v>191755587870</c:v>
                </c:pt>
                <c:pt idx="7">
                  <c:v>191891817054</c:v>
                </c:pt>
                <c:pt idx="8">
                  <c:v>192321469480</c:v>
                </c:pt>
                <c:pt idx="9">
                  <c:v>191609175670</c:v>
                </c:pt>
                <c:pt idx="10">
                  <c:v>13667139951</c:v>
                </c:pt>
              </c:numCache>
            </c:numRef>
          </c:val>
        </c:ser>
        <c:ser>
          <c:idx val="2"/>
          <c:order val="2"/>
          <c:tx>
            <c:strRef>
              <c:f>'perf stat_frq_0'!$G$5</c:f>
              <c:strCache>
                <c:ptCount val="1"/>
                <c:pt idx="0">
                  <c:v>msr/aperf/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stat_frq_0'!$G$6:$G$16</c:f>
              <c:numCache>
                <c:formatCode>General</c:formatCode>
                <c:ptCount val="11"/>
                <c:pt idx="0">
                  <c:v>118290717026</c:v>
                </c:pt>
                <c:pt idx="1">
                  <c:v>129891335933</c:v>
                </c:pt>
                <c:pt idx="2">
                  <c:v>129877542709</c:v>
                </c:pt>
                <c:pt idx="3">
                  <c:v>129598502600</c:v>
                </c:pt>
                <c:pt idx="4">
                  <c:v>129640796682</c:v>
                </c:pt>
                <c:pt idx="5">
                  <c:v>129615763783</c:v>
                </c:pt>
                <c:pt idx="6">
                  <c:v>129588009287</c:v>
                </c:pt>
                <c:pt idx="7">
                  <c:v>129576194201</c:v>
                </c:pt>
                <c:pt idx="8">
                  <c:v>129595660370</c:v>
                </c:pt>
                <c:pt idx="9">
                  <c:v>129568311979</c:v>
                </c:pt>
                <c:pt idx="10">
                  <c:v>9151713541</c:v>
                </c:pt>
              </c:numCache>
            </c:numRef>
          </c:val>
        </c:ser>
        <c:ser>
          <c:idx val="3"/>
          <c:order val="3"/>
          <c:tx>
            <c:strRef>
              <c:f>'perf stat_frq_0'!$H$5</c:f>
              <c:strCache>
                <c:ptCount val="1"/>
                <c:pt idx="0">
                  <c:v>msr/mperf/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stat_frq_0'!$H$6:$H$16</c:f>
              <c:numCache>
                <c:formatCode>General</c:formatCode>
                <c:ptCount val="11"/>
                <c:pt idx="0">
                  <c:v>96401723949</c:v>
                </c:pt>
                <c:pt idx="1">
                  <c:v>105837369032</c:v>
                </c:pt>
                <c:pt idx="2">
                  <c:v>105826144524</c:v>
                </c:pt>
                <c:pt idx="3">
                  <c:v>105598777631</c:v>
                </c:pt>
                <c:pt idx="4">
                  <c:v>105633247571</c:v>
                </c:pt>
                <c:pt idx="5">
                  <c:v>105612842012</c:v>
                </c:pt>
                <c:pt idx="6">
                  <c:v>105590230799</c:v>
                </c:pt>
                <c:pt idx="7">
                  <c:v>105580600726</c:v>
                </c:pt>
                <c:pt idx="8">
                  <c:v>105596461474</c:v>
                </c:pt>
                <c:pt idx="9">
                  <c:v>105574181395</c:v>
                </c:pt>
                <c:pt idx="10">
                  <c:v>7456935376</c:v>
                </c:pt>
              </c:numCache>
            </c:numRef>
          </c:val>
        </c:ser>
        <c:ser>
          <c:idx val="4"/>
          <c:order val="4"/>
          <c:tx>
            <c:strRef>
              <c:f>'perf stat_frq_0'!$I$5</c:f>
              <c:strCache>
                <c:ptCount val="1"/>
                <c:pt idx="0">
                  <c:v>idq_uops_not_delivered.core</c:v>
                </c:pt>
              </c:strCache>
            </c:strRef>
          </c:tx>
          <c:spPr>
            <a:ln>
              <a:solidFill>
                <a:srgbClr val="2CA02C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2CA02C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stat_frq_0'!$I$6:$I$16</c:f>
              <c:numCache>
                <c:formatCode>General</c:formatCode>
                <c:ptCount val="11"/>
                <c:pt idx="0">
                  <c:v>26625925102</c:v>
                </c:pt>
                <c:pt idx="1">
                  <c:v>28971181420</c:v>
                </c:pt>
                <c:pt idx="2">
                  <c:v>29006229893</c:v>
                </c:pt>
                <c:pt idx="3">
                  <c:v>28892962840</c:v>
                </c:pt>
                <c:pt idx="4">
                  <c:v>28915941533</c:v>
                </c:pt>
                <c:pt idx="5">
                  <c:v>28972981717</c:v>
                </c:pt>
                <c:pt idx="6">
                  <c:v>28892947292</c:v>
                </c:pt>
                <c:pt idx="7">
                  <c:v>28884619711</c:v>
                </c:pt>
                <c:pt idx="8">
                  <c:v>28940528366</c:v>
                </c:pt>
                <c:pt idx="9">
                  <c:v>28948341667</c:v>
                </c:pt>
                <c:pt idx="10">
                  <c:v>2061689524</c:v>
                </c:pt>
              </c:numCache>
            </c:numRef>
          </c:val>
        </c:ser>
        <c:ser>
          <c:idx val="5"/>
          <c:order val="5"/>
          <c:tx>
            <c:strRef>
              <c:f>'perf stat_frq_0'!$J$5</c:f>
              <c:strCache>
                <c:ptCount val="1"/>
                <c:pt idx="0">
                  <c:v>uops_retired.retire_slots</c:v>
                </c:pt>
              </c:strCache>
            </c:strRef>
          </c:tx>
          <c:spPr>
            <a:ln>
              <a:solidFill>
                <a:srgbClr val="98DF8A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8DF8A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stat_frq_0'!$J$6:$J$16</c:f>
              <c:numCache>
                <c:formatCode>General</c:formatCode>
                <c:ptCount val="11"/>
                <c:pt idx="0">
                  <c:v>156284909076</c:v>
                </c:pt>
                <c:pt idx="1">
                  <c:v>171458051580</c:v>
                </c:pt>
                <c:pt idx="2">
                  <c:v>171321878082</c:v>
                </c:pt>
                <c:pt idx="3">
                  <c:v>171042211837</c:v>
                </c:pt>
                <c:pt idx="4">
                  <c:v>170511934921</c:v>
                </c:pt>
                <c:pt idx="5">
                  <c:v>170703601147</c:v>
                </c:pt>
                <c:pt idx="6">
                  <c:v>170437812793</c:v>
                </c:pt>
                <c:pt idx="7">
                  <c:v>170553335594</c:v>
                </c:pt>
                <c:pt idx="8">
                  <c:v>170934550528</c:v>
                </c:pt>
                <c:pt idx="9">
                  <c:v>170301877629</c:v>
                </c:pt>
                <c:pt idx="10">
                  <c:v>12150826772</c:v>
                </c:pt>
              </c:numCache>
            </c:numRef>
          </c:val>
        </c:ser>
        <c:ser>
          <c:idx val="6"/>
          <c:order val="6"/>
          <c:tx>
            <c:strRef>
              <c:f>'perf stat_frq_0'!$K$5</c:f>
              <c:strCache>
                <c:ptCount val="1"/>
                <c:pt idx="0">
                  <c:v>cpu_clk_unhalted.thread_any</c:v>
                </c:pt>
              </c:strCache>
            </c:strRef>
          </c:tx>
          <c:spPr>
            <a:ln>
              <a:solidFill>
                <a:srgbClr val="D6272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6272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stat_frq_0'!$K$6:$K$16</c:f>
              <c:numCache>
                <c:formatCode>General</c:formatCode>
                <c:ptCount val="11"/>
                <c:pt idx="0">
                  <c:v>118584356376</c:v>
                </c:pt>
                <c:pt idx="1">
                  <c:v>129893768780</c:v>
                </c:pt>
                <c:pt idx="2">
                  <c:v>129877535025</c:v>
                </c:pt>
                <c:pt idx="3">
                  <c:v>129617178615</c:v>
                </c:pt>
                <c:pt idx="4">
                  <c:v>129656516313</c:v>
                </c:pt>
                <c:pt idx="5">
                  <c:v>129631217755</c:v>
                </c:pt>
                <c:pt idx="6">
                  <c:v>129607358338</c:v>
                </c:pt>
                <c:pt idx="7">
                  <c:v>129594112896</c:v>
                </c:pt>
                <c:pt idx="8">
                  <c:v>129614281162</c:v>
                </c:pt>
                <c:pt idx="9">
                  <c:v>129587072385</c:v>
                </c:pt>
                <c:pt idx="10">
                  <c:v>9169772590</c:v>
                </c:pt>
              </c:numCache>
            </c:numRef>
          </c:val>
        </c:ser>
        <c:ser>
          <c:idx val="7"/>
          <c:order val="7"/>
          <c:tx>
            <c:strRef>
              <c:f>'perf stat_frq_0'!$L$5</c:f>
              <c:strCache>
                <c:ptCount val="1"/>
                <c:pt idx="0">
                  <c:v>power/energy-pkg/</c:v>
                </c:pt>
              </c:strCache>
            </c:strRef>
          </c:tx>
          <c:spPr>
            <a:ln>
              <a:solidFill>
                <a:srgbClr val="FF9896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9896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stat_frq_0'!$L$6:$L$16</c:f>
              <c:numCache>
                <c:formatCode>General</c:formatCode>
                <c:ptCount val="11"/>
                <c:pt idx="0">
                  <c:v>161.79</c:v>
                </c:pt>
                <c:pt idx="1">
                  <c:v>168.21</c:v>
                </c:pt>
                <c:pt idx="2">
                  <c:v>168.33</c:v>
                </c:pt>
                <c:pt idx="3">
                  <c:v>166.04</c:v>
                </c:pt>
                <c:pt idx="4">
                  <c:v>165.89</c:v>
                </c:pt>
                <c:pt idx="5">
                  <c:v>165.91</c:v>
                </c:pt>
                <c:pt idx="6">
                  <c:v>165.95</c:v>
                </c:pt>
                <c:pt idx="7">
                  <c:v>165.91</c:v>
                </c:pt>
                <c:pt idx="8">
                  <c:v>165.91</c:v>
                </c:pt>
                <c:pt idx="9">
                  <c:v>165.89</c:v>
                </c:pt>
                <c:pt idx="10">
                  <c:v>11.98</c:v>
                </c:pt>
              </c:numCache>
            </c:numRef>
          </c:val>
        </c:ser>
        <c:ser>
          <c:idx val="8"/>
          <c:order val="8"/>
          <c:tx>
            <c:strRef>
              <c:f>'perf stat_frq_0'!$M$5</c:f>
              <c:strCache>
                <c:ptCount val="1"/>
                <c:pt idx="0">
                  <c:v>offcore_requests_outstanding.l3_miss_demand_data_rd</c:v>
                </c:pt>
              </c:strCache>
            </c:strRef>
          </c:tx>
          <c:spPr>
            <a:ln>
              <a:solidFill>
                <a:srgbClr val="9467B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467BD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stat_frq_0'!$M$6:$M$16</c:f>
              <c:numCache>
                <c:formatCode>General</c:formatCode>
                <c:ptCount val="11"/>
                <c:pt idx="0">
                  <c:v>9697939</c:v>
                </c:pt>
                <c:pt idx="1">
                  <c:v>12212316</c:v>
                </c:pt>
                <c:pt idx="2">
                  <c:v>10383796</c:v>
                </c:pt>
                <c:pt idx="3">
                  <c:v>6961245</c:v>
                </c:pt>
                <c:pt idx="4">
                  <c:v>4232429</c:v>
                </c:pt>
                <c:pt idx="5">
                  <c:v>5584815</c:v>
                </c:pt>
                <c:pt idx="6">
                  <c:v>7019886</c:v>
                </c:pt>
                <c:pt idx="7">
                  <c:v>4480272</c:v>
                </c:pt>
                <c:pt idx="8">
                  <c:v>5311371</c:v>
                </c:pt>
                <c:pt idx="9">
                  <c:v>4390803</c:v>
                </c:pt>
                <c:pt idx="10">
                  <c:v>4916263</c:v>
                </c:pt>
              </c:numCache>
            </c:numRef>
          </c:val>
        </c:ser>
        <c:ser>
          <c:idx val="9"/>
          <c:order val="9"/>
          <c:tx>
            <c:strRef>
              <c:f>'perf stat_frq_0'!$N$5</c:f>
              <c:strCache>
                <c:ptCount val="1"/>
                <c:pt idx="0">
                  <c:v>offcore_requests.l3_miss_demand_data_rd</c:v>
                </c:pt>
              </c:strCache>
            </c:strRef>
          </c:tx>
          <c:spPr>
            <a:ln>
              <a:solidFill>
                <a:srgbClr val="C5B0D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5B0D5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stat_frq_0'!$N$6:$N$16</c:f>
              <c:numCache>
                <c:formatCode>General</c:formatCode>
                <c:ptCount val="11"/>
                <c:pt idx="0">
                  <c:v>35991</c:v>
                </c:pt>
                <c:pt idx="1">
                  <c:v>40300</c:v>
                </c:pt>
                <c:pt idx="2">
                  <c:v>34089</c:v>
                </c:pt>
                <c:pt idx="3">
                  <c:v>20145</c:v>
                </c:pt>
                <c:pt idx="4">
                  <c:v>12246</c:v>
                </c:pt>
                <c:pt idx="5">
                  <c:v>15778</c:v>
                </c:pt>
                <c:pt idx="6">
                  <c:v>19998</c:v>
                </c:pt>
                <c:pt idx="7">
                  <c:v>12686</c:v>
                </c:pt>
                <c:pt idx="8">
                  <c:v>15462</c:v>
                </c:pt>
                <c:pt idx="9">
                  <c:v>12435</c:v>
                </c:pt>
                <c:pt idx="10">
                  <c:v>16420</c:v>
                </c:pt>
              </c:numCache>
            </c:numRef>
          </c:val>
        </c:ser>
        <c:ser>
          <c:idx val="10"/>
          <c:order val="10"/>
          <c:tx>
            <c:strRef>
              <c:f>'perf stat_frq_0'!$O$5</c:f>
              <c:strCache>
                <c:ptCount val="1"/>
                <c:pt idx="0">
                  <c:v>unc0_read_write</c:v>
                </c:pt>
              </c:strCache>
            </c:strRef>
          </c:tx>
          <c:spPr>
            <a:ln>
              <a:solidFill>
                <a:srgbClr val="8C564B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8C564B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stat_frq_0'!$O$6:$O$16</c:f>
              <c:numCache>
                <c:formatCode>General</c:formatCode>
                <c:ptCount val="11"/>
                <c:pt idx="0">
                  <c:v>236917</c:v>
                </c:pt>
                <c:pt idx="1">
                  <c:v>220319</c:v>
                </c:pt>
                <c:pt idx="2">
                  <c:v>228901</c:v>
                </c:pt>
                <c:pt idx="3">
                  <c:v>159296</c:v>
                </c:pt>
                <c:pt idx="4">
                  <c:v>142634</c:v>
                </c:pt>
                <c:pt idx="5">
                  <c:v>160772</c:v>
                </c:pt>
                <c:pt idx="6">
                  <c:v>174692</c:v>
                </c:pt>
                <c:pt idx="7">
                  <c:v>159686</c:v>
                </c:pt>
                <c:pt idx="8">
                  <c:v>166218</c:v>
                </c:pt>
                <c:pt idx="9">
                  <c:v>144759</c:v>
                </c:pt>
                <c:pt idx="10">
                  <c:v>48260</c:v>
                </c:pt>
              </c:numCache>
            </c:numRef>
          </c:val>
        </c:ser>
        <c:ser>
          <c:idx val="11"/>
          <c:order val="11"/>
          <c:tx>
            <c:strRef>
              <c:f>'perf stat_frq_0'!$P$5</c:f>
              <c:strCache>
                <c:ptCount val="1"/>
                <c:pt idx="0">
                  <c:v>unc1_read_write</c:v>
                </c:pt>
              </c:strCache>
            </c:strRef>
          </c:tx>
          <c:spPr>
            <a:ln>
              <a:solidFill>
                <a:srgbClr val="C49C9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49C94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stat_frq_0'!$P$6:$P$16</c:f>
              <c:numCache>
                <c:formatCode>General</c:formatCode>
                <c:ptCount val="11"/>
                <c:pt idx="0">
                  <c:v>262217</c:v>
                </c:pt>
                <c:pt idx="1">
                  <c:v>247828</c:v>
                </c:pt>
                <c:pt idx="2">
                  <c:v>254699</c:v>
                </c:pt>
                <c:pt idx="3">
                  <c:v>187654</c:v>
                </c:pt>
                <c:pt idx="4">
                  <c:v>167619</c:v>
                </c:pt>
                <c:pt idx="5">
                  <c:v>195615</c:v>
                </c:pt>
                <c:pt idx="6">
                  <c:v>214360</c:v>
                </c:pt>
                <c:pt idx="7">
                  <c:v>189680</c:v>
                </c:pt>
                <c:pt idx="8">
                  <c:v>205156</c:v>
                </c:pt>
                <c:pt idx="9">
                  <c:v>179632</c:v>
                </c:pt>
                <c:pt idx="10">
                  <c:v>53870</c:v>
                </c:pt>
              </c:numCache>
            </c:numRef>
          </c:val>
        </c:ser>
        <c:ser>
          <c:idx val="12"/>
          <c:order val="12"/>
          <c:tx>
            <c:strRef>
              <c:f>'perf stat_frq_0'!$Q$5</c:f>
              <c:strCache>
                <c:ptCount val="1"/>
                <c:pt idx="0">
                  <c:v>unc2_read_write</c:v>
                </c:pt>
              </c:strCache>
            </c:strRef>
          </c:tx>
          <c:spPr>
            <a:ln>
              <a:solidFill>
                <a:srgbClr val="E377C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E377C2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stat_frq_0'!$Q$6:$Q$16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'perf stat_frq_0'!$R$5</c:f>
              <c:strCache>
                <c:ptCount val="1"/>
                <c:pt idx="0">
                  <c:v>unc3_read_write</c:v>
                </c:pt>
              </c:strCache>
            </c:strRef>
          </c:tx>
          <c:spPr>
            <a:ln>
              <a:solidFill>
                <a:srgbClr val="F7B6D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7B6D2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stat_frq_0'!$R$6:$R$16</c:f>
              <c:numCache>
                <c:formatCode>General</c:formatCode>
                <c:ptCount val="11"/>
                <c:pt idx="0">
                  <c:v>213961</c:v>
                </c:pt>
                <c:pt idx="1">
                  <c:v>199780</c:v>
                </c:pt>
                <c:pt idx="2">
                  <c:v>203645</c:v>
                </c:pt>
                <c:pt idx="3">
                  <c:v>139403</c:v>
                </c:pt>
                <c:pt idx="4">
                  <c:v>132902</c:v>
                </c:pt>
                <c:pt idx="5">
                  <c:v>142979</c:v>
                </c:pt>
                <c:pt idx="6">
                  <c:v>150549</c:v>
                </c:pt>
                <c:pt idx="7">
                  <c:v>145976</c:v>
                </c:pt>
                <c:pt idx="8">
                  <c:v>151910</c:v>
                </c:pt>
                <c:pt idx="9">
                  <c:v>135355</c:v>
                </c:pt>
                <c:pt idx="10">
                  <c:v>45339</c:v>
                </c:pt>
              </c:numCache>
            </c:numRef>
          </c:val>
        </c:ser>
        <c:ser>
          <c:idx val="14"/>
          <c:order val="14"/>
          <c:tx>
            <c:strRef>
              <c:f>'perf stat_frq_0'!$S$5</c:f>
              <c:strCache>
                <c:ptCount val="1"/>
                <c:pt idx="0">
                  <c:v>unc4_read_write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7F7F7F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stat_frq_0'!$S$6:$S$16</c:f>
              <c:numCache>
                <c:formatCode>General</c:formatCode>
                <c:ptCount val="11"/>
                <c:pt idx="0">
                  <c:v>255283</c:v>
                </c:pt>
                <c:pt idx="1">
                  <c:v>228650</c:v>
                </c:pt>
                <c:pt idx="2">
                  <c:v>253548</c:v>
                </c:pt>
                <c:pt idx="3">
                  <c:v>163695</c:v>
                </c:pt>
                <c:pt idx="4">
                  <c:v>154000</c:v>
                </c:pt>
                <c:pt idx="5">
                  <c:v>175485</c:v>
                </c:pt>
                <c:pt idx="6">
                  <c:v>190426</c:v>
                </c:pt>
                <c:pt idx="7">
                  <c:v>175864</c:v>
                </c:pt>
                <c:pt idx="8">
                  <c:v>187302</c:v>
                </c:pt>
                <c:pt idx="9">
                  <c:v>165048</c:v>
                </c:pt>
                <c:pt idx="10">
                  <c:v>49397</c:v>
                </c:pt>
              </c:numCache>
            </c:numRef>
          </c:val>
        </c:ser>
        <c:ser>
          <c:idx val="15"/>
          <c:order val="15"/>
          <c:tx>
            <c:strRef>
              <c:f>'perf stat_frq_0'!$T$5</c:f>
              <c:strCache>
                <c:ptCount val="1"/>
                <c:pt idx="0">
                  <c:v>unc5_read_write</c:v>
                </c:pt>
              </c:strCache>
            </c:strRef>
          </c:tx>
          <c:spPr>
            <a:ln>
              <a:solidFill>
                <a:srgbClr val="C7C7C7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7C7C7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stat_frq_0'!$T$6:$T$16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'perf stat_frq_0'!$U$5</c:f>
              <c:strCache>
                <c:ptCount val="1"/>
                <c:pt idx="0">
                  <c:v>qpi_data_bandwidth_tx0</c:v>
                </c:pt>
              </c:strCache>
            </c:strRef>
          </c:tx>
          <c:spPr>
            <a:ln>
              <a:solidFill>
                <a:srgbClr val="BCBD2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BCBD22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stat_frq_0'!$U$6:$U$16</c:f>
              <c:numCache>
                <c:formatCode>General</c:formatCode>
                <c:ptCount val="11"/>
                <c:pt idx="0">
                  <c:v>1064988</c:v>
                </c:pt>
                <c:pt idx="1">
                  <c:v>1495584</c:v>
                </c:pt>
                <c:pt idx="2">
                  <c:v>1651707</c:v>
                </c:pt>
                <c:pt idx="3">
                  <c:v>959103</c:v>
                </c:pt>
                <c:pt idx="4">
                  <c:v>877122</c:v>
                </c:pt>
                <c:pt idx="5">
                  <c:v>1059030</c:v>
                </c:pt>
                <c:pt idx="6">
                  <c:v>1097802</c:v>
                </c:pt>
                <c:pt idx="7">
                  <c:v>1025253</c:v>
                </c:pt>
                <c:pt idx="8">
                  <c:v>1033254</c:v>
                </c:pt>
                <c:pt idx="9">
                  <c:v>900162</c:v>
                </c:pt>
                <c:pt idx="10">
                  <c:v>283806</c:v>
                </c:pt>
              </c:numCache>
            </c:numRef>
          </c:val>
        </c:ser>
        <c:ser>
          <c:idx val="17"/>
          <c:order val="17"/>
          <c:tx>
            <c:strRef>
              <c:f>'perf stat_frq_0'!$V$5</c:f>
              <c:strCache>
                <c:ptCount val="1"/>
                <c:pt idx="0">
                  <c:v>qpi_data_bandwidth_tx1</c:v>
                </c:pt>
              </c:strCache>
            </c:strRef>
          </c:tx>
          <c:spPr>
            <a:ln>
              <a:solidFill>
                <a:srgbClr val="DBDB8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BDB8D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stat_frq_0'!$V$6:$V$16</c:f>
              <c:numCache>
                <c:formatCode>General</c:formatCode>
                <c:ptCount val="11"/>
                <c:pt idx="0">
                  <c:v>1052757</c:v>
                </c:pt>
                <c:pt idx="1">
                  <c:v>1496349</c:v>
                </c:pt>
                <c:pt idx="2">
                  <c:v>1633761</c:v>
                </c:pt>
                <c:pt idx="3">
                  <c:v>924264</c:v>
                </c:pt>
                <c:pt idx="4">
                  <c:v>860472</c:v>
                </c:pt>
                <c:pt idx="5">
                  <c:v>1032840</c:v>
                </c:pt>
                <c:pt idx="6">
                  <c:v>1058688</c:v>
                </c:pt>
                <c:pt idx="7">
                  <c:v>1005786</c:v>
                </c:pt>
                <c:pt idx="8">
                  <c:v>1011168</c:v>
                </c:pt>
                <c:pt idx="9">
                  <c:v>880560</c:v>
                </c:pt>
                <c:pt idx="10">
                  <c:v>279468</c:v>
                </c:pt>
              </c:numCache>
            </c:numRef>
          </c:val>
        </c:ser>
        <c:ser>
          <c:idx val="18"/>
          <c:order val="18"/>
          <c:tx>
            <c:strRef>
              <c:f>'perf stat_frq_0'!$W$5</c:f>
              <c:strCache>
                <c:ptCount val="1"/>
                <c:pt idx="0">
                  <c:v>UNC_CHA_TOR_INSERTS.IA.0x40433</c:v>
                </c:pt>
              </c:strCache>
            </c:strRef>
          </c:tx>
          <c:spPr>
            <a:ln>
              <a:solidFill>
                <a:srgbClr val="17BEC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7BECF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stat_frq_0'!$W$6:$W$16</c:f>
              <c:numCache>
                <c:formatCode>General</c:formatCode>
                <c:ptCount val="11"/>
                <c:pt idx="0">
                  <c:v>57061</c:v>
                </c:pt>
                <c:pt idx="1">
                  <c:v>77189</c:v>
                </c:pt>
                <c:pt idx="2">
                  <c:v>72215</c:v>
                </c:pt>
                <c:pt idx="3">
                  <c:v>45882</c:v>
                </c:pt>
                <c:pt idx="4">
                  <c:v>37246</c:v>
                </c:pt>
                <c:pt idx="5">
                  <c:v>40070</c:v>
                </c:pt>
                <c:pt idx="6">
                  <c:v>42703</c:v>
                </c:pt>
                <c:pt idx="7">
                  <c:v>39923</c:v>
                </c:pt>
                <c:pt idx="8">
                  <c:v>41026</c:v>
                </c:pt>
                <c:pt idx="9">
                  <c:v>40073</c:v>
                </c:pt>
                <c:pt idx="10">
                  <c:v>13695</c:v>
                </c:pt>
              </c:numCache>
            </c:numRef>
          </c:val>
        </c:ser>
        <c:ser>
          <c:idx val="19"/>
          <c:order val="19"/>
          <c:tx>
            <c:strRef>
              <c:f>'perf stat_frq_0'!$X$5</c:f>
              <c:strCache>
                <c:ptCount val="1"/>
                <c:pt idx="0">
                  <c:v>UNC_CHA_TOR_INSERTS.IA_MISS.0x40433</c:v>
                </c:pt>
              </c:strCache>
            </c:strRef>
          </c:tx>
          <c:spPr>
            <a:ln>
              <a:solidFill>
                <a:srgbClr val="9EDAE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EDAE5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stat_frq_0'!$X$6:$X$16</c:f>
              <c:numCache>
                <c:formatCode>General</c:formatCode>
                <c:ptCount val="11"/>
                <c:pt idx="0">
                  <c:v>9818</c:v>
                </c:pt>
                <c:pt idx="1">
                  <c:v>14395</c:v>
                </c:pt>
                <c:pt idx="2">
                  <c:v>13980</c:v>
                </c:pt>
                <c:pt idx="3">
                  <c:v>7172</c:v>
                </c:pt>
                <c:pt idx="4">
                  <c:v>5185</c:v>
                </c:pt>
                <c:pt idx="5">
                  <c:v>6539</c:v>
                </c:pt>
                <c:pt idx="6">
                  <c:v>7586</c:v>
                </c:pt>
                <c:pt idx="7">
                  <c:v>6084</c:v>
                </c:pt>
                <c:pt idx="8">
                  <c:v>5912</c:v>
                </c:pt>
                <c:pt idx="9">
                  <c:v>5492</c:v>
                </c:pt>
                <c:pt idx="10">
                  <c:v>2919</c:v>
                </c:pt>
              </c:numCache>
            </c:numRef>
          </c:val>
        </c:ser>
        <c:ser>
          <c:idx val="20"/>
          <c:order val="20"/>
          <c:tx>
            <c:strRef>
              <c:f>'perf stat_frq_0'!$Y$5</c:f>
              <c:strCache>
                <c:ptCount val="1"/>
                <c:pt idx="0">
                  <c:v>UNC_CHA_TOR_OCCUPANCY.IA_MISS.0x40433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F77B4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stat_frq_0'!$Y$6:$Y$16</c:f>
              <c:numCache>
                <c:formatCode>General</c:formatCode>
                <c:ptCount val="11"/>
                <c:pt idx="0">
                  <c:v>3606649</c:v>
                </c:pt>
                <c:pt idx="1">
                  <c:v>5489767</c:v>
                </c:pt>
                <c:pt idx="2">
                  <c:v>5448723</c:v>
                </c:pt>
                <c:pt idx="3">
                  <c:v>2815475</c:v>
                </c:pt>
                <c:pt idx="4">
                  <c:v>2014107</c:v>
                </c:pt>
                <c:pt idx="5">
                  <c:v>2694925</c:v>
                </c:pt>
                <c:pt idx="6">
                  <c:v>3143672</c:v>
                </c:pt>
                <c:pt idx="7">
                  <c:v>2561781</c:v>
                </c:pt>
                <c:pt idx="8">
                  <c:v>2341936</c:v>
                </c:pt>
                <c:pt idx="9">
                  <c:v>2176222</c:v>
                </c:pt>
                <c:pt idx="10">
                  <c:v>1097795</c:v>
                </c:pt>
              </c:numCache>
            </c:numRef>
          </c:val>
        </c:ser>
        <c:ser>
          <c:idx val="21"/>
          <c:order val="21"/>
          <c:tx>
            <c:strRef>
              <c:f>'perf stat_frq_0'!$Z$5</c:f>
              <c:strCache>
                <c:ptCount val="1"/>
                <c:pt idx="0">
                  <c:v>UNC_CHA_CLOCKTICKS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stat_frq_0'!$Z$6:$Z$16</c:f>
              <c:numCache>
                <c:formatCode>General</c:formatCode>
                <c:ptCount val="11"/>
                <c:pt idx="0">
                  <c:v>4868202044</c:v>
                </c:pt>
                <c:pt idx="1">
                  <c:v>4811339746</c:v>
                </c:pt>
                <c:pt idx="2">
                  <c:v>4810352342</c:v>
                </c:pt>
                <c:pt idx="3">
                  <c:v>4687581128</c:v>
                </c:pt>
                <c:pt idx="4">
                  <c:v>4691451754</c:v>
                </c:pt>
                <c:pt idx="5">
                  <c:v>4690417862</c:v>
                </c:pt>
                <c:pt idx="6">
                  <c:v>4687646298</c:v>
                </c:pt>
                <c:pt idx="7">
                  <c:v>4688328574</c:v>
                </c:pt>
                <c:pt idx="8">
                  <c:v>4686711552</c:v>
                </c:pt>
                <c:pt idx="9">
                  <c:v>4687230516</c:v>
                </c:pt>
                <c:pt idx="10">
                  <c:v>338444940</c:v>
                </c:pt>
              </c:numCache>
            </c:numRef>
          </c:val>
        </c:ser>
        <c:ser>
          <c:idx val="22"/>
          <c:order val="22"/>
          <c:tx>
            <c:strRef>
              <c:f>'perf stat_frq_0'!$AA$5</c:f>
              <c:strCache>
                <c:ptCount val="1"/>
                <c:pt idx="0">
                  <c:v>%not_halted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7F0E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stat_frq_0'!$AA$6:$AA$16</c:f>
              <c:numCache>
                <c:formatCode>General</c:formatCode>
                <c:ptCount val="11"/>
                <c:pt idx="0">
                  <c:v>89.9415</c:v>
                </c:pt>
                <c:pt idx="1">
                  <c:v>99.9838</c:v>
                </c:pt>
                <c:pt idx="2">
                  <c:v>99.99679999999999</c:v>
                </c:pt>
                <c:pt idx="3">
                  <c:v>99.7864</c:v>
                </c:pt>
                <c:pt idx="4">
                  <c:v>99.8193</c:v>
                </c:pt>
                <c:pt idx="5">
                  <c:v>99.8235</c:v>
                </c:pt>
                <c:pt idx="6">
                  <c:v>99.78</c:v>
                </c:pt>
                <c:pt idx="7">
                  <c:v>99.7932</c:v>
                </c:pt>
                <c:pt idx="8">
                  <c:v>99.7884</c:v>
                </c:pt>
                <c:pt idx="9">
                  <c:v>99.78449999999999</c:v>
                </c:pt>
                <c:pt idx="10">
                  <c:v>97.2608</c:v>
                </c:pt>
              </c:numCache>
            </c:numRef>
          </c:val>
        </c:ser>
        <c:ser>
          <c:idx val="23"/>
          <c:order val="23"/>
          <c:tx>
            <c:strRef>
              <c:f>'perf stat_frq_0'!$AB$5</c:f>
              <c:strCache>
                <c:ptCount val="1"/>
                <c:pt idx="0">
                  <c:v>%both_HT_threads_active</c:v>
                </c:pt>
              </c:strCache>
            </c:strRef>
          </c:tx>
          <c:spPr>
            <a:ln>
              <a:solidFill>
                <a:srgbClr val="FFBB7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BB7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stat_frq_0'!$AB$6:$AB$16</c:f>
              <c:numCache>
                <c:formatCode>General</c:formatCode>
                <c:ptCount val="11"/>
                <c:pt idx="0">
                  <c:v>99.5048</c:v>
                </c:pt>
                <c:pt idx="1">
                  <c:v>99.99630000000001</c:v>
                </c:pt>
                <c:pt idx="2">
                  <c:v>100</c:v>
                </c:pt>
                <c:pt idx="3">
                  <c:v>99.9712</c:v>
                </c:pt>
                <c:pt idx="4">
                  <c:v>99.97580000000001</c:v>
                </c:pt>
                <c:pt idx="5">
                  <c:v>99.97620000000001</c:v>
                </c:pt>
                <c:pt idx="6">
                  <c:v>99.9701</c:v>
                </c:pt>
                <c:pt idx="7">
                  <c:v>99.9723</c:v>
                </c:pt>
                <c:pt idx="8">
                  <c:v>99.9713</c:v>
                </c:pt>
                <c:pt idx="9">
                  <c:v>99.971</c:v>
                </c:pt>
                <c:pt idx="10">
                  <c:v>99.6061</c:v>
                </c:pt>
              </c:numCache>
            </c:numRef>
          </c:val>
        </c:ser>
        <c:ser>
          <c:idx val="24"/>
          <c:order val="24"/>
          <c:tx>
            <c:strRef>
              <c:f>'perf stat_frq_0'!$AC$5</c:f>
              <c:strCache>
                <c:ptCount val="1"/>
                <c:pt idx="0">
                  <c:v>uncore_freq (GHz)</c:v>
                </c:pt>
              </c:strCache>
            </c:strRef>
          </c:tx>
          <c:spPr>
            <a:ln>
              <a:solidFill>
                <a:srgbClr val="2CA02C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2CA02C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stat_frq_0'!$AC$6:$AC$16</c:f>
              <c:numCache>
                <c:formatCode>General</c:formatCode>
                <c:ptCount val="11"/>
                <c:pt idx="0">
                  <c:v>2.39816</c:v>
                </c:pt>
                <c:pt idx="1">
                  <c:v>2.39989</c:v>
                </c:pt>
                <c:pt idx="2">
                  <c:v>2.39996</c:v>
                </c:pt>
                <c:pt idx="3">
                  <c:v>2.33881</c:v>
                </c:pt>
                <c:pt idx="4">
                  <c:v>2.34075</c:v>
                </c:pt>
                <c:pt idx="5">
                  <c:v>2.34079</c:v>
                </c:pt>
                <c:pt idx="6">
                  <c:v>2.33888</c:v>
                </c:pt>
                <c:pt idx="7">
                  <c:v>2.33975</c:v>
                </c:pt>
                <c:pt idx="8">
                  <c:v>2.33848</c:v>
                </c:pt>
                <c:pt idx="9">
                  <c:v>2.33914</c:v>
                </c:pt>
                <c:pt idx="10">
                  <c:v>2.33077</c:v>
                </c:pt>
              </c:numCache>
            </c:numRef>
          </c:val>
        </c:ser>
        <c:ser>
          <c:idx val="25"/>
          <c:order val="25"/>
          <c:tx>
            <c:strRef>
              <c:f>'perf stat_frq_0'!$AD$5</c:f>
              <c:strCache>
                <c:ptCount val="1"/>
                <c:pt idx="0">
                  <c:v>avg_freq (GHz)</c:v>
                </c:pt>
              </c:strCache>
            </c:strRef>
          </c:tx>
          <c:spPr>
            <a:ln>
              <a:solidFill>
                <a:srgbClr val="98DF8A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8DF8A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stat_frq_0'!$AD$6:$AD$16</c:f>
              <c:numCache>
                <c:formatCode>General</c:formatCode>
                <c:ptCount val="11"/>
                <c:pt idx="0">
                  <c:v>2.69953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2.70001</c:v>
                </c:pt>
              </c:numCache>
            </c:numRef>
          </c:val>
        </c:ser>
        <c:ser>
          <c:idx val="26"/>
          <c:order val="26"/>
          <c:tx>
            <c:strRef>
              <c:f>'perf stat_frq_0'!$AE$5</c:f>
              <c:strCache>
                <c:ptCount val="1"/>
                <c:pt idx="0">
                  <c:v>LLC-misses PKI</c:v>
                </c:pt>
              </c:strCache>
            </c:strRef>
          </c:tx>
          <c:spPr>
            <a:ln>
              <a:solidFill>
                <a:srgbClr val="D6272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6272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stat_frq_0'!$AE$6:$AE$16</c:f>
              <c:numCache>
                <c:formatCode>General</c:formatCode>
                <c:ptCount val="11"/>
                <c:pt idx="0">
                  <c:v>5.58878e-05</c:v>
                </c:pt>
                <c:pt idx="1">
                  <c:v>7.462240000000001e-05</c:v>
                </c:pt>
                <c:pt idx="2">
                  <c:v>7.252740000000001e-05</c:v>
                </c:pt>
                <c:pt idx="3">
                  <c:v>3.72698e-05</c:v>
                </c:pt>
                <c:pt idx="4">
                  <c:v>2.70269e-05</c:v>
                </c:pt>
                <c:pt idx="5">
                  <c:v>3.4047e-05</c:v>
                </c:pt>
                <c:pt idx="6">
                  <c:v>3.95608e-05</c:v>
                </c:pt>
                <c:pt idx="7">
                  <c:v>3.17054e-05</c:v>
                </c:pt>
                <c:pt idx="8">
                  <c:v>3.07402e-05</c:v>
                </c:pt>
                <c:pt idx="9">
                  <c:v>2.86625e-05</c:v>
                </c:pt>
                <c:pt idx="10">
                  <c:v>0.000213578</c:v>
                </c:pt>
              </c:numCache>
            </c:numRef>
          </c:val>
        </c:ser>
        <c:ser>
          <c:idx val="27"/>
          <c:order val="27"/>
          <c:tx>
            <c:strRef>
              <c:f>'perf stat_frq_0'!$AF$5</c:f>
              <c:strCache>
                <c:ptCount val="1"/>
                <c:pt idx="0">
                  <c:v>LLC-miss bw (GB/s)</c:v>
                </c:pt>
              </c:strCache>
            </c:strRef>
          </c:tx>
          <c:spPr>
            <a:ln>
              <a:solidFill>
                <a:srgbClr val="FF9896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F9896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stat_frq_0'!$AF$6:$AF$16</c:f>
              <c:numCache>
                <c:formatCode>General</c:formatCode>
                <c:ptCount val="11"/>
                <c:pt idx="0">
                  <c:v>0.000619073</c:v>
                </c:pt>
                <c:pt idx="1">
                  <c:v>0.0009190650000000001</c:v>
                </c:pt>
                <c:pt idx="2">
                  <c:v>0.00089278</c:v>
                </c:pt>
                <c:pt idx="3">
                  <c:v>0.000458033</c:v>
                </c:pt>
                <c:pt idx="4">
                  <c:v>0.000331136</c:v>
                </c:pt>
                <c:pt idx="5">
                  <c:v>0.000417707</c:v>
                </c:pt>
                <c:pt idx="6">
                  <c:v>0.000484481</c:v>
                </c:pt>
                <c:pt idx="7">
                  <c:v>0.000388642</c:v>
                </c:pt>
                <c:pt idx="8">
                  <c:v>0.00037758</c:v>
                </c:pt>
                <c:pt idx="9">
                  <c:v>0.000350816</c:v>
                </c:pt>
                <c:pt idx="10">
                  <c:v>0.00257309</c:v>
                </c:pt>
              </c:numCache>
            </c:numRef>
          </c:val>
        </c:ser>
        <c:ser>
          <c:idx val="28"/>
          <c:order val="28"/>
          <c:tx>
            <c:strRef>
              <c:f>'perf stat_frq_0'!$AG$5</c:f>
              <c:strCache>
                <c:ptCount val="1"/>
                <c:pt idx="0">
                  <c:v>L3 miss latency (core_clks)</c:v>
                </c:pt>
              </c:strCache>
            </c:strRef>
          </c:tx>
          <c:spPr>
            <a:ln>
              <a:solidFill>
                <a:srgbClr val="9467B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467BD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stat_frq_0'!$AG$6:$AG$16</c:f>
              <c:numCache>
                <c:formatCode>General</c:formatCode>
                <c:ptCount val="11"/>
                <c:pt idx="0">
                  <c:v>367.351</c:v>
                </c:pt>
                <c:pt idx="1">
                  <c:v>381.366</c:v>
                </c:pt>
                <c:pt idx="2">
                  <c:v>389.751</c:v>
                </c:pt>
                <c:pt idx="3">
                  <c:v>392.565</c:v>
                </c:pt>
                <c:pt idx="4">
                  <c:v>388.449</c:v>
                </c:pt>
                <c:pt idx="5">
                  <c:v>412.131</c:v>
                </c:pt>
                <c:pt idx="6">
                  <c:v>414.404</c:v>
                </c:pt>
                <c:pt idx="7">
                  <c:v>421.069</c:v>
                </c:pt>
                <c:pt idx="8">
                  <c:v>396.133</c:v>
                </c:pt>
                <c:pt idx="9">
                  <c:v>396.253</c:v>
                </c:pt>
                <c:pt idx="10">
                  <c:v>376.086</c:v>
                </c:pt>
              </c:numCache>
            </c:numRef>
          </c:val>
        </c:ser>
        <c:ser>
          <c:idx val="29"/>
          <c:order val="29"/>
          <c:tx>
            <c:strRef>
              <c:f>'perf stat_frq_0'!$AH$5</c:f>
              <c:strCache>
                <c:ptCount val="1"/>
                <c:pt idx="0">
                  <c:v>L3 miss latency (ns)</c:v>
                </c:pt>
              </c:strCache>
            </c:strRef>
          </c:tx>
          <c:spPr>
            <a:ln>
              <a:solidFill>
                <a:srgbClr val="C5B0D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5B0D5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stat_frq_0'!$AH$6:$AH$16</c:f>
              <c:numCache>
                <c:formatCode>General</c:formatCode>
                <c:ptCount val="11"/>
                <c:pt idx="0">
                  <c:v>153.181</c:v>
                </c:pt>
                <c:pt idx="1">
                  <c:v>158.91</c:v>
                </c:pt>
                <c:pt idx="2">
                  <c:v>162.399</c:v>
                </c:pt>
                <c:pt idx="3">
                  <c:v>167.848</c:v>
                </c:pt>
                <c:pt idx="4">
                  <c:v>165.951</c:v>
                </c:pt>
                <c:pt idx="5">
                  <c:v>176.065</c:v>
                </c:pt>
                <c:pt idx="6">
                  <c:v>177.18</c:v>
                </c:pt>
                <c:pt idx="7">
                  <c:v>179.964</c:v>
                </c:pt>
                <c:pt idx="8">
                  <c:v>169.398</c:v>
                </c:pt>
                <c:pt idx="9">
                  <c:v>169.401</c:v>
                </c:pt>
                <c:pt idx="10">
                  <c:v>161.357</c:v>
                </c:pt>
              </c:numCache>
            </c:numRef>
          </c:val>
        </c:ser>
        <c:ser>
          <c:idx val="30"/>
          <c:order val="30"/>
          <c:tx>
            <c:strRef>
              <c:f>'perf stat_frq_0'!$AI$5</c:f>
              <c:strCache>
                <c:ptCount val="1"/>
                <c:pt idx="0">
                  <c:v>%LLC misses</c:v>
                </c:pt>
              </c:strCache>
            </c:strRef>
          </c:tx>
          <c:spPr>
            <a:ln>
              <a:solidFill>
                <a:srgbClr val="8C564B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8C564B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stat_frq_0'!$AI$6:$AI$16</c:f>
              <c:numCache>
                <c:formatCode>General</c:formatCode>
                <c:ptCount val="11"/>
                <c:pt idx="0">
                  <c:v>17.2061</c:v>
                </c:pt>
                <c:pt idx="1">
                  <c:v>18.649</c:v>
                </c:pt>
                <c:pt idx="2">
                  <c:v>19.3589</c:v>
                </c:pt>
                <c:pt idx="3">
                  <c:v>15.6314</c:v>
                </c:pt>
                <c:pt idx="4">
                  <c:v>13.921</c:v>
                </c:pt>
                <c:pt idx="5">
                  <c:v>16.3189</c:v>
                </c:pt>
                <c:pt idx="6">
                  <c:v>17.7646</c:v>
                </c:pt>
                <c:pt idx="7">
                  <c:v>15.2393</c:v>
                </c:pt>
                <c:pt idx="8">
                  <c:v>14.4104</c:v>
                </c:pt>
                <c:pt idx="9">
                  <c:v>13.705</c:v>
                </c:pt>
                <c:pt idx="10">
                  <c:v>21.3143</c:v>
                </c:pt>
              </c:numCache>
            </c:numRef>
          </c:val>
        </c:ser>
        <c:ser>
          <c:idx val="31"/>
          <c:order val="31"/>
          <c:tx>
            <c:strRef>
              <c:f>'perf stat_frq_0'!$AJ$5</c:f>
              <c:strCache>
                <c:ptCount val="1"/>
                <c:pt idx="0">
                  <c:v>unc_read_write (GB/s)</c:v>
                </c:pt>
              </c:strCache>
            </c:strRef>
          </c:tx>
          <c:spPr>
            <a:ln>
              <a:solidFill>
                <a:srgbClr val="C49C9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49C94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stat_frq_0'!$AJ$6:$AJ$16</c:f>
              <c:numCache>
                <c:formatCode>General</c:formatCode>
                <c:ptCount val="11"/>
                <c:pt idx="0">
                  <c:v>0.061061</c:v>
                </c:pt>
                <c:pt idx="1">
                  <c:v>0.057243</c:v>
                </c:pt>
                <c:pt idx="2">
                  <c:v>0.0600802</c:v>
                </c:pt>
                <c:pt idx="3">
                  <c:v>0.0415147</c:v>
                </c:pt>
                <c:pt idx="4">
                  <c:v>0.0381368</c:v>
                </c:pt>
                <c:pt idx="5">
                  <c:v>0.043109</c:v>
                </c:pt>
                <c:pt idx="6">
                  <c:v>0.0466232</c:v>
                </c:pt>
                <c:pt idx="7">
                  <c:v>0.0428762</c:v>
                </c:pt>
                <c:pt idx="8">
                  <c:v>0.0453828</c:v>
                </c:pt>
                <c:pt idx="9">
                  <c:v>0.0399104</c:v>
                </c:pt>
                <c:pt idx="10">
                  <c:v>0.173537</c:v>
                </c:pt>
              </c:numCache>
            </c:numRef>
          </c:val>
        </c:ser>
        <c:ser>
          <c:idx val="32"/>
          <c:order val="32"/>
          <c:tx>
            <c:strRef>
              <c:f>'perf stat_frq_0'!$AK$5</c:f>
              <c:strCache>
                <c:ptCount val="1"/>
                <c:pt idx="0">
                  <c:v>IPC</c:v>
                </c:pt>
              </c:strCache>
            </c:strRef>
          </c:tx>
          <c:spPr>
            <a:ln>
              <a:solidFill>
                <a:srgbClr val="E377C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E377C2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stat_frq_0'!$AK$6:$AK$16</c:f>
              <c:numCache>
                <c:formatCode>General</c:formatCode>
                <c:ptCount val="11"/>
                <c:pt idx="0">
                  <c:v>1.4851</c:v>
                </c:pt>
                <c:pt idx="1">
                  <c:v>1.48512</c:v>
                </c:pt>
                <c:pt idx="2">
                  <c:v>1.48413</c:v>
                </c:pt>
                <c:pt idx="3">
                  <c:v>1.48485</c:v>
                </c:pt>
                <c:pt idx="4">
                  <c:v>1.47982</c:v>
                </c:pt>
                <c:pt idx="5">
                  <c:v>1.48175</c:v>
                </c:pt>
                <c:pt idx="6">
                  <c:v>1.47973</c:v>
                </c:pt>
                <c:pt idx="7">
                  <c:v>1.48092</c:v>
                </c:pt>
                <c:pt idx="8">
                  <c:v>1.48401</c:v>
                </c:pt>
                <c:pt idx="9">
                  <c:v>1.47883</c:v>
                </c:pt>
                <c:pt idx="10">
                  <c:v>1.4934</c:v>
                </c:pt>
              </c:numCache>
            </c:numRef>
          </c:val>
        </c:ser>
        <c:ser>
          <c:idx val="33"/>
          <c:order val="33"/>
          <c:tx>
            <c:strRef>
              <c:f>'perf stat_frq_0'!$AL$5</c:f>
              <c:strCache>
                <c:ptCount val="1"/>
                <c:pt idx="0">
                  <c:v>CPI</c:v>
                </c:pt>
              </c:strCache>
            </c:strRef>
          </c:tx>
          <c:spPr>
            <a:ln>
              <a:solidFill>
                <a:srgbClr val="F7B6D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F7B6D2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stat_frq_0'!$AL$6:$AL$16</c:f>
              <c:numCache>
                <c:formatCode>General</c:formatCode>
                <c:ptCount val="11"/>
                <c:pt idx="0">
                  <c:v>0.673356</c:v>
                </c:pt>
                <c:pt idx="1">
                  <c:v>0.673345</c:v>
                </c:pt>
                <c:pt idx="2">
                  <c:v>0.673797</c:v>
                </c:pt>
                <c:pt idx="3">
                  <c:v>0.673468</c:v>
                </c:pt>
                <c:pt idx="4">
                  <c:v>0.675756</c:v>
                </c:pt>
                <c:pt idx="5">
                  <c:v>0.674879</c:v>
                </c:pt>
                <c:pt idx="6">
                  <c:v>0.675798</c:v>
                </c:pt>
                <c:pt idx="7">
                  <c:v>0.675256</c:v>
                </c:pt>
                <c:pt idx="8">
                  <c:v>0.673849</c:v>
                </c:pt>
                <c:pt idx="9">
                  <c:v>0.676211</c:v>
                </c:pt>
                <c:pt idx="10">
                  <c:v>0.669614</c:v>
                </c:pt>
              </c:numCache>
            </c:numRef>
          </c:val>
        </c:ser>
        <c:ser>
          <c:idx val="34"/>
          <c:order val="34"/>
          <c:tx>
            <c:strRef>
              <c:f>'perf stat_frq_0'!$AM$5</c:f>
              <c:strCache>
                <c:ptCount val="1"/>
                <c:pt idx="0">
                  <c:v>QPI_BW (GB/sec)</c:v>
                </c:pt>
              </c:strCache>
            </c:strRef>
          </c:tx>
          <c:spPr>
            <a:ln>
              <a:solidFill>
                <a:srgbClr val="7F7F7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7F7F7F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stat_frq_0'!$AM$6:$AM$16</c:f>
              <c:numCache>
                <c:formatCode>General</c:formatCode>
                <c:ptCount val="11"/>
                <c:pt idx="0">
                  <c:v>0.0148371</c:v>
                </c:pt>
                <c:pt idx="1">
                  <c:v>0.0212248</c:v>
                </c:pt>
                <c:pt idx="2">
                  <c:v>0.0233127</c:v>
                </c:pt>
                <c:pt idx="3">
                  <c:v>0.0133644</c:v>
                </c:pt>
                <c:pt idx="4">
                  <c:v>0.01233</c:v>
                </c:pt>
                <c:pt idx="5">
                  <c:v>0.0148475</c:v>
                </c:pt>
                <c:pt idx="6">
                  <c:v>0.0153027</c:v>
                </c:pt>
                <c:pt idx="7">
                  <c:v>0.0144157</c:v>
                </c:pt>
                <c:pt idx="8">
                  <c:v>0.0145078</c:v>
                </c:pt>
                <c:pt idx="9">
                  <c:v>0.0126387</c:v>
                </c:pt>
                <c:pt idx="10">
                  <c:v>0.0551694</c:v>
                </c:pt>
              </c:numCache>
            </c:numRef>
          </c:val>
        </c:ser>
        <c:ser>
          <c:idx val="35"/>
          <c:order val="35"/>
          <c:tx>
            <c:strRef>
              <c:f>'perf stat_frq_0'!$AN$5</c:f>
              <c:strCache>
                <c:ptCount val="1"/>
                <c:pt idx="0">
                  <c:v>power_pkg (watts)</c:v>
                </c:pt>
              </c:strCache>
            </c:strRef>
          </c:tx>
          <c:spPr>
            <a:ln>
              <a:solidFill>
                <a:srgbClr val="C7C7C7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C7C7C7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stat_frq_0'!$AN$6:$AN$16</c:f>
              <c:numCache>
                <c:formatCode>General</c:formatCode>
                <c:ptCount val="11"/>
                <c:pt idx="0">
                  <c:v>159.401</c:v>
                </c:pt>
                <c:pt idx="1">
                  <c:v>167.806</c:v>
                </c:pt>
                <c:pt idx="2">
                  <c:v>167.965</c:v>
                </c:pt>
                <c:pt idx="3">
                  <c:v>165.687</c:v>
                </c:pt>
                <c:pt idx="4">
                  <c:v>165.538</c:v>
                </c:pt>
                <c:pt idx="5">
                  <c:v>165.597</c:v>
                </c:pt>
                <c:pt idx="6">
                  <c:v>165.6</c:v>
                </c:pt>
                <c:pt idx="7">
                  <c:v>165.597</c:v>
                </c:pt>
                <c:pt idx="8">
                  <c:v>165.564</c:v>
                </c:pt>
                <c:pt idx="9">
                  <c:v>165.573</c:v>
                </c:pt>
                <c:pt idx="10">
                  <c:v>165.005</c:v>
                </c:pt>
              </c:numCache>
            </c:numRef>
          </c:val>
        </c:ser>
        <c:ser>
          <c:idx val="36"/>
          <c:order val="36"/>
          <c:tx>
            <c:strRef>
              <c:f>'perf stat_frq_0'!$AO$5</c:f>
              <c:strCache>
                <c:ptCount val="1"/>
                <c:pt idx="0">
                  <c:v>instructions/sec (1e9 instr/sec)</c:v>
                </c:pt>
              </c:strCache>
            </c:strRef>
          </c:tx>
          <c:spPr>
            <a:ln>
              <a:solidFill>
                <a:srgbClr val="BCBD22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BCBD22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stat_frq_0'!$AO$6:$AO$16</c:f>
              <c:numCache>
                <c:formatCode>General</c:formatCode>
                <c:ptCount val="11"/>
                <c:pt idx="0">
                  <c:v>173.079</c:v>
                </c:pt>
                <c:pt idx="1">
                  <c:v>192.441</c:v>
                </c:pt>
                <c:pt idx="2">
                  <c:v>192.337</c:v>
                </c:pt>
                <c:pt idx="3">
                  <c:v>192.026</c:v>
                </c:pt>
                <c:pt idx="4">
                  <c:v>191.439</c:v>
                </c:pt>
                <c:pt idx="5">
                  <c:v>191.696</c:v>
                </c:pt>
                <c:pt idx="6">
                  <c:v>191.351</c:v>
                </c:pt>
                <c:pt idx="7">
                  <c:v>191.53</c:v>
                </c:pt>
                <c:pt idx="8">
                  <c:v>191.921</c:v>
                </c:pt>
                <c:pt idx="9">
                  <c:v>191.243</c:v>
                </c:pt>
                <c:pt idx="10">
                  <c:v>188.243</c:v>
                </c:pt>
              </c:numCache>
            </c:numRef>
          </c:val>
        </c:ser>
        <c:ser>
          <c:idx val="37"/>
          <c:order val="37"/>
          <c:tx>
            <c:strRef>
              <c:f>'perf stat_frq_0'!$AP$5</c:f>
              <c:strCache>
                <c:ptCount val="1"/>
                <c:pt idx="0">
                  <c:v>cpu-cycles/sec (1e9 cycles/sec)</c:v>
                </c:pt>
              </c:strCache>
            </c:strRef>
          </c:tx>
          <c:spPr>
            <a:ln>
              <a:solidFill>
                <a:srgbClr val="DBDB8D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DBDB8D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stat_frq_0'!$AP$6:$AP$16</c:f>
              <c:numCache>
                <c:formatCode>General</c:formatCode>
                <c:ptCount val="11"/>
                <c:pt idx="0">
                  <c:v>116.544</c:v>
                </c:pt>
                <c:pt idx="1">
                  <c:v>129.579</c:v>
                </c:pt>
                <c:pt idx="2">
                  <c:v>129.596</c:v>
                </c:pt>
                <c:pt idx="3">
                  <c:v>129.323</c:v>
                </c:pt>
                <c:pt idx="4">
                  <c:v>129.366</c:v>
                </c:pt>
                <c:pt idx="5">
                  <c:v>129.371</c:v>
                </c:pt>
                <c:pt idx="6">
                  <c:v>129.315</c:v>
                </c:pt>
                <c:pt idx="7">
                  <c:v>129.332</c:v>
                </c:pt>
                <c:pt idx="8">
                  <c:v>129.326</c:v>
                </c:pt>
                <c:pt idx="9">
                  <c:v>129.321</c:v>
                </c:pt>
                <c:pt idx="10">
                  <c:v>126.05</c:v>
                </c:pt>
              </c:numCache>
            </c:numRef>
          </c:val>
        </c:ser>
        <c:ser>
          <c:idx val="38"/>
          <c:order val="38"/>
          <c:tx>
            <c:strRef>
              <c:f>'perf stat_frq_0'!$AQ$5</c:f>
              <c:strCache>
                <c:ptCount val="1"/>
                <c:pt idx="0">
                  <c:v>coreIpc</c:v>
                </c:pt>
              </c:strCache>
            </c:strRef>
          </c:tx>
          <c:spPr>
            <a:ln>
              <a:solidFill>
                <a:srgbClr val="17BECF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7BECF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stat_frq_0'!$AQ$6:$AQ$16</c:f>
              <c:numCache>
                <c:formatCode>General</c:formatCode>
                <c:ptCount val="11"/>
                <c:pt idx="0">
                  <c:v>2.96284</c:v>
                </c:pt>
                <c:pt idx="1">
                  <c:v>2.97019</c:v>
                </c:pt>
                <c:pt idx="2">
                  <c:v>2.96825</c:v>
                </c:pt>
                <c:pt idx="3">
                  <c:v>2.96928</c:v>
                </c:pt>
                <c:pt idx="4">
                  <c:v>2.95929</c:v>
                </c:pt>
                <c:pt idx="5">
                  <c:v>2.96314</c:v>
                </c:pt>
                <c:pt idx="6">
                  <c:v>2.95902</c:v>
                </c:pt>
                <c:pt idx="7">
                  <c:v>2.96143</c:v>
                </c:pt>
                <c:pt idx="8">
                  <c:v>2.9676</c:v>
                </c:pt>
                <c:pt idx="9">
                  <c:v>2.95723</c:v>
                </c:pt>
                <c:pt idx="10">
                  <c:v>2.98091</c:v>
                </c:pt>
              </c:numCache>
            </c:numRef>
          </c:val>
        </c:ser>
        <c:ser>
          <c:idx val="39"/>
          <c:order val="39"/>
          <c:tx>
            <c:strRef>
              <c:f>'perf stat_frq_0'!$AR$5</c:f>
              <c:strCache>
                <c:ptCount val="1"/>
                <c:pt idx="0">
                  <c:v>topdown_Retiring(%)</c:v>
                </c:pt>
              </c:strCache>
            </c:strRef>
          </c:tx>
          <c:spPr>
            <a:ln>
              <a:solidFill>
                <a:srgbClr val="9EDAE5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9EDAE5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stat_frq_0'!$AR$6:$AR$16</c:f>
              <c:numCache>
                <c:formatCode>General</c:formatCode>
                <c:ptCount val="11"/>
                <c:pt idx="0">
                  <c:v>65.8961</c:v>
                </c:pt>
                <c:pt idx="1">
                  <c:v>65.99930000000001</c:v>
                </c:pt>
                <c:pt idx="2">
                  <c:v>65.9552</c:v>
                </c:pt>
                <c:pt idx="3">
                  <c:v>65.9798</c:v>
                </c:pt>
                <c:pt idx="4">
                  <c:v>65.75530000000001</c:v>
                </c:pt>
                <c:pt idx="5">
                  <c:v>65.842</c:v>
                </c:pt>
                <c:pt idx="6">
                  <c:v>65.7516</c:v>
                </c:pt>
                <c:pt idx="7">
                  <c:v>65.80289999999999</c:v>
                </c:pt>
                <c:pt idx="8">
                  <c:v>65.9397</c:v>
                </c:pt>
                <c:pt idx="9">
                  <c:v>65.7094</c:v>
                </c:pt>
                <c:pt idx="10">
                  <c:v>66.2548</c:v>
                </c:pt>
              </c:numCache>
            </c:numRef>
          </c:val>
        </c:ser>
        <c:ser>
          <c:idx val="40"/>
          <c:order val="40"/>
          <c:tx>
            <c:strRef>
              <c:f>'perf stat_frq_0'!$AS$5</c:f>
              <c:strCache>
                <c:ptCount val="1"/>
                <c:pt idx="0">
                  <c:v>topdown_Frontend_Bound(%)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1F77B4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stat_frq_0'!$AS$6:$AS$16</c:f>
              <c:numCache>
                <c:formatCode>General</c:formatCode>
                <c:ptCount val="11"/>
                <c:pt idx="0">
                  <c:v>11.2266</c:v>
                </c:pt>
                <c:pt idx="1">
                  <c:v>11.1519</c:v>
                </c:pt>
                <c:pt idx="2">
                  <c:v>11.1668</c:v>
                </c:pt>
                <c:pt idx="3">
                  <c:v>11.1455</c:v>
                </c:pt>
                <c:pt idx="4">
                  <c:v>11.151</c:v>
                </c:pt>
                <c:pt idx="5">
                  <c:v>11.1752</c:v>
                </c:pt>
                <c:pt idx="6">
                  <c:v>11.1463</c:v>
                </c:pt>
                <c:pt idx="7">
                  <c:v>11.1443</c:v>
                </c:pt>
                <c:pt idx="8">
                  <c:v>11.1641</c:v>
                </c:pt>
                <c:pt idx="9">
                  <c:v>11.1695</c:v>
                </c:pt>
                <c:pt idx="10">
                  <c:v>11.2418</c:v>
                </c:pt>
              </c:numCache>
            </c:numRef>
          </c:val>
        </c:ser>
        <c:ser>
          <c:idx val="41"/>
          <c:order val="41"/>
          <c:tx>
            <c:strRef>
              <c:f>'perf stat_frq_0'!$AT$5</c:f>
              <c:strCache>
                <c:ptCount val="1"/>
                <c:pt idx="0">
                  <c:v>topdown_Backend_Bound_BadSpec(%)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marker>
            <c:symbol val="none"/>
          </c:marker>
          <c:dPt>
            <c:idx val="0"/>
            <c:marker>
              <c:spPr>
                <a:solidFill>
                  <a:srgbClr val="AEC7E8"/>
                </a:solidFill>
              </c:spPr>
            </c:marke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stat_frq_0'!$AT$6:$AT$16</c:f>
              <c:numCache>
                <c:formatCode>General</c:formatCode>
                <c:ptCount val="11"/>
                <c:pt idx="0">
                  <c:v>22.8773</c:v>
                </c:pt>
                <c:pt idx="1">
                  <c:v>22.8488</c:v>
                </c:pt>
                <c:pt idx="2">
                  <c:v>22.878</c:v>
                </c:pt>
                <c:pt idx="3">
                  <c:v>22.8747</c:v>
                </c:pt>
                <c:pt idx="4">
                  <c:v>23.0937</c:v>
                </c:pt>
                <c:pt idx="5">
                  <c:v>22.9828</c:v>
                </c:pt>
                <c:pt idx="6">
                  <c:v>23.1021</c:v>
                </c:pt>
                <c:pt idx="7">
                  <c:v>23.0528</c:v>
                </c:pt>
                <c:pt idx="8">
                  <c:v>22.8962</c:v>
                </c:pt>
                <c:pt idx="9">
                  <c:v>23.1211</c:v>
                </c:pt>
                <c:pt idx="10">
                  <c:v>22.5034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perf stat TopLev Level 1 Percentages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'perf stat_frq_0'!$AS$5</c:f>
              <c:strCache>
                <c:ptCount val="1"/>
                <c:pt idx="0">
                  <c:v>topdown_Frontend_Bound(%)</c:v>
                </c:pt>
              </c:strCache>
            </c:strRef>
          </c:tx>
          <c:spPr>
            <a:ln>
              <a:solidFill>
                <a:srgbClr val="1F77B4"/>
              </a:solidFill>
            </a:ln>
          </c:spPr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stat_frq_0'!$AS$6:$AS$16</c:f>
              <c:numCache>
                <c:formatCode>General</c:formatCode>
                <c:ptCount val="11"/>
                <c:pt idx="0">
                  <c:v>11.2266</c:v>
                </c:pt>
                <c:pt idx="1">
                  <c:v>11.1519</c:v>
                </c:pt>
                <c:pt idx="2">
                  <c:v>11.1668</c:v>
                </c:pt>
                <c:pt idx="3">
                  <c:v>11.1455</c:v>
                </c:pt>
                <c:pt idx="4">
                  <c:v>11.151</c:v>
                </c:pt>
                <c:pt idx="5">
                  <c:v>11.1752</c:v>
                </c:pt>
                <c:pt idx="6">
                  <c:v>11.1463</c:v>
                </c:pt>
                <c:pt idx="7">
                  <c:v>11.1443</c:v>
                </c:pt>
                <c:pt idx="8">
                  <c:v>11.1641</c:v>
                </c:pt>
                <c:pt idx="9">
                  <c:v>11.1695</c:v>
                </c:pt>
                <c:pt idx="10">
                  <c:v>11.2418</c:v>
                </c:pt>
              </c:numCache>
            </c:numRef>
          </c:val>
        </c:ser>
        <c:ser>
          <c:idx val="1"/>
          <c:order val="1"/>
          <c:tx>
            <c:strRef>
              <c:f>'perf stat_frq_0'!$AT$5</c:f>
              <c:strCache>
                <c:ptCount val="1"/>
                <c:pt idx="0">
                  <c:v>topdown_Backend_Bound_BadSpec(%)</c:v>
                </c:pt>
              </c:strCache>
            </c:strRef>
          </c:tx>
          <c:spPr>
            <a:ln>
              <a:solidFill>
                <a:srgbClr val="AEC7E8"/>
              </a:solidFill>
            </a:ln>
          </c:spPr>
          <c:dPt>
            <c:idx val="0"/>
            <c:spPr>
              <a:solidFill>
                <a:srgbClr val="AEC7E8"/>
              </a:solidFill>
            </c:spP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stat_frq_0'!$AT$6:$AT$16</c:f>
              <c:numCache>
                <c:formatCode>General</c:formatCode>
                <c:ptCount val="11"/>
                <c:pt idx="0">
                  <c:v>22.8773</c:v>
                </c:pt>
                <c:pt idx="1">
                  <c:v>22.8488</c:v>
                </c:pt>
                <c:pt idx="2">
                  <c:v>22.878</c:v>
                </c:pt>
                <c:pt idx="3">
                  <c:v>22.8747</c:v>
                </c:pt>
                <c:pt idx="4">
                  <c:v>23.0937</c:v>
                </c:pt>
                <c:pt idx="5">
                  <c:v>22.9828</c:v>
                </c:pt>
                <c:pt idx="6">
                  <c:v>23.1021</c:v>
                </c:pt>
                <c:pt idx="7">
                  <c:v>23.0528</c:v>
                </c:pt>
                <c:pt idx="8">
                  <c:v>22.8962</c:v>
                </c:pt>
                <c:pt idx="9">
                  <c:v>23.1211</c:v>
                </c:pt>
                <c:pt idx="10">
                  <c:v>22.5034</c:v>
                </c:pt>
              </c:numCache>
            </c:numRef>
          </c:val>
        </c:ser>
        <c:ser>
          <c:idx val="2"/>
          <c:order val="2"/>
          <c:tx>
            <c:strRef>
              <c:f>'perf stat_frq_0'!$AR$5</c:f>
              <c:strCache>
                <c:ptCount val="1"/>
                <c:pt idx="0">
                  <c:v>topdown_Retiring(%)</c:v>
                </c:pt>
              </c:strCache>
            </c:strRef>
          </c:tx>
          <c:spPr>
            <a:ln>
              <a:solidFill>
                <a:srgbClr val="FF7F0E"/>
              </a:solidFill>
            </a:ln>
          </c:spPr>
          <c:dPt>
            <c:idx val="0"/>
            <c:spPr>
              <a:solidFill>
                <a:srgbClr val="FF7F0E"/>
              </a:solidFill>
            </c:spPr>
          </c:dPt>
          <c:cat>
            <c:numRef>
              <c:f>'perf stat_frq_0'!$B$6:$B$16</c:f>
              <c:numCache>
                <c:formatCode>General</c:formatCode>
                <c:ptCount val="11"/>
                <c:pt idx="0">
                  <c:v>1.014988161</c:v>
                </c:pt>
                <c:pt idx="1">
                  <c:v>2.017398524</c:v>
                </c:pt>
                <c:pt idx="2">
                  <c:v>3.019572041</c:v>
                </c:pt>
                <c:pt idx="3">
                  <c:v>4.021701431</c:v>
                </c:pt>
                <c:pt idx="4">
                  <c:v>5.023827435</c:v>
                </c:pt>
                <c:pt idx="5">
                  <c:v>6.025717051</c:v>
                </c:pt>
                <c:pt idx="6">
                  <c:v>7.027829265</c:v>
                </c:pt>
                <c:pt idx="7">
                  <c:v>8.029717757</c:v>
                </c:pt>
                <c:pt idx="8">
                  <c:v>9.031804699</c:v>
                </c:pt>
                <c:pt idx="9">
                  <c:v>10.03371906</c:v>
                </c:pt>
                <c:pt idx="10">
                  <c:v>10.106322756</c:v>
                </c:pt>
              </c:numCache>
            </c:numRef>
          </c:cat>
          <c:val>
            <c:numRef>
              <c:f>'perf stat_frq_0'!$AR$6:$AR$16</c:f>
              <c:numCache>
                <c:formatCode>General</c:formatCode>
                <c:ptCount val="11"/>
                <c:pt idx="0">
                  <c:v>65.8961</c:v>
                </c:pt>
                <c:pt idx="1">
                  <c:v>65.99930000000001</c:v>
                </c:pt>
                <c:pt idx="2">
                  <c:v>65.9552</c:v>
                </c:pt>
                <c:pt idx="3">
                  <c:v>65.9798</c:v>
                </c:pt>
                <c:pt idx="4">
                  <c:v>65.75530000000001</c:v>
                </c:pt>
                <c:pt idx="5">
                  <c:v>65.842</c:v>
                </c:pt>
                <c:pt idx="6">
                  <c:v>65.7516</c:v>
                </c:pt>
                <c:pt idx="7">
                  <c:v>65.80289999999999</c:v>
                </c:pt>
                <c:pt idx="8">
                  <c:v>65.9397</c:v>
                </c:pt>
                <c:pt idx="9">
                  <c:v>65.7094</c:v>
                </c:pt>
                <c:pt idx="10">
                  <c:v>66.2548</c:v>
                </c:pt>
              </c:numCache>
            </c:numRef>
          </c:val>
        </c:ser>
        <c:axId val="50090001"/>
        <c:axId val="50090002"/>
      </c:area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</xdr:row>
      <xdr:rowOff>95250</xdr:rowOff>
    </xdr:from>
    <xdr:to>
      <xdr:col>15</xdr:col>
      <xdr:colOff>542925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3</xdr:row>
      <xdr:rowOff>95250</xdr:rowOff>
    </xdr:from>
    <xdr:to>
      <xdr:col>23</xdr:col>
      <xdr:colOff>542925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3</xdr:row>
      <xdr:rowOff>95250</xdr:rowOff>
    </xdr:from>
    <xdr:to>
      <xdr:col>31</xdr:col>
      <xdr:colOff>542925</xdr:colOff>
      <xdr:row>17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238125</xdr:colOff>
      <xdr:row>3</xdr:row>
      <xdr:rowOff>95250</xdr:rowOff>
    </xdr:from>
    <xdr:to>
      <xdr:col>39</xdr:col>
      <xdr:colOff>542925</xdr:colOff>
      <xdr:row>17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238125</xdr:colOff>
      <xdr:row>3</xdr:row>
      <xdr:rowOff>95250</xdr:rowOff>
    </xdr:from>
    <xdr:to>
      <xdr:col>47</xdr:col>
      <xdr:colOff>542925</xdr:colOff>
      <xdr:row>17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238125</xdr:colOff>
      <xdr:row>3</xdr:row>
      <xdr:rowOff>95250</xdr:rowOff>
    </xdr:from>
    <xdr:to>
      <xdr:col>55</xdr:col>
      <xdr:colOff>542925</xdr:colOff>
      <xdr:row>17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238125</xdr:colOff>
      <xdr:row>21</xdr:row>
      <xdr:rowOff>95250</xdr:rowOff>
    </xdr:from>
    <xdr:to>
      <xdr:col>7</xdr:col>
      <xdr:colOff>542925</xdr:colOff>
      <xdr:row>35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238125</xdr:colOff>
      <xdr:row>21</xdr:row>
      <xdr:rowOff>95250</xdr:rowOff>
    </xdr:from>
    <xdr:to>
      <xdr:col>15</xdr:col>
      <xdr:colOff>542925</xdr:colOff>
      <xdr:row>35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238125</xdr:colOff>
      <xdr:row>21</xdr:row>
      <xdr:rowOff>95250</xdr:rowOff>
    </xdr:from>
    <xdr:to>
      <xdr:col>23</xdr:col>
      <xdr:colOff>542925</xdr:colOff>
      <xdr:row>35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238125</xdr:colOff>
      <xdr:row>21</xdr:row>
      <xdr:rowOff>95250</xdr:rowOff>
    </xdr:from>
    <xdr:to>
      <xdr:col>31</xdr:col>
      <xdr:colOff>542925</xdr:colOff>
      <xdr:row>35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238125</xdr:colOff>
      <xdr:row>21</xdr:row>
      <xdr:rowOff>95250</xdr:rowOff>
    </xdr:from>
    <xdr:to>
      <xdr:col>39</xdr:col>
      <xdr:colOff>542925</xdr:colOff>
      <xdr:row>35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238125</xdr:colOff>
      <xdr:row>21</xdr:row>
      <xdr:rowOff>95250</xdr:rowOff>
    </xdr:from>
    <xdr:to>
      <xdr:col>47</xdr:col>
      <xdr:colOff>542925</xdr:colOff>
      <xdr:row>35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238125</xdr:colOff>
      <xdr:row>21</xdr:row>
      <xdr:rowOff>95250</xdr:rowOff>
    </xdr:from>
    <xdr:to>
      <xdr:col>55</xdr:col>
      <xdr:colOff>542925</xdr:colOff>
      <xdr:row>35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238125</xdr:colOff>
      <xdr:row>39</xdr:row>
      <xdr:rowOff>95250</xdr:rowOff>
    </xdr:from>
    <xdr:to>
      <xdr:col>7</xdr:col>
      <xdr:colOff>542925</xdr:colOff>
      <xdr:row>53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238125</xdr:colOff>
      <xdr:row>39</xdr:row>
      <xdr:rowOff>95250</xdr:rowOff>
    </xdr:from>
    <xdr:to>
      <xdr:col>15</xdr:col>
      <xdr:colOff>542925</xdr:colOff>
      <xdr:row>53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238125</xdr:colOff>
      <xdr:row>39</xdr:row>
      <xdr:rowOff>95250</xdr:rowOff>
    </xdr:from>
    <xdr:to>
      <xdr:col>23</xdr:col>
      <xdr:colOff>542925</xdr:colOff>
      <xdr:row>53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238125</xdr:colOff>
      <xdr:row>39</xdr:row>
      <xdr:rowOff>95250</xdr:rowOff>
    </xdr:from>
    <xdr:to>
      <xdr:col>31</xdr:col>
      <xdr:colOff>542925</xdr:colOff>
      <xdr:row>53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238125</xdr:colOff>
      <xdr:row>39</xdr:row>
      <xdr:rowOff>95250</xdr:rowOff>
    </xdr:from>
    <xdr:to>
      <xdr:col>39</xdr:col>
      <xdr:colOff>542925</xdr:colOff>
      <xdr:row>53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238125</xdr:colOff>
      <xdr:row>39</xdr:row>
      <xdr:rowOff>95250</xdr:rowOff>
    </xdr:from>
    <xdr:to>
      <xdr:col>47</xdr:col>
      <xdr:colOff>542925</xdr:colOff>
      <xdr:row>53</xdr:row>
      <xdr:rowOff>171450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238125</xdr:colOff>
      <xdr:row>39</xdr:row>
      <xdr:rowOff>95250</xdr:rowOff>
    </xdr:from>
    <xdr:to>
      <xdr:col>55</xdr:col>
      <xdr:colOff>542925</xdr:colOff>
      <xdr:row>53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"/>
  <sheetViews>
    <sheetView tabSelected="1" workbookViewId="0"/>
  </sheetViews>
  <sheetFormatPr defaultRowHeight="15"/>
  <cols>
    <col min="3" max="3" width="30.7109375" customWidth="1"/>
  </cols>
  <sheetData>
    <row r="1" spans="1:9">
      <c r="A1" t="s">
        <v>7</v>
      </c>
      <c r="B1" t="s">
        <v>84</v>
      </c>
      <c r="C1" t="s">
        <v>9</v>
      </c>
      <c r="D1" t="s">
        <v>84</v>
      </c>
      <c r="E1" t="s">
        <v>10</v>
      </c>
      <c r="F1" t="s">
        <v>85</v>
      </c>
      <c r="H1">
        <f>1</f>
        <v>0</v>
      </c>
      <c r="I1" t="s">
        <v>86</v>
      </c>
    </row>
    <row r="2" spans="1:9">
      <c r="A2" t="s">
        <v>12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</row>
    <row r="3" spans="1:9">
      <c r="A3" t="s">
        <v>92</v>
      </c>
      <c r="B3" t="s">
        <v>93</v>
      </c>
      <c r="C3" t="s">
        <v>94</v>
      </c>
      <c r="D3" t="s">
        <v>95</v>
      </c>
      <c r="E3" t="s">
        <v>88</v>
      </c>
      <c r="F3" t="s">
        <v>6</v>
      </c>
      <c r="G3" t="s">
        <v>87</v>
      </c>
    </row>
    <row r="4" spans="1:9">
      <c r="A4" t="s">
        <v>96</v>
      </c>
      <c r="B4" t="s">
        <v>97</v>
      </c>
      <c r="C4" t="s">
        <v>97</v>
      </c>
      <c r="E4" t="s">
        <v>98</v>
      </c>
      <c r="F4" t="s">
        <v>98</v>
      </c>
      <c r="G4" t="s">
        <v>98</v>
      </c>
    </row>
    <row r="5" spans="1:9">
      <c r="A5">
        <f>IF($H$1=1,MATCH(MAX(E5:G5),E5:G5,0)-1,IF($H$1=2,MAX(E5:G5),IF($H$1=3,SUM(E5:G5),COUNTA(E5:G5))))</f>
        <v>0</v>
      </c>
      <c r="B5" t="s">
        <v>99</v>
      </c>
      <c r="C5" t="s">
        <v>99</v>
      </c>
      <c r="E5" t="s">
        <v>81</v>
      </c>
      <c r="F5" t="s">
        <v>82</v>
      </c>
      <c r="G5" t="s">
        <v>83</v>
      </c>
    </row>
    <row r="6" spans="1:9">
      <c r="A6">
        <f>IF($H$1=1,MATCH(MAX(E6:G6),E6:G6,0)-1,IF($H$1=2,MAX(E6:G6),IF($H$1=3,SUM(E6:G6),COUNTA(E6:G6))))</f>
        <v>0</v>
      </c>
      <c r="B6" t="s">
        <v>100</v>
      </c>
      <c r="C6" t="s">
        <v>101</v>
      </c>
      <c r="D6">
        <f>48.000000</f>
        <v>0</v>
      </c>
      <c r="E6">
        <f>48</f>
        <v>0</v>
      </c>
      <c r="F6">
        <f>48</f>
        <v>0</v>
      </c>
      <c r="G6">
        <f>48</f>
        <v>0</v>
      </c>
    </row>
    <row r="7" spans="1:9">
      <c r="A7">
        <f>IF($H$1=1,MATCH(MAX(E7:G7),E7:G7,0)-1,IF($H$1=2,MAX(E7:G7),IF($H$1=3,SUM(E7:G7),COUNTA(E7:G7))))</f>
        <v>0</v>
      </c>
      <c r="B7" t="s">
        <v>102</v>
      </c>
      <c r="C7" t="s">
        <v>103</v>
      </c>
      <c r="D7">
        <f>2.000000</f>
        <v>0</v>
      </c>
      <c r="E7">
        <f>2</f>
        <v>0</v>
      </c>
      <c r="F7">
        <f>2</f>
        <v>0</v>
      </c>
      <c r="G7">
        <f>2</f>
        <v>0</v>
      </c>
    </row>
    <row r="8" spans="1:9">
      <c r="A8">
        <f>IF($H$1=1,MATCH(MAX(E8:G8),E8:G8,0)-1,IF($H$1=2,MAX(E8:G8),IF($H$1=3,SUM(E8:G8),COUNTA(E8:G8))))</f>
        <v>0</v>
      </c>
      <c r="B8" t="s">
        <v>104</v>
      </c>
      <c r="C8" t="s">
        <v>104</v>
      </c>
      <c r="D8">
        <f>2.000000</f>
        <v>0</v>
      </c>
      <c r="E8">
        <f>2</f>
        <v>0</v>
      </c>
      <c r="F8">
        <f>2</f>
        <v>0</v>
      </c>
      <c r="G8">
        <f>2</f>
        <v>0</v>
      </c>
    </row>
    <row r="9" spans="1:9">
      <c r="A9">
        <f>IF($H$1=1,MATCH(MAX(E9:G9),E9:G9,0)-1,IF($H$1=2,MAX(E9:G9),IF($H$1=3,SUM(E9:G9),COUNTA(E9:G9))))</f>
        <v>0</v>
      </c>
      <c r="B9" t="s">
        <v>105</v>
      </c>
      <c r="C9" t="s">
        <v>105</v>
      </c>
      <c r="E9" t="s">
        <v>106</v>
      </c>
      <c r="F9" t="s">
        <v>106</v>
      </c>
      <c r="G9" t="s">
        <v>106</v>
      </c>
    </row>
    <row r="10" spans="1:9">
      <c r="A10">
        <f>IF($H$1=1,MATCH(MAX(E10:G10),E10:G10,0)-1,IF($H$1=2,MAX(E10:G10),IF($H$1=3,SUM(E10:G10),COUNTA(E10:G10))))</f>
        <v>0</v>
      </c>
      <c r="B10" t="s">
        <v>107</v>
      </c>
      <c r="C10" t="s">
        <v>108</v>
      </c>
      <c r="E10" t="s">
        <v>109</v>
      </c>
      <c r="F10" t="s">
        <v>109</v>
      </c>
    </row>
    <row r="11" spans="1:9">
      <c r="A11">
        <f>IF($H$1=1,MATCH(MAX(E11:G11),E11:G11,0)-1,IF($H$1=2,MAX(E11:G11),IF($H$1=3,SUM(E11:G11),COUNTA(E11:G11))))</f>
        <v>0</v>
      </c>
      <c r="B11" t="s">
        <v>107</v>
      </c>
      <c r="C11" t="s">
        <v>110</v>
      </c>
      <c r="E11" t="s">
        <v>111</v>
      </c>
      <c r="F11" t="s">
        <v>112</v>
      </c>
    </row>
    <row r="12" spans="1:9">
      <c r="A12">
        <f>IF($H$1=1,MATCH(MAX(E12:G12),E12:G12,0)-1,IF($H$1=2,MAX(E12:G12),IF($H$1=3,SUM(E12:G12),COUNTA(E12:G12))))</f>
        <v>0</v>
      </c>
      <c r="B12" t="s">
        <v>107</v>
      </c>
      <c r="C12" t="s">
        <v>113</v>
      </c>
      <c r="E12" t="s">
        <v>114</v>
      </c>
      <c r="F12" t="s">
        <v>115</v>
      </c>
    </row>
    <row r="13" spans="1:9">
      <c r="A13">
        <f>IF($H$1=1,MATCH(MAX(E13:G13),E13:G13,0)-1,IF($H$1=2,MAX(E13:G13),IF($H$1=3,SUM(E13:G13),COUNTA(E13:G13))))</f>
        <v>0</v>
      </c>
      <c r="B13" t="s">
        <v>116</v>
      </c>
      <c r="C13" t="s">
        <v>117</v>
      </c>
      <c r="D13">
        <f>44.437114</f>
        <v>0</v>
      </c>
      <c r="E13">
        <f>133.222977</f>
        <v>0</v>
      </c>
      <c r="F13">
        <f>0.059043</f>
        <v>0</v>
      </c>
      <c r="G13">
        <f>0.029321</f>
        <v>0</v>
      </c>
    </row>
    <row r="14" spans="1:9">
      <c r="A14">
        <f>IF($H$1=1,MATCH(MAX(E14:G14),E14:G14,0)-1,IF($H$1=2,MAX(E14:G14),IF($H$1=3,SUM(E14:G14),COUNTA(E14:G14))))</f>
        <v>0</v>
      </c>
      <c r="B14" t="s">
        <v>116</v>
      </c>
      <c r="C14" t="s">
        <v>43</v>
      </c>
      <c r="D14">
        <f>5.664064</f>
        <v>0</v>
      </c>
      <c r="E14">
        <f>16.992086</f>
        <v>0</v>
      </c>
      <c r="F14">
        <f>0.000059</f>
        <v>0</v>
      </c>
      <c r="G14">
        <f>0.000046</f>
        <v>0</v>
      </c>
    </row>
    <row r="15" spans="1:9">
      <c r="A15">
        <f>IF($H$1=1,MATCH(MAX(E15:G15),E15:G15,0)-1,IF($H$1=2,MAX(E15:G15),IF($H$1=3,SUM(E15:G15),COUNTA(E15:G15))))</f>
        <v>0</v>
      </c>
      <c r="B15" t="s">
        <v>116</v>
      </c>
      <c r="C15" t="s">
        <v>39</v>
      </c>
      <c r="D15">
        <f>98.050038</f>
        <v>0</v>
      </c>
      <c r="E15">
        <f>97.040402</f>
        <v>0</v>
      </c>
      <c r="F15">
        <f>98.705279</f>
        <v>0</v>
      </c>
      <c r="G15">
        <f>98.404432</f>
        <v>0</v>
      </c>
    </row>
    <row r="16" spans="1:9">
      <c r="A16">
        <f>IF($H$1=1,MATCH(MAX(E16:G16),E16:G16,0)-1,IF($H$1=2,MAX(E16:G16),IF($H$1=3,SUM(E16:G16),COUNTA(E16:G16))))</f>
        <v>0</v>
      </c>
      <c r="B16" t="s">
        <v>116</v>
      </c>
      <c r="C16" t="s">
        <v>118</v>
      </c>
      <c r="D16">
        <f>2.699756</f>
        <v>0</v>
      </c>
      <c r="E16">
        <f>2.699324</f>
        <v>0</v>
      </c>
      <c r="F16">
        <f>2.699958</f>
        <v>0</v>
      </c>
      <c r="G16">
        <f>2.699987</f>
        <v>0</v>
      </c>
    </row>
    <row r="17" spans="1:7">
      <c r="A17">
        <f>IF($H$1=1,MATCH(MAX(E17:G17),E17:G17,0)-1,IF($H$1=2,MAX(E17:G17),IF($H$1=3,SUM(E17:G17),COUNTA(E17:G17))))</f>
        <v>0</v>
      </c>
      <c r="B17" t="s">
        <v>116</v>
      </c>
      <c r="C17" t="s">
        <v>119</v>
      </c>
      <c r="D17">
        <f>0.051536</f>
        <v>0</v>
      </c>
      <c r="E17">
        <f>0.128328</f>
        <v>0</v>
      </c>
      <c r="F17">
        <f>0.019268</f>
        <v>0</v>
      </c>
      <c r="G17">
        <f>0.007013</f>
        <v>0</v>
      </c>
    </row>
    <row r="18" spans="1:7">
      <c r="A18">
        <f>IF($H$1=1,MATCH(MAX(E18:G18),E18:G18,0)-1,IF($H$1=2,MAX(E18:G18),IF($H$1=3,SUM(E18:G18),COUNTA(E18:G18))))</f>
        <v>0</v>
      </c>
      <c r="B18" t="s">
        <v>116</v>
      </c>
      <c r="C18" t="s">
        <v>120</v>
      </c>
      <c r="D18">
        <f>148.522549</f>
        <v>0</v>
      </c>
      <c r="E18">
        <f>147.418857</f>
        <v>0</v>
      </c>
      <c r="F18">
        <f>165.394003</f>
        <v>0</v>
      </c>
      <c r="G18">
        <f>132.754786</f>
        <v>0</v>
      </c>
    </row>
    <row r="19" spans="1:7">
      <c r="A19">
        <f>IF($H$1=1,MATCH(MAX(E19:G19),E19:G19,0)-1,IF($H$1=2,MAX(E19:G19),IF($H$1=3,SUM(E19:G19),COUNTA(E19:G19))))</f>
        <v>0</v>
      </c>
      <c r="B19" t="s">
        <v>116</v>
      </c>
      <c r="C19" t="s">
        <v>121</v>
      </c>
      <c r="D19">
        <f>98.050038</f>
        <v>0</v>
      </c>
      <c r="E19">
        <f>97.040402</f>
        <v>0</v>
      </c>
      <c r="F19">
        <f>98.705279</f>
        <v>0</v>
      </c>
      <c r="G19">
        <f>98.404432</f>
        <v>0</v>
      </c>
    </row>
    <row r="20" spans="1:7">
      <c r="A20">
        <f>IF($H$1=1,MATCH(MAX(E20:G20),E20:G20,0)-1,IF($H$1=2,MAX(E20:G20),IF($H$1=3,SUM(E20:G20),COUNTA(E20:G20))))</f>
        <v>0</v>
      </c>
      <c r="B20" t="s">
        <v>116</v>
      </c>
      <c r="C20" t="s">
        <v>40</v>
      </c>
      <c r="D20">
        <f>99.593966</f>
        <v>0</v>
      </c>
      <c r="E20">
        <f>99.030807</f>
        <v>0</v>
      </c>
      <c r="F20">
        <f>99.901367</f>
        <v>0</v>
      </c>
      <c r="G20">
        <f>99.849725</f>
        <v>0</v>
      </c>
    </row>
    <row r="21" spans="1:7">
      <c r="A21">
        <f>IF($H$1=1,MATCH(MAX(E21:G21),E21:G21,0)-1,IF($H$1=2,MAX(E21:G21),IF($H$1=3,SUM(E21:G21),COUNTA(E21:G21))))</f>
        <v>0</v>
      </c>
      <c r="B21" t="s">
        <v>116</v>
      </c>
      <c r="C21" t="s">
        <v>41</v>
      </c>
      <c r="D21">
        <f>2.384398</f>
        <v>0</v>
      </c>
      <c r="E21">
        <f>2.397944</f>
        <v>0</v>
      </c>
      <c r="F21">
        <f>2.355033</f>
        <v>0</v>
      </c>
      <c r="G21">
        <f>2.400216</f>
        <v>0</v>
      </c>
    </row>
    <row r="22" spans="1:7">
      <c r="A22">
        <f>IF($H$1=1,MATCH(MAX(E22:G22),E22:G22,0)-1,IF($H$1=2,MAX(E22:G22),IF($H$1=3,SUM(E22:G22),COUNTA(E22:G22))))</f>
        <v>0</v>
      </c>
      <c r="B22" t="s">
        <v>116</v>
      </c>
      <c r="C22" t="s">
        <v>122</v>
      </c>
      <c r="D22">
        <f>2.699756</f>
        <v>0</v>
      </c>
      <c r="E22">
        <f>2.699324</f>
        <v>0</v>
      </c>
      <c r="F22">
        <f>2.699958</f>
        <v>0</v>
      </c>
      <c r="G22">
        <f>2.699987</f>
        <v>0</v>
      </c>
    </row>
    <row r="23" spans="1:7">
      <c r="A23">
        <f>IF($H$1=1,MATCH(MAX(E23:G23),E23:G23,0)-1,IF($H$1=2,MAX(E23:G23),IF($H$1=3,SUM(E23:G23),COUNTA(E23:G23))))</f>
        <v>0</v>
      </c>
      <c r="B23" t="s">
        <v>116</v>
      </c>
      <c r="C23" t="s">
        <v>44</v>
      </c>
      <c r="D23">
        <f>3.785348</f>
        <v>0</v>
      </c>
      <c r="E23">
        <f>11.354968</f>
        <v>0</v>
      </c>
      <c r="F23">
        <f>0.000710</f>
        <v>0</v>
      </c>
      <c r="G23">
        <f>0.000365</f>
        <v>0</v>
      </c>
    </row>
    <row r="24" spans="1:7">
      <c r="A24">
        <f>IF($H$1=1,MATCH(MAX(E24:G24),E24:G24,0)-1,IF($H$1=2,MAX(E24:G24),IF($H$1=3,SUM(E24:G24),COUNTA(E24:G24))))</f>
        <v>0</v>
      </c>
      <c r="B24" t="s">
        <v>116</v>
      </c>
      <c r="C24" t="s">
        <v>45</v>
      </c>
      <c r="D24">
        <f>403.171449</f>
        <v>0</v>
      </c>
      <c r="E24">
        <f>438.446051</f>
        <v>0</v>
      </c>
      <c r="F24">
        <f>394.141597</f>
        <v>0</v>
      </c>
      <c r="G24">
        <f>376.926698</f>
        <v>0</v>
      </c>
    </row>
    <row r="25" spans="1:7">
      <c r="A25">
        <f>IF($H$1=1,MATCH(MAX(E25:G25),E25:G25,0)-1,IF($H$1=2,MAX(E25:G25),IF($H$1=3,SUM(E25:G25),COUNTA(E25:G25))))</f>
        <v>0</v>
      </c>
      <c r="B25" t="s">
        <v>116</v>
      </c>
      <c r="C25" t="s">
        <v>46</v>
      </c>
      <c r="D25">
        <f>169.101409</f>
        <v>0</v>
      </c>
      <c r="E25">
        <f>182.842698</f>
        <v>0</v>
      </c>
      <c r="F25">
        <f>167.423080</f>
        <v>0</v>
      </c>
      <c r="G25">
        <f>157.038448</f>
        <v>0</v>
      </c>
    </row>
    <row r="26" spans="1:7">
      <c r="A26">
        <f>IF($H$1=1,MATCH(MAX(E26:G26),E26:G26,0)-1,IF($H$1=2,MAX(E26:G26),IF($H$1=3,SUM(E26:G26),COUNTA(E26:G26))))</f>
        <v>0</v>
      </c>
      <c r="B26" t="s">
        <v>116</v>
      </c>
      <c r="C26" t="s">
        <v>47</v>
      </c>
      <c r="D26">
        <f>43.782426</f>
        <v>0</v>
      </c>
      <c r="E26">
        <f>99.960018</f>
        <v>0</v>
      </c>
      <c r="F26">
        <f>16.683540</f>
        <v>0</v>
      </c>
      <c r="G26">
        <f>14.703721</f>
        <v>0</v>
      </c>
    </row>
    <row r="27" spans="1:7">
      <c r="A27">
        <f>IF($H$1=1,MATCH(MAX(E27:G27),E27:G27,0)-1,IF($H$1=2,MAX(E27:G27),IF($H$1=3,SUM(E27:G27),COUNTA(E27:G27))))</f>
        <v>0</v>
      </c>
      <c r="B27" t="s">
        <v>116</v>
      </c>
      <c r="C27" t="s">
        <v>123</v>
      </c>
      <c r="D27">
        <f>44437.113915</f>
        <v>0</v>
      </c>
      <c r="E27">
        <f>133222.977280</f>
        <v>0</v>
      </c>
      <c r="F27">
        <f>59.043114</f>
        <v>0</v>
      </c>
      <c r="G27">
        <f>29.321350</f>
        <v>0</v>
      </c>
    </row>
    <row r="28" spans="1:7">
      <c r="A28">
        <f>IF($H$1=1,MATCH(MAX(E28:G28),E28:G28,0)-1,IF($H$1=2,MAX(E28:G28),IF($H$1=3,SUM(E28:G28),COUNTA(E28:G28))))</f>
        <v>0</v>
      </c>
      <c r="B28" t="s">
        <v>116</v>
      </c>
      <c r="C28" t="s">
        <v>49</v>
      </c>
      <c r="D28">
        <f>0.855282</f>
        <v>0</v>
      </c>
      <c r="E28">
        <f>0.082993</f>
        <v>0</v>
      </c>
      <c r="F28">
        <f>1.483424</f>
        <v>0</v>
      </c>
      <c r="G28">
        <f>0.999429</f>
        <v>0</v>
      </c>
    </row>
    <row r="29" spans="1:7">
      <c r="A29">
        <f>IF($H$1=1,MATCH(MAX(E29:G29),E29:G29,0)-1,IF($H$1=2,MAX(E29:G29),IF($H$1=3,SUM(E29:G29),COUNTA(E29:G29))))</f>
        <v>0</v>
      </c>
      <c r="B29" t="s">
        <v>116</v>
      </c>
      <c r="C29" t="s">
        <v>124</v>
      </c>
      <c r="D29">
        <f>0.855282</f>
        <v>0</v>
      </c>
      <c r="E29">
        <f>0.082993</f>
        <v>0</v>
      </c>
      <c r="F29">
        <f>1.483424</f>
        <v>0</v>
      </c>
      <c r="G29">
        <f>0.999429</f>
        <v>0</v>
      </c>
    </row>
    <row r="30" spans="1:7">
      <c r="A30">
        <f>IF($H$1=1,MATCH(MAX(E30:G30),E30:G30,0)-1,IF($H$1=2,MAX(E30:G30),IF($H$1=3,SUM(E30:G30),COUNTA(E30:G30))))</f>
        <v>0</v>
      </c>
      <c r="B30" t="s">
        <v>116</v>
      </c>
      <c r="C30" t="s">
        <v>50</v>
      </c>
      <c r="D30">
        <f>4.575562</f>
        <v>0</v>
      </c>
      <c r="E30">
        <f>12.051993</f>
        <v>0</v>
      </c>
      <c r="F30">
        <f>0.674121</f>
        <v>0</v>
      </c>
      <c r="G30">
        <f>1.000572</f>
        <v>0</v>
      </c>
    </row>
    <row r="31" spans="1:7">
      <c r="A31">
        <f>IF($H$1=1,MATCH(MAX(E31:G31),E31:G31,0)-1,IF($H$1=2,MAX(E31:G31),IF($H$1=3,SUM(E31:G31),COUNTA(E31:G31))))</f>
        <v>0</v>
      </c>
      <c r="B31" t="s">
        <v>116</v>
      </c>
      <c r="C31" t="s">
        <v>125</v>
      </c>
      <c r="D31">
        <f>4.575562</f>
        <v>0</v>
      </c>
      <c r="E31">
        <f>12.051993</f>
        <v>0</v>
      </c>
      <c r="F31">
        <f>0.674121</f>
        <v>0</v>
      </c>
      <c r="G31">
        <f>1.000572</f>
        <v>0</v>
      </c>
    </row>
    <row r="32" spans="1:7">
      <c r="A32">
        <f>IF($H$1=1,MATCH(MAX(E32:G32),E32:G32,0)-1,IF($H$1=2,MAX(E32:G32),IF($H$1=3,SUM(E32:G32),COUNTA(E32:G32))))</f>
        <v>0</v>
      </c>
      <c r="B32" t="s">
        <v>116</v>
      </c>
      <c r="C32" t="s">
        <v>126</v>
      </c>
      <c r="D32">
        <f>51.536574</f>
        <v>0</v>
      </c>
      <c r="E32">
        <f>128.328354</f>
        <v>0</v>
      </c>
      <c r="F32">
        <f>19.268260</f>
        <v>0</v>
      </c>
      <c r="G32">
        <f>7.013108</f>
        <v>0</v>
      </c>
    </row>
    <row r="33" spans="1:7">
      <c r="A33">
        <f>IF($H$1=1,MATCH(MAX(E33:G33),E33:G33,0)-1,IF($H$1=2,MAX(E33:G33),IF($H$1=3,SUM(E33:G33),COUNTA(E33:G33))))</f>
        <v>0</v>
      </c>
      <c r="B33" t="s">
        <v>116</v>
      </c>
      <c r="C33" t="s">
        <v>127</v>
      </c>
      <c r="D33">
        <f>148.522549</f>
        <v>0</v>
      </c>
      <c r="E33">
        <f>147.418857</f>
        <v>0</v>
      </c>
      <c r="F33">
        <f>165.394003</f>
        <v>0</v>
      </c>
      <c r="G33">
        <f>132.754786</f>
        <v>0</v>
      </c>
    </row>
    <row r="34" spans="1:7">
      <c r="A34">
        <f>IF($H$1=1,MATCH(MAX(E34:G34),E34:G34,0)-1,IF($H$1=2,MAX(E34:G34),IF($H$1=3,SUM(E34:G34),COUNTA(E34:G34))))</f>
        <v>0</v>
      </c>
      <c r="B34" t="s">
        <v>116</v>
      </c>
      <c r="C34" t="s">
        <v>53</v>
      </c>
      <c r="D34">
        <f>109.214285</f>
        <v>0</v>
      </c>
      <c r="E34">
        <f>10.428010</f>
        <v>0</v>
      </c>
      <c r="F34">
        <f>189.755025</f>
        <v>0</v>
      </c>
      <c r="G34">
        <f>127.459819</f>
        <v>0</v>
      </c>
    </row>
    <row r="35" spans="1:7">
      <c r="A35">
        <f>IF($H$1=1,MATCH(MAX(E35:G35),E35:G35,0)-1,IF($H$1=2,MAX(E35:G35),IF($H$1=3,SUM(E35:G35),COUNTA(E35:G35))))</f>
        <v>0</v>
      </c>
      <c r="B35" t="s">
        <v>116</v>
      </c>
      <c r="C35" t="s">
        <v>54</v>
      </c>
      <c r="D35">
        <f>127.063351</f>
        <v>0</v>
      </c>
      <c r="E35">
        <f>125.738250</f>
        <v>0</v>
      </c>
      <c r="F35">
        <f>127.920234</f>
        <v>0</v>
      </c>
      <c r="G35">
        <f>127.531568</f>
        <v>0</v>
      </c>
    </row>
    <row r="36" spans="1:7">
      <c r="A36">
        <f>IF($H$1=1,MATCH(MAX(E36:G36),E36:G36,0)-1,IF($H$1=2,MAX(E36:G36),IF($H$1=3,SUM(E36:G36),COUNTA(E36:G36))))</f>
        <v>0</v>
      </c>
      <c r="B36" t="s">
        <v>116</v>
      </c>
      <c r="C36" t="s">
        <v>55</v>
      </c>
      <c r="D36">
        <f>1.709301</f>
        <v>0</v>
      </c>
      <c r="E36">
        <f>0.165166</f>
        <v>0</v>
      </c>
      <c r="F36">
        <f>2.965380</f>
        <v>0</v>
      </c>
      <c r="G36">
        <f>1.997357</f>
        <v>0</v>
      </c>
    </row>
    <row r="37" spans="1:7">
      <c r="A37">
        <f>IF($H$1=1,MATCH(MAX(E37:G37),E37:G37,0)-1,IF($H$1=2,MAX(E37:G37),IF($H$1=3,SUM(E37:G37),COUNTA(E37:G37))))</f>
        <v>0</v>
      </c>
      <c r="B37" t="s">
        <v>116</v>
      </c>
      <c r="C37" t="s">
        <v>128</v>
      </c>
      <c r="D37">
        <f>1.709301</f>
        <v>0</v>
      </c>
      <c r="E37">
        <f>0.165166</f>
        <v>0</v>
      </c>
      <c r="F37">
        <f>2.965380</f>
        <v>0</v>
      </c>
      <c r="G37">
        <f>1.997357</f>
        <v>0</v>
      </c>
    </row>
    <row r="38" spans="1:7">
      <c r="A38">
        <f>IF($H$1=1,MATCH(MAX(E38:G38),E38:G38,0)-1,IF($H$1=2,MAX(E38:G38),IF($H$1=3,SUM(E38:G38),COUNTA(E38:G38))))</f>
        <v>0</v>
      </c>
      <c r="B38" t="s">
        <v>116</v>
      </c>
      <c r="C38" t="s">
        <v>56</v>
      </c>
      <c r="D38">
        <f>39.721370</f>
        <v>0</v>
      </c>
      <c r="E38">
        <f>3.366061</f>
        <v>0</v>
      </c>
      <c r="F38">
        <f>65.898730</f>
        <v>0</v>
      </c>
      <c r="G38">
        <f>49.899320</f>
        <v>0</v>
      </c>
    </row>
    <row r="39" spans="1:7">
      <c r="A39">
        <f>IF($H$1=1,MATCH(MAX(E39:G39),E39:G39,0)-1,IF($H$1=2,MAX(E39:G39),IF($H$1=3,SUM(E39:G39),COUNTA(E39:G39))))</f>
        <v>0</v>
      </c>
      <c r="B39" t="s">
        <v>116</v>
      </c>
      <c r="C39" t="s">
        <v>57</v>
      </c>
      <c r="D39">
        <f>13.620220</f>
        <v>0</v>
      </c>
      <c r="E39">
        <f>1.329128</f>
        <v>0</v>
      </c>
      <c r="F39">
        <f>11.171161</f>
        <v>0</v>
      </c>
      <c r="G39">
        <f>28.360372</f>
        <v>0</v>
      </c>
    </row>
    <row r="40" spans="1:7">
      <c r="A40">
        <f>IF($H$1=1,MATCH(MAX(E40:G40),E40:G40,0)-1,IF($H$1=2,MAX(E40:G40),IF($H$1=3,SUM(E40:G40),COUNTA(E40:G40))))</f>
        <v>0</v>
      </c>
      <c r="B40" t="s">
        <v>116</v>
      </c>
      <c r="C40" t="s">
        <v>58</v>
      </c>
      <c r="D40">
        <f>46.658409</f>
        <v>0</v>
      </c>
      <c r="E40">
        <f>95.304809</f>
        <v>0</v>
      </c>
      <c r="F40">
        <f>22.930082</f>
        <v>0</v>
      </c>
      <c r="G40">
        <f>21.740336</f>
        <v>0</v>
      </c>
    </row>
    <row r="41" spans="1:7">
      <c r="A41">
        <f>IF($H$1=1,MATCH(MAX(E41:G41),E41:G41,0)-1,IF($H$1=2,MAX(E41:G41),IF($H$1=3,SUM(E41:G41),COUNTA(E41:G41))))</f>
        <v>0</v>
      </c>
      <c r="B41" t="s">
        <v>116</v>
      </c>
      <c r="C41" t="s">
        <v>17</v>
      </c>
      <c r="D41">
        <f>44365.595454</f>
        <v>0</v>
      </c>
      <c r="E41">
        <f>44896.090909</f>
        <v>0</v>
      </c>
      <c r="F41">
        <f>44085.864545</f>
        <v>0</v>
      </c>
      <c r="G41">
        <f>44114.830909</f>
        <v>0</v>
      </c>
    </row>
    <row r="42" spans="1:7">
      <c r="A42">
        <f>IF($H$1=1,MATCH(MAX(E42:G42),E42:G42,0)-1,IF($H$1=2,MAX(E42:G42),IF($H$1=3,SUM(E42:G42),COUNTA(E42:G42))))</f>
        <v>0</v>
      </c>
      <c r="B42" t="s">
        <v>116</v>
      </c>
      <c r="C42" t="s">
        <v>18</v>
      </c>
      <c r="D42">
        <f>100689841235.939392</f>
        <v>0</v>
      </c>
      <c r="E42">
        <f>9801116546.181818</f>
        <v>0</v>
      </c>
      <c r="F42">
        <f>174446915080.727264</f>
        <v>0</v>
      </c>
      <c r="G42">
        <f>117821492080.909088</f>
        <v>0</v>
      </c>
    </row>
    <row r="43" spans="1:7">
      <c r="A43">
        <f>IF($H$1=1,MATCH(MAX(E43:G43),E43:G43,0)-1,IF($H$1=2,MAX(E43:G43),IF($H$1=3,SUM(E43:G43),COUNTA(E43:G43))))</f>
        <v>0</v>
      </c>
      <c r="B43" t="s">
        <v>116</v>
      </c>
      <c r="C43" t="s">
        <v>19</v>
      </c>
      <c r="D43">
        <f>118038576384.363632</f>
        <v>0</v>
      </c>
      <c r="E43">
        <f>118566417890.818176</f>
        <v>0</v>
      </c>
      <c r="F43">
        <f>117672231646.454544</f>
        <v>0</v>
      </c>
      <c r="G43">
        <f>117877079615.818176</f>
        <v>0</v>
      </c>
    </row>
    <row r="44" spans="1:7">
      <c r="A44">
        <f>IF($H$1=1,MATCH(MAX(E44:G44),E44:G44,0)-1,IF($H$1=2,MAX(E44:G44),IF($H$1=3,SUM(E44:G44),COUNTA(E44:G44))))</f>
        <v>0</v>
      </c>
      <c r="B44" t="s">
        <v>116</v>
      </c>
      <c r="C44" t="s">
        <v>20</v>
      </c>
      <c r="D44">
        <f>96186935950.818176</f>
        <v>0</v>
      </c>
      <c r="E44">
        <f>96629995180.545456</f>
        <v>0</v>
      </c>
      <c r="F44">
        <f>95882592226.272720</f>
        <v>0</v>
      </c>
      <c r="G44">
        <f>96048220445.636368</f>
        <v>0</v>
      </c>
    </row>
    <row r="45" spans="1:7">
      <c r="A45">
        <f>IF($H$1=1,MATCH(MAX(E45:G45),E45:G45,0)-1,IF($H$1=2,MAX(E45:G45),IF($H$1=3,SUM(E45:G45),COUNTA(E45:G45))))</f>
        <v>0</v>
      </c>
      <c r="B45" t="s">
        <v>116</v>
      </c>
      <c r="C45" t="s">
        <v>21</v>
      </c>
      <c r="D45">
        <f>32114780941.242428</f>
        <v>0</v>
      </c>
      <c r="E45">
        <f>3132522480.272727</f>
        <v>0</v>
      </c>
      <c r="F45">
        <f>26283031733.181820</f>
        <v>0</v>
      </c>
      <c r="G45">
        <f>66928788610.272728</f>
        <v>0</v>
      </c>
    </row>
    <row r="46" spans="1:7">
      <c r="A46">
        <f>IF($H$1=1,MATCH(MAX(E46:G46),E46:G46,0)-1,IF($H$1=2,MAX(E46:G46),IF($H$1=3,SUM(E46:G46),COUNTA(E46:G46))))</f>
        <v>0</v>
      </c>
      <c r="B46" t="s">
        <v>116</v>
      </c>
      <c r="C46" t="s">
        <v>22</v>
      </c>
      <c r="D46">
        <f>93593989055.030289</f>
        <v>0</v>
      </c>
      <c r="E46">
        <f>7980848583.818182</f>
        <v>0</v>
      </c>
      <c r="F46">
        <f>155063726359.909088</f>
        <v>0</v>
      </c>
      <c r="G46">
        <f>117737392221.363632</f>
        <v>0</v>
      </c>
    </row>
    <row r="47" spans="1:7">
      <c r="A47">
        <f>IF($H$1=1,MATCH(MAX(E47:G47),E47:G47,0)-1,IF($H$1=2,MAX(E47:G47),IF($H$1=3,SUM(E47:G47),COUNTA(E47:G47))))</f>
        <v>0</v>
      </c>
      <c r="B47" t="s">
        <v>116</v>
      </c>
      <c r="C47" t="s">
        <v>23</v>
      </c>
      <c r="D47">
        <f>118197269168.515152</f>
        <v>0</v>
      </c>
      <c r="E47">
        <f>118971782968.545456</f>
        <v>0</v>
      </c>
      <c r="F47">
        <f>117712106385.000000</f>
        <v>0</v>
      </c>
      <c r="G47">
        <f>117907918152.000000</f>
        <v>0</v>
      </c>
    </row>
    <row r="48" spans="1:7">
      <c r="A48">
        <f>IF($H$1=1,MATCH(MAX(E48:G48),E48:G48,0)-1,IF($H$1=2,MAX(E48:G48),IF($H$1=3,SUM(E48:G48),COUNTA(E48:G48))))</f>
        <v>0</v>
      </c>
      <c r="B48" t="s">
        <v>116</v>
      </c>
      <c r="C48" t="s">
        <v>24</v>
      </c>
      <c r="D48">
        <f>137.503333</f>
        <v>0</v>
      </c>
      <c r="E48">
        <f>138.333636</f>
        <v>0</v>
      </c>
      <c r="F48">
        <f>151.982727</f>
        <v>0</v>
      </c>
      <c r="G48">
        <f>122.193636</f>
        <v>0</v>
      </c>
    </row>
    <row r="49" spans="1:7">
      <c r="A49">
        <f>IF($H$1=1,MATCH(MAX(E49:G49),E49:G49,0)-1,IF($H$1=2,MAX(E49:G49),IF($H$1=3,SUM(E49:G49),COUNTA(E49:G49))))</f>
        <v>0</v>
      </c>
      <c r="B49" t="s">
        <v>116</v>
      </c>
      <c r="C49" t="s">
        <v>25</v>
      </c>
      <c r="D49">
        <f>41598981590.424248</f>
        <v>0</v>
      </c>
      <c r="E49">
        <f>124785995400.181824</f>
        <v>0</v>
      </c>
      <c r="F49">
        <f>6835557.727273</f>
        <v>0</v>
      </c>
      <c r="G49">
        <f>4113813.363636</f>
        <v>0</v>
      </c>
    </row>
    <row r="50" spans="1:7">
      <c r="A50">
        <f>IF($H$1=1,MATCH(MAX(E50:G50),E50:G50,0)-1,IF($H$1=2,MAX(E50:G50),IF($H$1=3,SUM(E50:G50),COUNTA(E50:G50))))</f>
        <v>0</v>
      </c>
      <c r="B50" t="s">
        <v>116</v>
      </c>
      <c r="C50" t="s">
        <v>26</v>
      </c>
      <c r="D50">
        <f>192385231.636364</f>
        <v>0</v>
      </c>
      <c r="E50">
        <f>577121733.363636</f>
        <v>0</v>
      </c>
      <c r="F50">
        <f>21413.636364</f>
        <v>0</v>
      </c>
      <c r="G50">
        <f>12547.909091</f>
        <v>0</v>
      </c>
    </row>
    <row r="51" spans="1:7">
      <c r="A51">
        <f>IF($H$1=1,MATCH(MAX(E51:G51),E51:G51,0)-1,IF($H$1=2,MAX(E51:G51),IF($H$1=3,SUM(E51:G51),COUNTA(E51:G51))))</f>
        <v>0</v>
      </c>
      <c r="B51" t="s">
        <v>116</v>
      </c>
      <c r="C51" t="s">
        <v>27</v>
      </c>
      <c r="D51">
        <f>163289120.666667</f>
        <v>0</v>
      </c>
      <c r="E51">
        <f>489622532.454545</f>
        <v>0</v>
      </c>
      <c r="F51">
        <f>167495.818182</f>
        <v>0</v>
      </c>
      <c r="G51">
        <f>77333.727273</f>
        <v>0</v>
      </c>
    </row>
    <row r="52" spans="1:7">
      <c r="A52">
        <f>IF($H$1=1,MATCH(MAX(E52:G52),E52:G52,0)-1,IF($H$1=2,MAX(E52:G52),IF($H$1=3,SUM(E52:G52),COUNTA(E52:G52))))</f>
        <v>0</v>
      </c>
      <c r="B52" t="s">
        <v>116</v>
      </c>
      <c r="C52" t="s">
        <v>28</v>
      </c>
      <c r="D52">
        <f>163224961.000000</f>
        <v>0</v>
      </c>
      <c r="E52">
        <f>489396462.454545</f>
        <v>0</v>
      </c>
      <c r="F52">
        <f>196211.818182</f>
        <v>0</v>
      </c>
      <c r="G52">
        <f>82208.727273</f>
        <v>0</v>
      </c>
    </row>
    <row r="53" spans="1:7">
      <c r="A53">
        <f>IF($H$1=1,MATCH(MAX(E53:G53),E53:G53,0)-1,IF($H$1=2,MAX(E53:G53),IF($H$1=3,SUM(E53:G53),COUNTA(E53:G53))))</f>
        <v>0</v>
      </c>
      <c r="B53" t="s">
        <v>116</v>
      </c>
      <c r="C53" t="s">
        <v>30</v>
      </c>
      <c r="D53">
        <f>163180066.454545</f>
        <v>0</v>
      </c>
      <c r="E53">
        <f>489313166.454545</f>
        <v>0</v>
      </c>
      <c r="F53">
        <f>151072.636364</f>
        <v>0</v>
      </c>
      <c r="G53">
        <f>75960.272727</f>
        <v>0</v>
      </c>
    </row>
    <row r="54" spans="1:7">
      <c r="A54">
        <f>IF($H$1=1,MATCH(MAX(E54:G54),E54:G54,0)-1,IF($H$1=2,MAX(E54:G54),IF($H$1=3,SUM(E54:G54),COUNTA(E54:G54))))</f>
        <v>0</v>
      </c>
      <c r="B54" t="s">
        <v>116</v>
      </c>
      <c r="C54" t="s">
        <v>31</v>
      </c>
      <c r="D54">
        <f>163218882.909091</f>
        <v>0</v>
      </c>
      <c r="E54">
        <f>489405849.818182</f>
        <v>0</v>
      </c>
      <c r="F54">
        <f>181699.818182</f>
        <v>0</v>
      </c>
      <c r="G54">
        <f>69099.090909</f>
        <v>0</v>
      </c>
    </row>
    <row r="55" spans="1:7">
      <c r="A55">
        <f>IF($H$1=1,MATCH(MAX(E55:G55),E55:G55,0)-1,IF($H$1=2,MAX(E55:G55),IF($H$1=3,SUM(E55:G55),COUNTA(E55:G55))))</f>
        <v>0</v>
      </c>
      <c r="B55" t="s">
        <v>116</v>
      </c>
      <c r="C55" t="s">
        <v>33</v>
      </c>
      <c r="D55">
        <f>2718538.909091</f>
        <v>0</v>
      </c>
      <c r="E55">
        <f>6819826.090909</f>
        <v>0</v>
      </c>
      <c r="F55">
        <f>1040710.090909</f>
        <v>0</v>
      </c>
      <c r="G55">
        <f>295080.545455</f>
        <v>0</v>
      </c>
    </row>
    <row r="56" spans="1:7">
      <c r="A56">
        <f>IF($H$1=1,MATCH(MAX(E56:G56),E56:G56,0)-1,IF($H$1=2,MAX(E56:G56),IF($H$1=3,SUM(E56:G56),COUNTA(E56:G56))))</f>
        <v>0</v>
      </c>
      <c r="B56" t="s">
        <v>116</v>
      </c>
      <c r="C56" t="s">
        <v>34</v>
      </c>
      <c r="D56">
        <f>2720363.272727</f>
        <v>0</v>
      </c>
      <c r="E56">
        <f>6852416.181818</f>
        <v>0</v>
      </c>
      <c r="F56">
        <f>1021464.818182</f>
        <v>0</v>
      </c>
      <c r="G56">
        <f>287208.818182</f>
        <v>0</v>
      </c>
    </row>
    <row r="57" spans="1:7">
      <c r="A57">
        <f>IF($H$1=1,MATCH(MAX(E57:G57),E57:G57,0)-1,IF($H$1=2,MAX(E57:G57),IF($H$1=3,SUM(E57:G57),COUNTA(E57:G57))))</f>
        <v>0</v>
      </c>
      <c r="B57" t="s">
        <v>116</v>
      </c>
      <c r="C57" t="s">
        <v>35</v>
      </c>
      <c r="D57">
        <f>55653221.787879</f>
        <v>0</v>
      </c>
      <c r="E57">
        <f>166893988.272727</f>
        <v>0</v>
      </c>
      <c r="F57">
        <f>46098.454545</f>
        <v>0</v>
      </c>
      <c r="G57">
        <f>19578.636364</f>
        <v>0</v>
      </c>
    </row>
    <row r="58" spans="1:7">
      <c r="A58">
        <f>IF($H$1=1,MATCH(MAX(E58:G58),E58:G58,0)-1,IF($H$1=2,MAX(E58:G58),IF($H$1=3,SUM(E58:G58),COUNTA(E58:G58))))</f>
        <v>0</v>
      </c>
      <c r="B58" t="s">
        <v>116</v>
      </c>
      <c r="C58" t="s">
        <v>36</v>
      </c>
      <c r="D58">
        <f>55614629.212121</f>
        <v>0</v>
      </c>
      <c r="E58">
        <f>166833192.818182</f>
        <v>0</v>
      </c>
      <c r="F58">
        <f>7734.727273</f>
        <v>0</v>
      </c>
      <c r="G58">
        <f>2960.090909</f>
        <v>0</v>
      </c>
    </row>
    <row r="59" spans="1:7">
      <c r="A59">
        <f>IF($H$1=1,MATCH(MAX(E59:G59),E59:G59,0)-1,IF($H$1=2,MAX(E59:G59),IF($H$1=3,SUM(E59:G59),COUNTA(E59:G59))))</f>
        <v>0</v>
      </c>
      <c r="B59" t="s">
        <v>116</v>
      </c>
      <c r="C59" t="s">
        <v>37</v>
      </c>
      <c r="D59">
        <f>24406638720.000000</f>
        <v>0</v>
      </c>
      <c r="E59">
        <f>73215783074.000000</f>
        <v>0</v>
      </c>
      <c r="F59">
        <f>3035550.181818</f>
        <v>0</v>
      </c>
      <c r="G59">
        <f>1097535.818182</f>
        <v>0</v>
      </c>
    </row>
    <row r="60" spans="1:7">
      <c r="A60">
        <f>IF($H$1=1,MATCH(MAX(E60:G60),E60:G60,0)-1,IF($H$1=2,MAX(E60:G60),IF($H$1=3,SUM(E60:G60),COUNTA(E60:G60))))</f>
        <v>0</v>
      </c>
      <c r="B60" t="s">
        <v>116</v>
      </c>
      <c r="C60" t="s">
        <v>38</v>
      </c>
      <c r="D60">
        <f>4411690423.272727</f>
        <v>0</v>
      </c>
      <c r="E60">
        <f>4491014257.636364</f>
        <v>0</v>
      </c>
      <c r="F60">
        <f>4331609705.090909</f>
        <v>0</v>
      </c>
      <c r="G60">
        <f>4412447307.090909</f>
        <v>0</v>
      </c>
    </row>
    <row r="61" spans="1:7">
      <c r="A61">
        <f>IF($H$1=1,MATCH(MAX(E61:G61),E61:G61,0)-1,IF($H$1=2,MAX(E61:G61),IF($H$1=3,SUM(E61:G61),COUNTA(E61:G61))))</f>
        <v>0</v>
      </c>
      <c r="B61" t="s">
        <v>116</v>
      </c>
      <c r="C61" t="s">
        <v>129</v>
      </c>
      <c r="D61">
        <f>4.000000</f>
        <v>0</v>
      </c>
      <c r="E61">
        <f>4</f>
        <v>0</v>
      </c>
      <c r="F61">
        <f>4</f>
        <v>0</v>
      </c>
      <c r="G61">
        <f>4</f>
        <v>0</v>
      </c>
    </row>
    <row r="62" spans="1:7">
      <c r="A62">
        <f>IF($H$1=1,MATCH(MAX(E62:G62),E62:G62,0)-1,IF($H$1=2,MAX(E62:G62),IF($H$1=3,SUM(E62:G62),COUNTA(E62:G62))))</f>
        <v>0</v>
      </c>
      <c r="B62" t="s">
        <v>130</v>
      </c>
      <c r="C62" t="s">
        <v>130</v>
      </c>
      <c r="D62">
        <f>11.000000</f>
        <v>0</v>
      </c>
      <c r="E62">
        <f>11</f>
        <v>0</v>
      </c>
      <c r="F62">
        <f>11</f>
        <v>0</v>
      </c>
      <c r="G62">
        <f>11</f>
        <v>0</v>
      </c>
    </row>
    <row r="63" spans="1:7">
      <c r="A63">
        <f>IF($H$1=1,MATCH(MAX(E63:G63),E63:G63,0)-1,IF($H$1=2,MAX(E63:G63),IF($H$1=3,SUM(E63:G63),COUNTA(E63:G63))))</f>
        <v>0</v>
      </c>
      <c r="B63" t="s">
        <v>16</v>
      </c>
      <c r="C63" t="s">
        <v>131</v>
      </c>
      <c r="D63">
        <f>0.924795</f>
        <v>0</v>
      </c>
      <c r="E63">
        <f>0.936291</f>
        <v>0</v>
      </c>
      <c r="F63">
        <f>0.918757</f>
        <v>0</v>
      </c>
      <c r="G63">
        <f>0.919338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X39"/>
  <sheetViews>
    <sheetView workbookViewId="0"/>
  </sheetViews>
  <sheetFormatPr defaultRowHeight="15"/>
  <sheetData>
    <row r="2" spans="1:50">
      <c r="A2" t="s">
        <v>81</v>
      </c>
    </row>
    <row r="3" spans="1:50">
      <c r="B3" t="s">
        <v>8</v>
      </c>
      <c r="J3" t="s">
        <v>59</v>
      </c>
      <c r="R3" t="s">
        <v>63</v>
      </c>
      <c r="Z3" t="s">
        <v>66</v>
      </c>
      <c r="AH3" t="s">
        <v>70</v>
      </c>
      <c r="AP3" t="s">
        <v>75</v>
      </c>
      <c r="AX3" t="s">
        <v>78</v>
      </c>
    </row>
    <row r="20" spans="1:50">
      <c r="A20" t="s">
        <v>82</v>
      </c>
    </row>
    <row r="21" spans="1:50">
      <c r="B21" t="s">
        <v>8</v>
      </c>
      <c r="J21" t="s">
        <v>59</v>
      </c>
      <c r="R21" t="s">
        <v>63</v>
      </c>
      <c r="Z21" t="s">
        <v>66</v>
      </c>
      <c r="AH21" t="s">
        <v>70</v>
      </c>
      <c r="AP21" t="s">
        <v>75</v>
      </c>
      <c r="AX21" t="s">
        <v>78</v>
      </c>
    </row>
    <row r="38" spans="1:50">
      <c r="A38" t="s">
        <v>83</v>
      </c>
    </row>
    <row r="39" spans="1:50">
      <c r="B39" t="s">
        <v>8</v>
      </c>
      <c r="J39" t="s">
        <v>59</v>
      </c>
      <c r="R39" t="s">
        <v>63</v>
      </c>
      <c r="Z39" t="s">
        <v>66</v>
      </c>
      <c r="AH39" t="s">
        <v>70</v>
      </c>
      <c r="AP39" t="s">
        <v>75</v>
      </c>
      <c r="AX39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34"/>
  <sheetViews>
    <sheetView workbookViewId="0"/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5</v>
      </c>
      <c r="X1" t="s">
        <v>5</v>
      </c>
      <c r="Y1" t="s">
        <v>5</v>
      </c>
      <c r="Z1" t="s">
        <v>5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</row>
    <row r="2" spans="1:47">
      <c r="A2" t="s">
        <v>7</v>
      </c>
      <c r="B2" t="s">
        <v>8</v>
      </c>
      <c r="C2" t="s">
        <v>9</v>
      </c>
      <c r="D2" t="s">
        <v>8</v>
      </c>
      <c r="E2" t="s">
        <v>10</v>
      </c>
      <c r="F2" t="s">
        <v>11</v>
      </c>
    </row>
    <row r="3" spans="1:47">
      <c r="A3" t="s">
        <v>12</v>
      </c>
      <c r="B3" t="s">
        <v>13</v>
      </c>
      <c r="C3" t="s">
        <v>13</v>
      </c>
      <c r="D3" t="s">
        <v>14</v>
      </c>
      <c r="E3" t="s">
        <v>15</v>
      </c>
      <c r="F3" t="s">
        <v>6</v>
      </c>
    </row>
    <row r="4" spans="1:47">
      <c r="E4">
        <f>subtotal(101, INDIRECT(ADDRESS(row()+2, column(), 1)):INDIRECT(ADDRESS(row()-1+11, column(),1)))</f>
        <v>0</v>
      </c>
      <c r="F4">
        <f>subtotal(101, INDIRECT(ADDRESS(row()+2, column(), 1)):INDIRECT(ADDRESS(row()-1+11, column(),1)))</f>
        <v>0</v>
      </c>
      <c r="G4">
        <f>subtotal(101, INDIRECT(ADDRESS(row()+2, column(), 1)):INDIRECT(ADDRESS(row()-1+11, column(),1)))</f>
        <v>0</v>
      </c>
      <c r="H4">
        <f>subtotal(101, INDIRECT(ADDRESS(row()+2, column(), 1)):INDIRECT(ADDRESS(row()-1+11, column(),1)))</f>
        <v>0</v>
      </c>
      <c r="I4">
        <f>subtotal(101, INDIRECT(ADDRESS(row()+2, column(), 1)):INDIRECT(ADDRESS(row()-1+11, column(),1)))</f>
        <v>0</v>
      </c>
      <c r="J4">
        <f>subtotal(101, INDIRECT(ADDRESS(row()+2, column(), 1)):INDIRECT(ADDRESS(row()-1+11, column(),1)))</f>
        <v>0</v>
      </c>
      <c r="K4">
        <f>subtotal(101, INDIRECT(ADDRESS(row()+2, column(), 1)):INDIRECT(ADDRESS(row()-1+11, column(),1)))</f>
        <v>0</v>
      </c>
      <c r="L4">
        <f>subtotal(101, INDIRECT(ADDRESS(row()+2, column(), 1)):INDIRECT(ADDRESS(row()-1+11, column(),1)))</f>
        <v>0</v>
      </c>
      <c r="M4">
        <f>subtotal(101, INDIRECT(ADDRESS(row()+2, column(), 1)):INDIRECT(ADDRESS(row()-1+11, column(),1)))</f>
        <v>0</v>
      </c>
      <c r="N4">
        <f>subtotal(101, INDIRECT(ADDRESS(row()+2, column(), 1)):INDIRECT(ADDRESS(row()-1+11, column(),1)))</f>
        <v>0</v>
      </c>
      <c r="O4">
        <f>subtotal(101, INDIRECT(ADDRESS(row()+2, column(), 1)):INDIRECT(ADDRESS(row()-1+11, column(),1)))</f>
        <v>0</v>
      </c>
      <c r="P4">
        <f>subtotal(101, INDIRECT(ADDRESS(row()+2, column(), 1)):INDIRECT(ADDRESS(row()-1+11, column(),1)))</f>
        <v>0</v>
      </c>
      <c r="Q4">
        <f>subtotal(101, INDIRECT(ADDRESS(row()+2, column(), 1)):INDIRECT(ADDRESS(row()-1+11, column(),1)))</f>
        <v>0</v>
      </c>
      <c r="R4">
        <f>subtotal(101, INDIRECT(ADDRESS(row()+2, column(), 1)):INDIRECT(ADDRESS(row()-1+11, column(),1)))</f>
        <v>0</v>
      </c>
      <c r="S4">
        <f>subtotal(101, INDIRECT(ADDRESS(row()+2, column(), 1)):INDIRECT(ADDRESS(row()-1+11, column(),1)))</f>
        <v>0</v>
      </c>
      <c r="T4">
        <f>subtotal(101, INDIRECT(ADDRESS(row()+2, column(), 1)):INDIRECT(ADDRESS(row()-1+11, column(),1)))</f>
        <v>0</v>
      </c>
      <c r="U4">
        <f>subtotal(101, INDIRECT(ADDRESS(row()+2, column(), 1)):INDIRECT(ADDRESS(row()-1+11, column(),1)))</f>
        <v>0</v>
      </c>
      <c r="V4">
        <f>subtotal(101, INDIRECT(ADDRESS(row()+2, column(), 1)):INDIRECT(ADDRESS(row()-1+11, column(),1)))</f>
        <v>0</v>
      </c>
      <c r="W4">
        <f>subtotal(101, INDIRECT(ADDRESS(row()+2, column(), 1)):INDIRECT(ADDRESS(row()-1+11, column(),1)))</f>
        <v>0</v>
      </c>
      <c r="X4">
        <f>subtotal(101, INDIRECT(ADDRESS(row()+2, column(), 1)):INDIRECT(ADDRESS(row()-1+11, column(),1)))</f>
        <v>0</v>
      </c>
      <c r="Y4">
        <f>subtotal(101, INDIRECT(ADDRESS(row()+2, column(), 1)):INDIRECT(ADDRESS(row()-1+11, column(),1)))</f>
        <v>0</v>
      </c>
      <c r="Z4">
        <f>subtotal(101, INDIRECT(ADDRESS(row()+2, column(), 1)):INDIRECT(ADDRESS(row()-1+11, column(),1)))</f>
        <v>0</v>
      </c>
      <c r="AA4">
        <f>subtotal(101, INDIRECT(ADDRESS(row()+2, column(), 1)):INDIRECT(ADDRESS(row()-1+11, column(),1)))</f>
        <v>0</v>
      </c>
      <c r="AB4">
        <f>subtotal(101, INDIRECT(ADDRESS(row()+2, column(), 1)):INDIRECT(ADDRESS(row()-1+11, column(),1)))</f>
        <v>0</v>
      </c>
      <c r="AC4">
        <f>subtotal(101, INDIRECT(ADDRESS(row()+2, column(), 1)):INDIRECT(ADDRESS(row()-1+11, column(),1)))</f>
        <v>0</v>
      </c>
      <c r="AD4">
        <f>subtotal(101, INDIRECT(ADDRESS(row()+2, column(), 1)):INDIRECT(ADDRESS(row()-1+11, column(),1)))</f>
        <v>0</v>
      </c>
      <c r="AE4">
        <f>subtotal(101, INDIRECT(ADDRESS(row()+2, column(), 1)):INDIRECT(ADDRESS(row()-1+11, column(),1)))</f>
        <v>0</v>
      </c>
      <c r="AF4">
        <f>subtotal(101, INDIRECT(ADDRESS(row()+2, column(), 1)):INDIRECT(ADDRESS(row()-1+11, column(),1)))</f>
        <v>0</v>
      </c>
      <c r="AG4">
        <f>subtotal(101, INDIRECT(ADDRESS(row()+2, column(), 1)):INDIRECT(ADDRESS(row()-1+11, column(),1)))</f>
        <v>0</v>
      </c>
      <c r="AH4">
        <f>subtotal(101, INDIRECT(ADDRESS(row()+2, column(), 1)):INDIRECT(ADDRESS(row()-1+11, column(),1)))</f>
        <v>0</v>
      </c>
      <c r="AI4">
        <f>subtotal(101, INDIRECT(ADDRESS(row()+2, column(), 1)):INDIRECT(ADDRESS(row()-1+11, column(),1)))</f>
        <v>0</v>
      </c>
      <c r="AJ4">
        <f>subtotal(101, INDIRECT(ADDRESS(row()+2, column(), 1)):INDIRECT(ADDRESS(row()-1+11, column(),1)))</f>
        <v>0</v>
      </c>
      <c r="AK4">
        <f>subtotal(101, INDIRECT(ADDRESS(row()+2, column(), 1)):INDIRECT(ADDRESS(row()-1+11, column(),1)))</f>
        <v>0</v>
      </c>
      <c r="AL4">
        <f>subtotal(101, INDIRECT(ADDRESS(row()+2, column(), 1)):INDIRECT(ADDRESS(row()-1+11, column(),1)))</f>
        <v>0</v>
      </c>
      <c r="AM4">
        <f>subtotal(101, INDIRECT(ADDRESS(row()+2, column(), 1)):INDIRECT(ADDRESS(row()-1+11, column(),1)))</f>
        <v>0</v>
      </c>
      <c r="AN4">
        <f>subtotal(101, INDIRECT(ADDRESS(row()+2, column(), 1)):INDIRECT(ADDRESS(row()-1+11, column(),1)))</f>
        <v>0</v>
      </c>
      <c r="AO4">
        <f>subtotal(101, INDIRECT(ADDRESS(row()+2, column(), 1)):INDIRECT(ADDRESS(row()-1+11, column(),1)))</f>
        <v>0</v>
      </c>
      <c r="AP4">
        <f>subtotal(101, INDIRECT(ADDRESS(row()+2, column(), 1)):INDIRECT(ADDRESS(row()-1+11, column(),1)))</f>
        <v>0</v>
      </c>
      <c r="AQ4">
        <f>subtotal(101, INDIRECT(ADDRESS(row()+2, column(), 1)):INDIRECT(ADDRESS(row()-1+11, column(),1)))</f>
        <v>0</v>
      </c>
      <c r="AR4">
        <f>subtotal(101, INDIRECT(ADDRESS(row()+2, column(), 1)):INDIRECT(ADDRESS(row()-1+11, column(),1)))</f>
        <v>0</v>
      </c>
      <c r="AS4">
        <f>subtotal(101, INDIRECT(ADDRESS(row()+2, column(), 1)):INDIRECT(ADDRESS(row()-1+11, column(),1)))</f>
        <v>0</v>
      </c>
      <c r="AT4">
        <f>subtotal(101, INDIRECT(ADDRESS(row()+2, column(), 1)):INDIRECT(ADDRESS(row()-1+11, column(),1)))</f>
        <v>0</v>
      </c>
      <c r="AU4">
        <f>subtotal(101, INDIRECT(ADDRESS(row()+2, column(), 1)):INDIRECT(ADDRESS(row()-1+11, column(),1)))</f>
        <v>0</v>
      </c>
    </row>
    <row r="5" spans="1:47">
      <c r="A5" t="s">
        <v>0</v>
      </c>
      <c r="B5" t="s">
        <v>1</v>
      </c>
      <c r="C5" t="s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  <c r="AK5" t="s">
        <v>49</v>
      </c>
      <c r="AL5" t="s">
        <v>50</v>
      </c>
      <c r="AM5" t="s">
        <v>51</v>
      </c>
      <c r="AN5" t="s">
        <v>52</v>
      </c>
      <c r="AO5" t="s">
        <v>53</v>
      </c>
      <c r="AP5" t="s">
        <v>54</v>
      </c>
      <c r="AQ5" t="s">
        <v>55</v>
      </c>
      <c r="AR5" t="s">
        <v>56</v>
      </c>
      <c r="AS5" t="s">
        <v>57</v>
      </c>
      <c r="AT5" t="s">
        <v>58</v>
      </c>
    </row>
    <row r="6" spans="1:47">
      <c r="A6">
        <v>1625531006.8542</v>
      </c>
      <c r="B6">
        <v>1.016746633</v>
      </c>
      <c r="C6">
        <v>1.016746633</v>
      </c>
      <c r="D6">
        <v>1.0167</v>
      </c>
      <c r="E6">
        <v>48377.61</v>
      </c>
      <c r="F6">
        <v>8783395782</v>
      </c>
      <c r="G6">
        <v>104966241276</v>
      </c>
      <c r="H6">
        <v>85747362716</v>
      </c>
      <c r="I6">
        <v>3425272765</v>
      </c>
      <c r="J6">
        <v>7643437422</v>
      </c>
      <c r="K6">
        <v>108988752949</v>
      </c>
      <c r="L6">
        <v>140.56</v>
      </c>
      <c r="M6">
        <v>103908531378</v>
      </c>
      <c r="N6">
        <v>479421368</v>
      </c>
      <c r="O6">
        <v>446915504</v>
      </c>
      <c r="P6">
        <v>442657586</v>
      </c>
      <c r="Q6">
        <v>0</v>
      </c>
      <c r="R6">
        <v>442596940</v>
      </c>
      <c r="S6">
        <v>442652187</v>
      </c>
      <c r="T6">
        <v>0</v>
      </c>
      <c r="U6">
        <v>7754688</v>
      </c>
      <c r="V6">
        <v>7827825</v>
      </c>
      <c r="W6">
        <v>138987101</v>
      </c>
      <c r="X6">
        <v>138883118</v>
      </c>
      <c r="Y6">
        <v>60976192131</v>
      </c>
      <c r="Z6">
        <v>4848979032</v>
      </c>
      <c r="AA6">
        <v>79.8627</v>
      </c>
      <c r="AB6">
        <v>92.6185</v>
      </c>
      <c r="AC6">
        <v>2.38456</v>
      </c>
      <c r="AD6">
        <v>2.69309</v>
      </c>
      <c r="AE6">
        <v>15.812</v>
      </c>
      <c r="AF6">
        <v>8.74212</v>
      </c>
      <c r="AG6">
        <v>439.047</v>
      </c>
      <c r="AH6">
        <v>184.122</v>
      </c>
      <c r="AI6">
        <v>99.9252</v>
      </c>
      <c r="AJ6">
        <v>111.718</v>
      </c>
      <c r="AK6">
        <v>0.0836783</v>
      </c>
      <c r="AL6">
        <v>11.9505</v>
      </c>
      <c r="AM6">
        <v>0.108984</v>
      </c>
      <c r="AN6">
        <v>138.245</v>
      </c>
      <c r="AO6">
        <v>8.638730000000001</v>
      </c>
      <c r="AP6">
        <v>103.237</v>
      </c>
      <c r="AQ6">
        <v>0.16118</v>
      </c>
      <c r="AR6">
        <v>3.50653</v>
      </c>
      <c r="AS6">
        <v>1.57139</v>
      </c>
      <c r="AT6">
        <v>94.9221</v>
      </c>
    </row>
    <row r="7" spans="1:47">
      <c r="A7">
        <v>1625531007.8605</v>
      </c>
      <c r="B7">
        <v>2.023048995</v>
      </c>
      <c r="C7">
        <v>2.023048995</v>
      </c>
      <c r="D7">
        <v>1.0063</v>
      </c>
      <c r="E7">
        <v>48295.44</v>
      </c>
      <c r="F7">
        <v>10754379337</v>
      </c>
      <c r="G7">
        <v>130396631944</v>
      </c>
      <c r="H7">
        <v>106249103386</v>
      </c>
      <c r="I7">
        <v>3378848859</v>
      </c>
      <c r="J7">
        <v>8702471981</v>
      </c>
      <c r="K7">
        <v>130396663310</v>
      </c>
      <c r="L7">
        <v>149.71</v>
      </c>
      <c r="M7">
        <v>137442937479</v>
      </c>
      <c r="N7">
        <v>634837230</v>
      </c>
      <c r="O7">
        <v>536494159</v>
      </c>
      <c r="P7">
        <v>536690134</v>
      </c>
      <c r="Q7">
        <v>0</v>
      </c>
      <c r="R7">
        <v>536595421</v>
      </c>
      <c r="S7">
        <v>536716793</v>
      </c>
      <c r="T7">
        <v>0</v>
      </c>
      <c r="U7">
        <v>6660963</v>
      </c>
      <c r="V7">
        <v>6711471</v>
      </c>
      <c r="W7">
        <v>184343012</v>
      </c>
      <c r="X7">
        <v>184282304</v>
      </c>
      <c r="Y7">
        <v>80848210830</v>
      </c>
      <c r="Z7">
        <v>4830014962</v>
      </c>
      <c r="AA7">
        <v>99.9845</v>
      </c>
      <c r="AB7">
        <v>100</v>
      </c>
      <c r="AC7">
        <v>2.39988</v>
      </c>
      <c r="AD7">
        <v>2.7</v>
      </c>
      <c r="AE7">
        <v>17.1356</v>
      </c>
      <c r="AF7">
        <v>11.7202</v>
      </c>
      <c r="AG7">
        <v>438.719</v>
      </c>
      <c r="AH7">
        <v>182.808</v>
      </c>
      <c r="AI7">
        <v>99.9671</v>
      </c>
      <c r="AJ7">
        <v>136.515</v>
      </c>
      <c r="AK7">
        <v>0.0824744</v>
      </c>
      <c r="AL7">
        <v>12.125</v>
      </c>
      <c r="AM7">
        <v>0.09449730000000001</v>
      </c>
      <c r="AN7">
        <v>148.772</v>
      </c>
      <c r="AO7">
        <v>10.687</v>
      </c>
      <c r="AP7">
        <v>129.58</v>
      </c>
      <c r="AQ7">
        <v>0.164949</v>
      </c>
      <c r="AR7">
        <v>3.33692</v>
      </c>
      <c r="AS7">
        <v>1.2956</v>
      </c>
      <c r="AT7">
        <v>95.36750000000001</v>
      </c>
    </row>
    <row r="8" spans="1:47">
      <c r="A8">
        <v>1625531008.8664</v>
      </c>
      <c r="B8">
        <v>3.028960086</v>
      </c>
      <c r="C8">
        <v>3.028960086</v>
      </c>
      <c r="D8">
        <v>1.0059</v>
      </c>
      <c r="E8">
        <v>48281.8</v>
      </c>
      <c r="F8">
        <v>10760188438</v>
      </c>
      <c r="G8">
        <v>130359804921</v>
      </c>
      <c r="H8">
        <v>106219093312</v>
      </c>
      <c r="I8">
        <v>3317995339</v>
      </c>
      <c r="J8">
        <v>8705121360</v>
      </c>
      <c r="K8">
        <v>130359796358</v>
      </c>
      <c r="L8">
        <v>149.67</v>
      </c>
      <c r="M8">
        <v>138471434331</v>
      </c>
      <c r="N8">
        <v>640881390</v>
      </c>
      <c r="O8">
        <v>536793362</v>
      </c>
      <c r="P8">
        <v>536986158</v>
      </c>
      <c r="Q8">
        <v>0</v>
      </c>
      <c r="R8">
        <v>536891935</v>
      </c>
      <c r="S8">
        <v>537011948</v>
      </c>
      <c r="T8">
        <v>0</v>
      </c>
      <c r="U8">
        <v>6760773</v>
      </c>
      <c r="V8">
        <v>6769674</v>
      </c>
      <c r="W8">
        <v>184447154</v>
      </c>
      <c r="X8">
        <v>184387323</v>
      </c>
      <c r="Y8">
        <v>80911377251</v>
      </c>
      <c r="Z8">
        <v>4828246048</v>
      </c>
      <c r="AA8">
        <v>99.9952</v>
      </c>
      <c r="AB8">
        <v>100</v>
      </c>
      <c r="AC8">
        <v>2.39994</v>
      </c>
      <c r="AD8">
        <v>2.7</v>
      </c>
      <c r="AE8">
        <v>17.1361</v>
      </c>
      <c r="AF8">
        <v>11.7314</v>
      </c>
      <c r="AG8">
        <v>438.812</v>
      </c>
      <c r="AH8">
        <v>182.843</v>
      </c>
      <c r="AI8">
        <v>99.9676</v>
      </c>
      <c r="AJ8">
        <v>136.644</v>
      </c>
      <c r="AK8">
        <v>0.0825422</v>
      </c>
      <c r="AL8">
        <v>12.115</v>
      </c>
      <c r="AM8">
        <v>0.0956511</v>
      </c>
      <c r="AN8">
        <v>148.79</v>
      </c>
      <c r="AO8">
        <v>10.697</v>
      </c>
      <c r="AP8">
        <v>129.594</v>
      </c>
      <c r="AQ8">
        <v>0.165084</v>
      </c>
      <c r="AR8">
        <v>3.33888</v>
      </c>
      <c r="AS8">
        <v>1.27263</v>
      </c>
      <c r="AT8">
        <v>95.38849999999999</v>
      </c>
    </row>
    <row r="9" spans="1:47">
      <c r="A9">
        <v>1625531009.8723</v>
      </c>
      <c r="B9">
        <v>4.03484497</v>
      </c>
      <c r="C9">
        <v>4.03484497</v>
      </c>
      <c r="D9">
        <v>1.0059</v>
      </c>
      <c r="E9">
        <v>48282.71</v>
      </c>
      <c r="F9">
        <v>10754118705</v>
      </c>
      <c r="G9">
        <v>130362320094</v>
      </c>
      <c r="H9">
        <v>106221162696</v>
      </c>
      <c r="I9">
        <v>3310671831</v>
      </c>
      <c r="J9">
        <v>8700926567</v>
      </c>
      <c r="K9">
        <v>130362340561</v>
      </c>
      <c r="L9">
        <v>149.62</v>
      </c>
      <c r="M9">
        <v>138487930059</v>
      </c>
      <c r="N9">
        <v>641205410</v>
      </c>
      <c r="O9">
        <v>536438191</v>
      </c>
      <c r="P9">
        <v>536632213</v>
      </c>
      <c r="Q9">
        <v>0</v>
      </c>
      <c r="R9">
        <v>536537494</v>
      </c>
      <c r="S9">
        <v>536653255</v>
      </c>
      <c r="T9">
        <v>0</v>
      </c>
      <c r="U9">
        <v>6619041</v>
      </c>
      <c r="V9">
        <v>6622704</v>
      </c>
      <c r="W9">
        <v>184327296</v>
      </c>
      <c r="X9">
        <v>184267885</v>
      </c>
      <c r="Y9">
        <v>80927269363</v>
      </c>
      <c r="Z9">
        <v>4828216008</v>
      </c>
      <c r="AA9">
        <v>99.9997</v>
      </c>
      <c r="AB9">
        <v>100</v>
      </c>
      <c r="AC9">
        <v>2.39998</v>
      </c>
      <c r="AD9">
        <v>2.7</v>
      </c>
      <c r="AE9">
        <v>17.1346</v>
      </c>
      <c r="AF9">
        <v>11.7241</v>
      </c>
      <c r="AG9">
        <v>439.183</v>
      </c>
      <c r="AH9">
        <v>182.993</v>
      </c>
      <c r="AI9">
        <v>99.9678</v>
      </c>
      <c r="AJ9">
        <v>136.557</v>
      </c>
      <c r="AK9">
        <v>0.0824941</v>
      </c>
      <c r="AL9">
        <v>12.1221</v>
      </c>
      <c r="AM9">
        <v>0.0936126</v>
      </c>
      <c r="AN9">
        <v>148.745</v>
      </c>
      <c r="AO9">
        <v>10.6912</v>
      </c>
      <c r="AP9">
        <v>129.6</v>
      </c>
      <c r="AQ9">
        <v>0.164988</v>
      </c>
      <c r="AR9">
        <v>3.33721</v>
      </c>
      <c r="AS9">
        <v>1.2698</v>
      </c>
      <c r="AT9">
        <v>95.393</v>
      </c>
    </row>
    <row r="10" spans="1:47">
      <c r="A10">
        <v>1625531010.8781</v>
      </c>
      <c r="B10">
        <v>5.040686905</v>
      </c>
      <c r="C10">
        <v>5.040686905</v>
      </c>
      <c r="D10">
        <v>1.0058</v>
      </c>
      <c r="E10">
        <v>48280.04</v>
      </c>
      <c r="F10">
        <v>10751336017</v>
      </c>
      <c r="G10">
        <v>130355104993</v>
      </c>
      <c r="H10">
        <v>106215259885</v>
      </c>
      <c r="I10">
        <v>3369770392</v>
      </c>
      <c r="J10">
        <v>8700325736</v>
      </c>
      <c r="K10">
        <v>130355072217</v>
      </c>
      <c r="L10">
        <v>149.72</v>
      </c>
      <c r="M10">
        <v>138036012430</v>
      </c>
      <c r="N10">
        <v>638368444</v>
      </c>
      <c r="O10">
        <v>536288797</v>
      </c>
      <c r="P10">
        <v>536491759</v>
      </c>
      <c r="Q10">
        <v>0</v>
      </c>
      <c r="R10">
        <v>536382735</v>
      </c>
      <c r="S10">
        <v>536498958</v>
      </c>
      <c r="T10">
        <v>0</v>
      </c>
      <c r="U10">
        <v>6636096</v>
      </c>
      <c r="V10">
        <v>6640911</v>
      </c>
      <c r="W10">
        <v>184272216</v>
      </c>
      <c r="X10">
        <v>184213723</v>
      </c>
      <c r="Y10">
        <v>80880432597</v>
      </c>
      <c r="Z10">
        <v>4827955392</v>
      </c>
      <c r="AA10">
        <v>99.9984</v>
      </c>
      <c r="AB10">
        <v>100</v>
      </c>
      <c r="AC10">
        <v>2.39996</v>
      </c>
      <c r="AD10">
        <v>2.7</v>
      </c>
      <c r="AE10">
        <v>17.134</v>
      </c>
      <c r="AF10">
        <v>11.7212</v>
      </c>
      <c r="AG10">
        <v>439.058</v>
      </c>
      <c r="AH10">
        <v>182.944</v>
      </c>
      <c r="AI10">
        <v>99.9683</v>
      </c>
      <c r="AJ10">
        <v>136.525</v>
      </c>
      <c r="AK10">
        <v>0.0824773</v>
      </c>
      <c r="AL10">
        <v>12.1245</v>
      </c>
      <c r="AM10">
        <v>0.0938659</v>
      </c>
      <c r="AN10">
        <v>148.85</v>
      </c>
      <c r="AO10">
        <v>10.6889</v>
      </c>
      <c r="AP10">
        <v>129.598</v>
      </c>
      <c r="AQ10">
        <v>0.164955</v>
      </c>
      <c r="AR10">
        <v>3.33716</v>
      </c>
      <c r="AS10">
        <v>1.29254</v>
      </c>
      <c r="AT10">
        <v>95.3703</v>
      </c>
    </row>
    <row r="11" spans="1:47">
      <c r="A11">
        <v>1625531011.883</v>
      </c>
      <c r="B11">
        <v>6.045593007</v>
      </c>
      <c r="C11">
        <v>6.045593007</v>
      </c>
      <c r="D11">
        <v>1.0049</v>
      </c>
      <c r="E11">
        <v>48232.92</v>
      </c>
      <c r="F11">
        <v>10734999415</v>
      </c>
      <c r="G11">
        <v>130227850267</v>
      </c>
      <c r="H11">
        <v>106111576370</v>
      </c>
      <c r="I11">
        <v>3378271493</v>
      </c>
      <c r="J11">
        <v>8686710372</v>
      </c>
      <c r="K11">
        <v>130227829872</v>
      </c>
      <c r="L11">
        <v>149.53</v>
      </c>
      <c r="M11">
        <v>137574797331</v>
      </c>
      <c r="N11">
        <v>635820506</v>
      </c>
      <c r="O11">
        <v>535513287</v>
      </c>
      <c r="P11">
        <v>535712780</v>
      </c>
      <c r="Q11">
        <v>0</v>
      </c>
      <c r="R11">
        <v>535627367</v>
      </c>
      <c r="S11">
        <v>535722226</v>
      </c>
      <c r="T11">
        <v>0</v>
      </c>
      <c r="U11">
        <v>6641532</v>
      </c>
      <c r="V11">
        <v>6696945</v>
      </c>
      <c r="W11">
        <v>184005953</v>
      </c>
      <c r="X11">
        <v>183947226</v>
      </c>
      <c r="Y11">
        <v>80790914948</v>
      </c>
      <c r="Z11">
        <v>4823401682</v>
      </c>
      <c r="AA11">
        <v>99.9939</v>
      </c>
      <c r="AB11">
        <v>100</v>
      </c>
      <c r="AC11">
        <v>2.39993</v>
      </c>
      <c r="AD11">
        <v>2.7</v>
      </c>
      <c r="AE11">
        <v>17.1353</v>
      </c>
      <c r="AF11">
        <v>11.7151</v>
      </c>
      <c r="AG11">
        <v>439.207</v>
      </c>
      <c r="AH11">
        <v>183.009</v>
      </c>
      <c r="AI11">
        <v>99.96810000000001</v>
      </c>
      <c r="AJ11">
        <v>136.455</v>
      </c>
      <c r="AK11">
        <v>0.0824324</v>
      </c>
      <c r="AL11">
        <v>12.1311</v>
      </c>
      <c r="AM11">
        <v>0.09438829999999999</v>
      </c>
      <c r="AN11">
        <v>148.8</v>
      </c>
      <c r="AO11">
        <v>10.6826</v>
      </c>
      <c r="AP11">
        <v>129.592</v>
      </c>
      <c r="AQ11">
        <v>0.164865</v>
      </c>
      <c r="AR11">
        <v>3.3352</v>
      </c>
      <c r="AS11">
        <v>1.29706</v>
      </c>
      <c r="AT11">
        <v>95.3677</v>
      </c>
    </row>
    <row r="12" spans="1:47">
      <c r="A12">
        <v>1625531012.8887</v>
      </c>
      <c r="B12">
        <v>7.051290077</v>
      </c>
      <c r="C12">
        <v>7.051290077</v>
      </c>
      <c r="D12">
        <v>1.0057</v>
      </c>
      <c r="E12">
        <v>48272.29</v>
      </c>
      <c r="F12">
        <v>10749817719</v>
      </c>
      <c r="G12">
        <v>130334171701</v>
      </c>
      <c r="H12">
        <v>106198223469</v>
      </c>
      <c r="I12">
        <v>3341448251</v>
      </c>
      <c r="J12">
        <v>8698099164</v>
      </c>
      <c r="K12">
        <v>130334172143</v>
      </c>
      <c r="L12">
        <v>149.9</v>
      </c>
      <c r="M12">
        <v>137905276347</v>
      </c>
      <c r="N12">
        <v>637670766</v>
      </c>
      <c r="O12">
        <v>536205827</v>
      </c>
      <c r="P12">
        <v>536406229</v>
      </c>
      <c r="Q12">
        <v>0</v>
      </c>
      <c r="R12">
        <v>536315939</v>
      </c>
      <c r="S12">
        <v>536415090</v>
      </c>
      <c r="T12">
        <v>0</v>
      </c>
      <c r="U12">
        <v>6627564</v>
      </c>
      <c r="V12">
        <v>6675822</v>
      </c>
      <c r="W12">
        <v>184246024</v>
      </c>
      <c r="X12">
        <v>184185748</v>
      </c>
      <c r="Y12">
        <v>80850915828</v>
      </c>
      <c r="Z12">
        <v>4827268346</v>
      </c>
      <c r="AA12">
        <v>99.99679999999999</v>
      </c>
      <c r="AB12">
        <v>100</v>
      </c>
      <c r="AC12">
        <v>2.39996</v>
      </c>
      <c r="AD12">
        <v>2.7</v>
      </c>
      <c r="AE12">
        <v>17.1338</v>
      </c>
      <c r="AF12">
        <v>11.7211</v>
      </c>
      <c r="AG12">
        <v>438.964</v>
      </c>
      <c r="AH12">
        <v>182.905</v>
      </c>
      <c r="AI12">
        <v>99.96729999999999</v>
      </c>
      <c r="AJ12">
        <v>136.524</v>
      </c>
      <c r="AK12">
        <v>0.08247889999999999</v>
      </c>
      <c r="AL12">
        <v>12.1243</v>
      </c>
      <c r="AM12">
        <v>0.094066</v>
      </c>
      <c r="AN12">
        <v>149.051</v>
      </c>
      <c r="AO12">
        <v>10.6889</v>
      </c>
      <c r="AP12">
        <v>129.596</v>
      </c>
      <c r="AQ12">
        <v>0.164958</v>
      </c>
      <c r="AR12">
        <v>3.33685</v>
      </c>
      <c r="AS12">
        <v>1.28188</v>
      </c>
      <c r="AT12">
        <v>95.3813</v>
      </c>
    </row>
    <row r="13" spans="1:47">
      <c r="A13">
        <v>1625531013.8944</v>
      </c>
      <c r="B13">
        <v>8.05700146</v>
      </c>
      <c r="C13">
        <v>8.05700146</v>
      </c>
      <c r="D13">
        <v>1.0057</v>
      </c>
      <c r="E13">
        <v>48277.5</v>
      </c>
      <c r="F13">
        <v>10752116177</v>
      </c>
      <c r="G13">
        <v>130348273603</v>
      </c>
      <c r="H13">
        <v>106209718254</v>
      </c>
      <c r="I13">
        <v>3394893373</v>
      </c>
      <c r="J13">
        <v>8700643606</v>
      </c>
      <c r="K13">
        <v>130348301387</v>
      </c>
      <c r="L13">
        <v>149.98</v>
      </c>
      <c r="M13">
        <v>137788766676</v>
      </c>
      <c r="N13">
        <v>637068870</v>
      </c>
      <c r="O13">
        <v>536349038</v>
      </c>
      <c r="P13">
        <v>536557208</v>
      </c>
      <c r="Q13">
        <v>0</v>
      </c>
      <c r="R13">
        <v>536450404</v>
      </c>
      <c r="S13">
        <v>536555191</v>
      </c>
      <c r="T13">
        <v>0</v>
      </c>
      <c r="U13">
        <v>6778503</v>
      </c>
      <c r="V13">
        <v>6779601</v>
      </c>
      <c r="W13">
        <v>184296979</v>
      </c>
      <c r="X13">
        <v>184237931</v>
      </c>
      <c r="Y13">
        <v>80855927094</v>
      </c>
      <c r="Z13">
        <v>4827639570</v>
      </c>
      <c r="AA13">
        <v>100.006</v>
      </c>
      <c r="AB13">
        <v>100</v>
      </c>
      <c r="AC13">
        <v>2.40011</v>
      </c>
      <c r="AD13">
        <v>2.7</v>
      </c>
      <c r="AE13">
        <v>17.135</v>
      </c>
      <c r="AF13">
        <v>11.7243</v>
      </c>
      <c r="AG13">
        <v>438.867</v>
      </c>
      <c r="AH13">
        <v>182.852</v>
      </c>
      <c r="AI13">
        <v>99.968</v>
      </c>
      <c r="AJ13">
        <v>136.558</v>
      </c>
      <c r="AK13">
        <v>0.08248759999999999</v>
      </c>
      <c r="AL13">
        <v>12.123</v>
      </c>
      <c r="AM13">
        <v>0.0958657</v>
      </c>
      <c r="AN13">
        <v>149.128</v>
      </c>
      <c r="AO13">
        <v>10.6911</v>
      </c>
      <c r="AP13">
        <v>129.608</v>
      </c>
      <c r="AQ13">
        <v>0.164975</v>
      </c>
      <c r="AR13">
        <v>3.33746</v>
      </c>
      <c r="AS13">
        <v>1.30224</v>
      </c>
      <c r="AT13">
        <v>95.3603</v>
      </c>
    </row>
    <row r="14" spans="1:47">
      <c r="A14">
        <v>1625531014.9002</v>
      </c>
      <c r="B14">
        <v>9.062786407999999</v>
      </c>
      <c r="C14">
        <v>9.062786407999999</v>
      </c>
      <c r="D14">
        <v>1.0058</v>
      </c>
      <c r="E14">
        <v>48279.17</v>
      </c>
      <c r="F14">
        <v>10748107999</v>
      </c>
      <c r="G14">
        <v>130352727647</v>
      </c>
      <c r="H14">
        <v>106213321578</v>
      </c>
      <c r="I14">
        <v>3383041763</v>
      </c>
      <c r="J14">
        <v>8697599457</v>
      </c>
      <c r="K14">
        <v>130352704789</v>
      </c>
      <c r="L14">
        <v>149.98</v>
      </c>
      <c r="M14">
        <v>137726735120</v>
      </c>
      <c r="N14">
        <v>636559663</v>
      </c>
      <c r="O14">
        <v>536134533</v>
      </c>
      <c r="P14">
        <v>536332429</v>
      </c>
      <c r="Q14">
        <v>0</v>
      </c>
      <c r="R14">
        <v>536245511</v>
      </c>
      <c r="S14">
        <v>536340779</v>
      </c>
      <c r="T14">
        <v>0</v>
      </c>
      <c r="U14">
        <v>6617673</v>
      </c>
      <c r="V14">
        <v>6626214</v>
      </c>
      <c r="W14">
        <v>184219667</v>
      </c>
      <c r="X14">
        <v>184160160</v>
      </c>
      <c r="Y14">
        <v>80842718211</v>
      </c>
      <c r="Z14">
        <v>4827824242</v>
      </c>
      <c r="AA14">
        <v>100.002</v>
      </c>
      <c r="AB14">
        <v>100</v>
      </c>
      <c r="AC14">
        <v>2.40003</v>
      </c>
      <c r="AD14">
        <v>2.7</v>
      </c>
      <c r="AE14">
        <v>17.1342</v>
      </c>
      <c r="AF14">
        <v>11.7185</v>
      </c>
      <c r="AG14">
        <v>438.98</v>
      </c>
      <c r="AH14">
        <v>182.905</v>
      </c>
      <c r="AI14">
        <v>99.96769999999999</v>
      </c>
      <c r="AJ14">
        <v>136.494</v>
      </c>
      <c r="AK14">
        <v>0.082454</v>
      </c>
      <c r="AL14">
        <v>12.128</v>
      </c>
      <c r="AM14">
        <v>0.0936371</v>
      </c>
      <c r="AN14">
        <v>149.117</v>
      </c>
      <c r="AO14">
        <v>10.6863</v>
      </c>
      <c r="AP14">
        <v>129.603</v>
      </c>
      <c r="AQ14">
        <v>0.164908</v>
      </c>
      <c r="AR14">
        <v>3.33618</v>
      </c>
      <c r="AS14">
        <v>1.29765</v>
      </c>
      <c r="AT14">
        <v>95.36620000000001</v>
      </c>
    </row>
    <row r="15" spans="1:47">
      <c r="A15">
        <v>1625531015.906</v>
      </c>
      <c r="B15">
        <v>10.06853275</v>
      </c>
      <c r="C15">
        <v>10.06853275</v>
      </c>
      <c r="D15">
        <v>1.0057</v>
      </c>
      <c r="E15">
        <v>48275.91</v>
      </c>
      <c r="F15">
        <v>10746966000</v>
      </c>
      <c r="G15">
        <v>130343940456</v>
      </c>
      <c r="H15">
        <v>106206169145</v>
      </c>
      <c r="I15">
        <v>3391621563</v>
      </c>
      <c r="J15">
        <v>8696904167</v>
      </c>
      <c r="K15">
        <v>130343928973</v>
      </c>
      <c r="L15">
        <v>150.03</v>
      </c>
      <c r="M15">
        <v>137560046169</v>
      </c>
      <c r="N15">
        <v>635625046</v>
      </c>
      <c r="O15">
        <v>536093489</v>
      </c>
      <c r="P15">
        <v>536292693</v>
      </c>
      <c r="Q15">
        <v>0</v>
      </c>
      <c r="R15">
        <v>536205524</v>
      </c>
      <c r="S15">
        <v>536298323</v>
      </c>
      <c r="T15">
        <v>0</v>
      </c>
      <c r="U15">
        <v>6595794</v>
      </c>
      <c r="V15">
        <v>6642504</v>
      </c>
      <c r="W15">
        <v>184210234</v>
      </c>
      <c r="X15">
        <v>184149913</v>
      </c>
      <c r="Y15">
        <v>80837271470</v>
      </c>
      <c r="Z15">
        <v>4827651442</v>
      </c>
      <c r="AA15">
        <v>99.99939999999999</v>
      </c>
      <c r="AB15">
        <v>100</v>
      </c>
      <c r="AC15">
        <v>2.40003</v>
      </c>
      <c r="AD15">
        <v>2.7</v>
      </c>
      <c r="AE15">
        <v>17.1351</v>
      </c>
      <c r="AF15">
        <v>11.7183</v>
      </c>
      <c r="AG15">
        <v>438.975</v>
      </c>
      <c r="AH15">
        <v>182.904</v>
      </c>
      <c r="AI15">
        <v>99.96729999999999</v>
      </c>
      <c r="AJ15">
        <v>136.489</v>
      </c>
      <c r="AK15">
        <v>0.0824508</v>
      </c>
      <c r="AL15">
        <v>12.1284</v>
      </c>
      <c r="AM15">
        <v>0.09360110000000001</v>
      </c>
      <c r="AN15">
        <v>149.173</v>
      </c>
      <c r="AO15">
        <v>10.6856</v>
      </c>
      <c r="AP15">
        <v>129.599</v>
      </c>
      <c r="AQ15">
        <v>0.164902</v>
      </c>
      <c r="AR15">
        <v>3.33614</v>
      </c>
      <c r="AS15">
        <v>1.30103</v>
      </c>
      <c r="AT15">
        <v>95.36279999999999</v>
      </c>
    </row>
    <row r="16" spans="1:47">
      <c r="A16">
        <v>1625531016.1366</v>
      </c>
      <c r="B16">
        <v>10.299196463</v>
      </c>
      <c r="C16">
        <v>10.299196463</v>
      </c>
      <c r="D16">
        <v>0.2307</v>
      </c>
      <c r="E16">
        <v>11001.61</v>
      </c>
      <c r="F16">
        <v>2276856419</v>
      </c>
      <c r="G16">
        <v>26183529897</v>
      </c>
      <c r="H16">
        <v>21338956175</v>
      </c>
      <c r="I16">
        <v>765911654</v>
      </c>
      <c r="J16">
        <v>1857094590</v>
      </c>
      <c r="K16">
        <v>26620050095</v>
      </c>
      <c r="L16">
        <v>32.97</v>
      </c>
      <c r="M16">
        <v>27743482082</v>
      </c>
      <c r="N16">
        <v>130880374</v>
      </c>
      <c r="O16">
        <v>112621670</v>
      </c>
      <c r="P16">
        <v>112601898</v>
      </c>
      <c r="Q16">
        <v>0</v>
      </c>
      <c r="R16">
        <v>112595561</v>
      </c>
      <c r="S16">
        <v>112599598</v>
      </c>
      <c r="T16">
        <v>0</v>
      </c>
      <c r="U16">
        <v>7325460</v>
      </c>
      <c r="V16">
        <v>7382907</v>
      </c>
      <c r="W16">
        <v>38478235</v>
      </c>
      <c r="X16">
        <v>38449790</v>
      </c>
      <c r="Y16">
        <v>16652384091</v>
      </c>
      <c r="Z16">
        <v>1103960110</v>
      </c>
      <c r="AA16">
        <v>87.6052</v>
      </c>
      <c r="AB16">
        <v>96.7204</v>
      </c>
      <c r="AC16">
        <v>2.39301</v>
      </c>
      <c r="AD16">
        <v>2.69947</v>
      </c>
      <c r="AE16">
        <v>16.8872</v>
      </c>
      <c r="AF16">
        <v>10.6683</v>
      </c>
      <c r="AG16">
        <v>433.094</v>
      </c>
      <c r="AH16">
        <v>180.983</v>
      </c>
      <c r="AI16">
        <v>99.92610000000001</v>
      </c>
      <c r="AJ16">
        <v>124.973</v>
      </c>
      <c r="AK16">
        <v>0.0869576</v>
      </c>
      <c r="AL16">
        <v>11.4999</v>
      </c>
      <c r="AM16">
        <v>0.453443</v>
      </c>
      <c r="AN16">
        <v>142.935</v>
      </c>
      <c r="AO16">
        <v>9.870889999999999</v>
      </c>
      <c r="AP16">
        <v>113.514</v>
      </c>
      <c r="AQ16">
        <v>0.171063</v>
      </c>
      <c r="AR16">
        <v>3.48815</v>
      </c>
      <c r="AS16">
        <v>1.4386</v>
      </c>
      <c r="AT16">
        <v>95.0733</v>
      </c>
    </row>
    <row r="18" spans="1:16">
      <c r="A18" t="s">
        <v>7</v>
      </c>
      <c r="B18" t="s">
        <v>59</v>
      </c>
      <c r="C18" t="s">
        <v>9</v>
      </c>
      <c r="D18" t="s">
        <v>8</v>
      </c>
      <c r="E18" t="s">
        <v>10</v>
      </c>
      <c r="F18" t="s">
        <v>60</v>
      </c>
    </row>
    <row r="19" spans="1:16">
      <c r="A19" t="s">
        <v>12</v>
      </c>
      <c r="B19" t="s">
        <v>13</v>
      </c>
      <c r="C19" t="s">
        <v>13</v>
      </c>
      <c r="D19" t="s">
        <v>14</v>
      </c>
      <c r="E19" t="s">
        <v>15</v>
      </c>
      <c r="F19" t="s">
        <v>6</v>
      </c>
      <c r="G19" t="s">
        <v>61</v>
      </c>
      <c r="H19" t="s">
        <v>61</v>
      </c>
      <c r="I19" t="s">
        <v>15</v>
      </c>
      <c r="J19" t="s">
        <v>15</v>
      </c>
      <c r="K19" t="s">
        <v>62</v>
      </c>
      <c r="L19" t="s">
        <v>62</v>
      </c>
    </row>
    <row r="21" spans="1:16">
      <c r="A21" t="s">
        <v>7</v>
      </c>
      <c r="B21" t="s">
        <v>63</v>
      </c>
      <c r="C21" t="s">
        <v>9</v>
      </c>
      <c r="D21" t="s">
        <v>8</v>
      </c>
      <c r="E21" t="s">
        <v>10</v>
      </c>
      <c r="F21" t="s">
        <v>11</v>
      </c>
    </row>
    <row r="22" spans="1:16">
      <c r="A22" t="s">
        <v>12</v>
      </c>
      <c r="B22" t="s">
        <v>13</v>
      </c>
      <c r="C22" t="s">
        <v>13</v>
      </c>
      <c r="D22" t="s">
        <v>14</v>
      </c>
      <c r="E22" t="s">
        <v>15</v>
      </c>
      <c r="F22" t="s">
        <v>6</v>
      </c>
      <c r="G22" t="s">
        <v>64</v>
      </c>
      <c r="H22" t="s">
        <v>64</v>
      </c>
      <c r="I22" t="s">
        <v>65</v>
      </c>
      <c r="J22" t="s">
        <v>65</v>
      </c>
      <c r="K22" t="s">
        <v>62</v>
      </c>
      <c r="L22" t="s">
        <v>62</v>
      </c>
      <c r="M22" t="s">
        <v>61</v>
      </c>
      <c r="N22" t="s">
        <v>61</v>
      </c>
      <c r="O22" t="s">
        <v>15</v>
      </c>
      <c r="P22" t="s">
        <v>15</v>
      </c>
    </row>
    <row r="24" spans="1:16">
      <c r="A24" t="s">
        <v>7</v>
      </c>
      <c r="B24" t="s">
        <v>66</v>
      </c>
      <c r="C24" t="s">
        <v>9</v>
      </c>
      <c r="D24" t="s">
        <v>8</v>
      </c>
      <c r="E24" t="s">
        <v>10</v>
      </c>
      <c r="F24" t="s">
        <v>11</v>
      </c>
    </row>
    <row r="25" spans="1:16">
      <c r="A25" t="s">
        <v>12</v>
      </c>
      <c r="B25" t="s">
        <v>13</v>
      </c>
      <c r="C25" t="s">
        <v>13</v>
      </c>
      <c r="D25" t="s">
        <v>14</v>
      </c>
      <c r="E25" t="s">
        <v>15</v>
      </c>
      <c r="F25" t="s">
        <v>6</v>
      </c>
      <c r="G25" t="s">
        <v>67</v>
      </c>
      <c r="H25" t="s">
        <v>67</v>
      </c>
      <c r="I25" t="s">
        <v>68</v>
      </c>
      <c r="J25" t="s">
        <v>68</v>
      </c>
      <c r="K25" t="s">
        <v>69</v>
      </c>
      <c r="L25" t="s">
        <v>69</v>
      </c>
    </row>
    <row r="27" spans="1:16">
      <c r="A27" t="s">
        <v>7</v>
      </c>
      <c r="B27" t="s">
        <v>70</v>
      </c>
      <c r="C27" t="s">
        <v>9</v>
      </c>
      <c r="D27" t="s">
        <v>8</v>
      </c>
      <c r="E27" t="s">
        <v>10</v>
      </c>
      <c r="F27" t="s">
        <v>11</v>
      </c>
    </row>
    <row r="28" spans="1:16">
      <c r="A28" t="s">
        <v>12</v>
      </c>
      <c r="B28" t="s">
        <v>13</v>
      </c>
      <c r="C28" t="s">
        <v>13</v>
      </c>
      <c r="D28" t="s">
        <v>14</v>
      </c>
      <c r="E28" t="s">
        <v>15</v>
      </c>
      <c r="F28" t="s">
        <v>6</v>
      </c>
      <c r="G28" t="s">
        <v>71</v>
      </c>
      <c r="H28" t="s">
        <v>71</v>
      </c>
      <c r="I28" t="s">
        <v>72</v>
      </c>
      <c r="J28" t="s">
        <v>72</v>
      </c>
      <c r="K28" t="s">
        <v>73</v>
      </c>
      <c r="L28" t="s">
        <v>73</v>
      </c>
      <c r="M28" t="s">
        <v>74</v>
      </c>
      <c r="N28" t="s">
        <v>74</v>
      </c>
    </row>
    <row r="30" spans="1:16">
      <c r="A30" t="s">
        <v>7</v>
      </c>
      <c r="B30" t="s">
        <v>75</v>
      </c>
      <c r="C30" t="s">
        <v>9</v>
      </c>
      <c r="D30" t="s">
        <v>8</v>
      </c>
      <c r="E30" t="s">
        <v>10</v>
      </c>
      <c r="F30" t="s">
        <v>11</v>
      </c>
    </row>
    <row r="31" spans="1:16">
      <c r="A31" t="s">
        <v>12</v>
      </c>
      <c r="B31" t="s">
        <v>13</v>
      </c>
      <c r="C31" t="s">
        <v>13</v>
      </c>
      <c r="D31" t="s">
        <v>14</v>
      </c>
      <c r="E31" t="s">
        <v>15</v>
      </c>
      <c r="F31" t="s">
        <v>6</v>
      </c>
      <c r="G31" t="s">
        <v>64</v>
      </c>
      <c r="H31" t="s">
        <v>64</v>
      </c>
      <c r="I31" t="s">
        <v>76</v>
      </c>
      <c r="J31" t="s">
        <v>76</v>
      </c>
      <c r="K31" t="s">
        <v>77</v>
      </c>
      <c r="L31" t="s">
        <v>77</v>
      </c>
    </row>
    <row r="33" spans="1:10">
      <c r="A33" t="s">
        <v>7</v>
      </c>
      <c r="B33" t="s">
        <v>78</v>
      </c>
      <c r="C33" t="s">
        <v>9</v>
      </c>
      <c r="D33" t="s">
        <v>8</v>
      </c>
      <c r="E33" t="s">
        <v>10</v>
      </c>
      <c r="F33" t="s">
        <v>11</v>
      </c>
    </row>
    <row r="34" spans="1:10">
      <c r="A34" t="s">
        <v>12</v>
      </c>
      <c r="B34" t="s">
        <v>13</v>
      </c>
      <c r="C34" t="s">
        <v>13</v>
      </c>
      <c r="D34" t="s">
        <v>14</v>
      </c>
      <c r="E34" t="s">
        <v>15</v>
      </c>
      <c r="F34" t="s">
        <v>6</v>
      </c>
      <c r="G34" t="s">
        <v>79</v>
      </c>
      <c r="H34" t="s">
        <v>79</v>
      </c>
      <c r="I34" t="s">
        <v>80</v>
      </c>
      <c r="J34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34"/>
  <sheetViews>
    <sheetView workbookViewId="0"/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5</v>
      </c>
      <c r="X1" t="s">
        <v>5</v>
      </c>
      <c r="Y1" t="s">
        <v>5</v>
      </c>
      <c r="Z1" t="s">
        <v>5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</row>
    <row r="2" spans="1:47">
      <c r="A2" t="s">
        <v>7</v>
      </c>
      <c r="B2" t="s">
        <v>8</v>
      </c>
      <c r="C2" t="s">
        <v>9</v>
      </c>
      <c r="D2" t="s">
        <v>8</v>
      </c>
      <c r="E2" t="s">
        <v>10</v>
      </c>
      <c r="F2" t="s">
        <v>11</v>
      </c>
    </row>
    <row r="3" spans="1:47">
      <c r="A3" t="s">
        <v>12</v>
      </c>
      <c r="B3" t="s">
        <v>13</v>
      </c>
      <c r="C3" t="s">
        <v>13</v>
      </c>
      <c r="D3" t="s">
        <v>14</v>
      </c>
      <c r="E3" t="s">
        <v>15</v>
      </c>
      <c r="F3" t="s">
        <v>6</v>
      </c>
    </row>
    <row r="4" spans="1:47">
      <c r="E4">
        <f>subtotal(101, INDIRECT(ADDRESS(row()+2, column(), 1)):INDIRECT(ADDRESS(row()-1+11, column(),1)))</f>
        <v>0</v>
      </c>
      <c r="F4">
        <f>subtotal(101, INDIRECT(ADDRESS(row()+2, column(), 1)):INDIRECT(ADDRESS(row()-1+11, column(),1)))</f>
        <v>0</v>
      </c>
      <c r="G4">
        <f>subtotal(101, INDIRECT(ADDRESS(row()+2, column(), 1)):INDIRECT(ADDRESS(row()-1+11, column(),1)))</f>
        <v>0</v>
      </c>
      <c r="H4">
        <f>subtotal(101, INDIRECT(ADDRESS(row()+2, column(), 1)):INDIRECT(ADDRESS(row()-1+11, column(),1)))</f>
        <v>0</v>
      </c>
      <c r="I4">
        <f>subtotal(101, INDIRECT(ADDRESS(row()+2, column(), 1)):INDIRECT(ADDRESS(row()-1+11, column(),1)))</f>
        <v>0</v>
      </c>
      <c r="J4">
        <f>subtotal(101, INDIRECT(ADDRESS(row()+2, column(), 1)):INDIRECT(ADDRESS(row()-1+11, column(),1)))</f>
        <v>0</v>
      </c>
      <c r="K4">
        <f>subtotal(101, INDIRECT(ADDRESS(row()+2, column(), 1)):INDIRECT(ADDRESS(row()-1+11, column(),1)))</f>
        <v>0</v>
      </c>
      <c r="L4">
        <f>subtotal(101, INDIRECT(ADDRESS(row()+2, column(), 1)):INDIRECT(ADDRESS(row()-1+11, column(),1)))</f>
        <v>0</v>
      </c>
      <c r="M4">
        <f>subtotal(101, INDIRECT(ADDRESS(row()+2, column(), 1)):INDIRECT(ADDRESS(row()-1+11, column(),1)))</f>
        <v>0</v>
      </c>
      <c r="N4">
        <f>subtotal(101, INDIRECT(ADDRESS(row()+2, column(), 1)):INDIRECT(ADDRESS(row()-1+11, column(),1)))</f>
        <v>0</v>
      </c>
      <c r="O4">
        <f>subtotal(101, INDIRECT(ADDRESS(row()+2, column(), 1)):INDIRECT(ADDRESS(row()-1+11, column(),1)))</f>
        <v>0</v>
      </c>
      <c r="P4">
        <f>subtotal(101, INDIRECT(ADDRESS(row()+2, column(), 1)):INDIRECT(ADDRESS(row()-1+11, column(),1)))</f>
        <v>0</v>
      </c>
      <c r="Q4">
        <f>subtotal(101, INDIRECT(ADDRESS(row()+2, column(), 1)):INDIRECT(ADDRESS(row()-1+11, column(),1)))</f>
        <v>0</v>
      </c>
      <c r="R4">
        <f>subtotal(101, INDIRECT(ADDRESS(row()+2, column(), 1)):INDIRECT(ADDRESS(row()-1+11, column(),1)))</f>
        <v>0</v>
      </c>
      <c r="S4">
        <f>subtotal(101, INDIRECT(ADDRESS(row()+2, column(), 1)):INDIRECT(ADDRESS(row()-1+11, column(),1)))</f>
        <v>0</v>
      </c>
      <c r="T4">
        <f>subtotal(101, INDIRECT(ADDRESS(row()+2, column(), 1)):INDIRECT(ADDRESS(row()-1+11, column(),1)))</f>
        <v>0</v>
      </c>
      <c r="U4">
        <f>subtotal(101, INDIRECT(ADDRESS(row()+2, column(), 1)):INDIRECT(ADDRESS(row()-1+11, column(),1)))</f>
        <v>0</v>
      </c>
      <c r="V4">
        <f>subtotal(101, INDIRECT(ADDRESS(row()+2, column(), 1)):INDIRECT(ADDRESS(row()-1+11, column(),1)))</f>
        <v>0</v>
      </c>
      <c r="W4">
        <f>subtotal(101, INDIRECT(ADDRESS(row()+2, column(), 1)):INDIRECT(ADDRESS(row()-1+11, column(),1)))</f>
        <v>0</v>
      </c>
      <c r="X4">
        <f>subtotal(101, INDIRECT(ADDRESS(row()+2, column(), 1)):INDIRECT(ADDRESS(row()-1+11, column(),1)))</f>
        <v>0</v>
      </c>
      <c r="Y4">
        <f>subtotal(101, INDIRECT(ADDRESS(row()+2, column(), 1)):INDIRECT(ADDRESS(row()-1+11, column(),1)))</f>
        <v>0</v>
      </c>
      <c r="Z4">
        <f>subtotal(101, INDIRECT(ADDRESS(row()+2, column(), 1)):INDIRECT(ADDRESS(row()-1+11, column(),1)))</f>
        <v>0</v>
      </c>
      <c r="AA4">
        <f>subtotal(101, INDIRECT(ADDRESS(row()+2, column(), 1)):INDIRECT(ADDRESS(row()-1+11, column(),1)))</f>
        <v>0</v>
      </c>
      <c r="AB4">
        <f>subtotal(101, INDIRECT(ADDRESS(row()+2, column(), 1)):INDIRECT(ADDRESS(row()-1+11, column(),1)))</f>
        <v>0</v>
      </c>
      <c r="AC4">
        <f>subtotal(101, INDIRECT(ADDRESS(row()+2, column(), 1)):INDIRECT(ADDRESS(row()-1+11, column(),1)))</f>
        <v>0</v>
      </c>
      <c r="AD4">
        <f>subtotal(101, INDIRECT(ADDRESS(row()+2, column(), 1)):INDIRECT(ADDRESS(row()-1+11, column(),1)))</f>
        <v>0</v>
      </c>
      <c r="AE4">
        <f>subtotal(101, INDIRECT(ADDRESS(row()+2, column(), 1)):INDIRECT(ADDRESS(row()-1+11, column(),1)))</f>
        <v>0</v>
      </c>
      <c r="AF4">
        <f>subtotal(101, INDIRECT(ADDRESS(row()+2, column(), 1)):INDIRECT(ADDRESS(row()-1+11, column(),1)))</f>
        <v>0</v>
      </c>
      <c r="AG4">
        <f>subtotal(101, INDIRECT(ADDRESS(row()+2, column(), 1)):INDIRECT(ADDRESS(row()-1+11, column(),1)))</f>
        <v>0</v>
      </c>
      <c r="AH4">
        <f>subtotal(101, INDIRECT(ADDRESS(row()+2, column(), 1)):INDIRECT(ADDRESS(row()-1+11, column(),1)))</f>
        <v>0</v>
      </c>
      <c r="AI4">
        <f>subtotal(101, INDIRECT(ADDRESS(row()+2, column(), 1)):INDIRECT(ADDRESS(row()-1+11, column(),1)))</f>
        <v>0</v>
      </c>
      <c r="AJ4">
        <f>subtotal(101, INDIRECT(ADDRESS(row()+2, column(), 1)):INDIRECT(ADDRESS(row()-1+11, column(),1)))</f>
        <v>0</v>
      </c>
      <c r="AK4">
        <f>subtotal(101, INDIRECT(ADDRESS(row()+2, column(), 1)):INDIRECT(ADDRESS(row()-1+11, column(),1)))</f>
        <v>0</v>
      </c>
      <c r="AL4">
        <f>subtotal(101, INDIRECT(ADDRESS(row()+2, column(), 1)):INDIRECT(ADDRESS(row()-1+11, column(),1)))</f>
        <v>0</v>
      </c>
      <c r="AM4">
        <f>subtotal(101, INDIRECT(ADDRESS(row()+2, column(), 1)):INDIRECT(ADDRESS(row()-1+11, column(),1)))</f>
        <v>0</v>
      </c>
      <c r="AN4">
        <f>subtotal(101, INDIRECT(ADDRESS(row()+2, column(), 1)):INDIRECT(ADDRESS(row()-1+11, column(),1)))</f>
        <v>0</v>
      </c>
      <c r="AO4">
        <f>subtotal(101, INDIRECT(ADDRESS(row()+2, column(), 1)):INDIRECT(ADDRESS(row()-1+11, column(),1)))</f>
        <v>0</v>
      </c>
      <c r="AP4">
        <f>subtotal(101, INDIRECT(ADDRESS(row()+2, column(), 1)):INDIRECT(ADDRESS(row()-1+11, column(),1)))</f>
        <v>0</v>
      </c>
      <c r="AQ4">
        <f>subtotal(101, INDIRECT(ADDRESS(row()+2, column(), 1)):INDIRECT(ADDRESS(row()-1+11, column(),1)))</f>
        <v>0</v>
      </c>
      <c r="AR4">
        <f>subtotal(101, INDIRECT(ADDRESS(row()+2, column(), 1)):INDIRECT(ADDRESS(row()-1+11, column(),1)))</f>
        <v>0</v>
      </c>
      <c r="AS4">
        <f>subtotal(101, INDIRECT(ADDRESS(row()+2, column(), 1)):INDIRECT(ADDRESS(row()-1+11, column(),1)))</f>
        <v>0</v>
      </c>
      <c r="AT4">
        <f>subtotal(101, INDIRECT(ADDRESS(row()+2, column(), 1)):INDIRECT(ADDRESS(row()-1+11, column(),1)))</f>
        <v>0</v>
      </c>
      <c r="AU4">
        <f>subtotal(101, INDIRECT(ADDRESS(row()+2, column(), 1)):INDIRECT(ADDRESS(row()-1+11, column(),1)))</f>
        <v>0</v>
      </c>
    </row>
    <row r="5" spans="1:47">
      <c r="A5" t="s">
        <v>0</v>
      </c>
      <c r="B5" t="s">
        <v>1</v>
      </c>
      <c r="C5" t="s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  <c r="AK5" t="s">
        <v>49</v>
      </c>
      <c r="AL5" t="s">
        <v>50</v>
      </c>
      <c r="AM5" t="s">
        <v>51</v>
      </c>
      <c r="AN5" t="s">
        <v>52</v>
      </c>
      <c r="AO5" t="s">
        <v>53</v>
      </c>
      <c r="AP5" t="s">
        <v>54</v>
      </c>
      <c r="AQ5" t="s">
        <v>55</v>
      </c>
      <c r="AR5" t="s">
        <v>56</v>
      </c>
      <c r="AS5" t="s">
        <v>57</v>
      </c>
      <c r="AT5" t="s">
        <v>58</v>
      </c>
    </row>
    <row r="6" spans="1:47">
      <c r="A6">
        <v>1625531790.2446</v>
      </c>
      <c r="B6">
        <v>1.014988161</v>
      </c>
      <c r="C6">
        <v>1.014988161</v>
      </c>
      <c r="D6">
        <v>1.015</v>
      </c>
      <c r="E6">
        <v>48566.33</v>
      </c>
      <c r="F6">
        <v>175673439250</v>
      </c>
      <c r="G6">
        <v>118290717026</v>
      </c>
      <c r="H6">
        <v>96401723949</v>
      </c>
      <c r="I6">
        <v>26625925102</v>
      </c>
      <c r="J6">
        <v>156284909076</v>
      </c>
      <c r="K6">
        <v>118584356376</v>
      </c>
      <c r="L6">
        <v>161.79</v>
      </c>
      <c r="M6">
        <v>9697939</v>
      </c>
      <c r="N6">
        <v>35991</v>
      </c>
      <c r="O6">
        <v>236917</v>
      </c>
      <c r="P6">
        <v>262217</v>
      </c>
      <c r="Q6">
        <v>0</v>
      </c>
      <c r="R6">
        <v>213961</v>
      </c>
      <c r="S6">
        <v>255283</v>
      </c>
      <c r="T6">
        <v>0</v>
      </c>
      <c r="U6">
        <v>1064988</v>
      </c>
      <c r="V6">
        <v>1052757</v>
      </c>
      <c r="W6">
        <v>57061</v>
      </c>
      <c r="X6">
        <v>9818</v>
      </c>
      <c r="Y6">
        <v>3606649</v>
      </c>
      <c r="Z6">
        <v>4868202044</v>
      </c>
      <c r="AA6">
        <v>89.9415</v>
      </c>
      <c r="AB6">
        <v>99.5048</v>
      </c>
      <c r="AC6">
        <v>2.39816</v>
      </c>
      <c r="AD6">
        <v>2.69953</v>
      </c>
      <c r="AE6">
        <v>5.58878E-05</v>
      </c>
      <c r="AF6">
        <v>0.000619073</v>
      </c>
      <c r="AG6">
        <v>367.351</v>
      </c>
      <c r="AH6">
        <v>153.181</v>
      </c>
      <c r="AI6">
        <v>17.2061</v>
      </c>
      <c r="AJ6">
        <v>0.061061</v>
      </c>
      <c r="AK6">
        <v>1.4851</v>
      </c>
      <c r="AL6">
        <v>0.673356</v>
      </c>
      <c r="AM6">
        <v>0.0148371</v>
      </c>
      <c r="AN6">
        <v>159.401</v>
      </c>
      <c r="AO6">
        <v>173.079</v>
      </c>
      <c r="AP6">
        <v>116.544</v>
      </c>
      <c r="AQ6">
        <v>2.96284</v>
      </c>
      <c r="AR6">
        <v>65.8961</v>
      </c>
      <c r="AS6">
        <v>11.2266</v>
      </c>
      <c r="AT6">
        <v>22.8773</v>
      </c>
    </row>
    <row r="7" spans="1:47">
      <c r="A7">
        <v>1625531791.247</v>
      </c>
      <c r="B7">
        <v>2.017398524</v>
      </c>
      <c r="C7">
        <v>2.017398524</v>
      </c>
      <c r="D7">
        <v>1.0024</v>
      </c>
      <c r="E7">
        <v>48110.62</v>
      </c>
      <c r="F7">
        <v>192904609068</v>
      </c>
      <c r="G7">
        <v>129891335933</v>
      </c>
      <c r="H7">
        <v>105837369032</v>
      </c>
      <c r="I7">
        <v>28971181420</v>
      </c>
      <c r="J7">
        <v>171458051580</v>
      </c>
      <c r="K7">
        <v>129893768780</v>
      </c>
      <c r="L7">
        <v>168.21</v>
      </c>
      <c r="M7">
        <v>12212316</v>
      </c>
      <c r="N7">
        <v>40300</v>
      </c>
      <c r="O7">
        <v>220319</v>
      </c>
      <c r="P7">
        <v>247828</v>
      </c>
      <c r="Q7">
        <v>0</v>
      </c>
      <c r="R7">
        <v>199780</v>
      </c>
      <c r="S7">
        <v>228650</v>
      </c>
      <c r="T7">
        <v>0</v>
      </c>
      <c r="U7">
        <v>1495584</v>
      </c>
      <c r="V7">
        <v>1496349</v>
      </c>
      <c r="W7">
        <v>77189</v>
      </c>
      <c r="X7">
        <v>14395</v>
      </c>
      <c r="Y7">
        <v>5489767</v>
      </c>
      <c r="Z7">
        <v>4811339746</v>
      </c>
      <c r="AA7">
        <v>99.9838</v>
      </c>
      <c r="AB7">
        <v>99.99630000000001</v>
      </c>
      <c r="AC7">
        <v>2.39989</v>
      </c>
      <c r="AD7">
        <v>2.7</v>
      </c>
      <c r="AE7">
        <v>7.462240000000001E-05</v>
      </c>
      <c r="AF7">
        <v>0.0009190650000000001</v>
      </c>
      <c r="AG7">
        <v>381.366</v>
      </c>
      <c r="AH7">
        <v>158.91</v>
      </c>
      <c r="AI7">
        <v>18.649</v>
      </c>
      <c r="AJ7">
        <v>0.057243</v>
      </c>
      <c r="AK7">
        <v>1.48512</v>
      </c>
      <c r="AL7">
        <v>0.673345</v>
      </c>
      <c r="AM7">
        <v>0.0212248</v>
      </c>
      <c r="AN7">
        <v>167.806</v>
      </c>
      <c r="AO7">
        <v>192.441</v>
      </c>
      <c r="AP7">
        <v>129.579</v>
      </c>
      <c r="AQ7">
        <v>2.97019</v>
      </c>
      <c r="AR7">
        <v>65.99930000000001</v>
      </c>
      <c r="AS7">
        <v>11.1519</v>
      </c>
      <c r="AT7">
        <v>22.8488</v>
      </c>
    </row>
    <row r="8" spans="1:47">
      <c r="A8">
        <v>1625531792.2492</v>
      </c>
      <c r="B8">
        <v>3.019572041</v>
      </c>
      <c r="C8">
        <v>3.019572041</v>
      </c>
      <c r="D8">
        <v>1.0022</v>
      </c>
      <c r="E8">
        <v>48103.17</v>
      </c>
      <c r="F8">
        <v>192754713377</v>
      </c>
      <c r="G8">
        <v>129877542709</v>
      </c>
      <c r="H8">
        <v>105826144524</v>
      </c>
      <c r="I8">
        <v>29006229893</v>
      </c>
      <c r="J8">
        <v>171321878082</v>
      </c>
      <c r="K8">
        <v>129877535025</v>
      </c>
      <c r="L8">
        <v>168.33</v>
      </c>
      <c r="M8">
        <v>10383796</v>
      </c>
      <c r="N8">
        <v>34089</v>
      </c>
      <c r="O8">
        <v>228901</v>
      </c>
      <c r="P8">
        <v>254699</v>
      </c>
      <c r="Q8">
        <v>0</v>
      </c>
      <c r="R8">
        <v>203645</v>
      </c>
      <c r="S8">
        <v>253548</v>
      </c>
      <c r="T8">
        <v>0</v>
      </c>
      <c r="U8">
        <v>1651707</v>
      </c>
      <c r="V8">
        <v>1633761</v>
      </c>
      <c r="W8">
        <v>72215</v>
      </c>
      <c r="X8">
        <v>13980</v>
      </c>
      <c r="Y8">
        <v>5448723</v>
      </c>
      <c r="Z8">
        <v>4810352342</v>
      </c>
      <c r="AA8">
        <v>99.99679999999999</v>
      </c>
      <c r="AB8">
        <v>100</v>
      </c>
      <c r="AC8">
        <v>2.39996</v>
      </c>
      <c r="AD8">
        <v>2.7</v>
      </c>
      <c r="AE8">
        <v>7.252740000000001E-05</v>
      </c>
      <c r="AF8">
        <v>0.00089278</v>
      </c>
      <c r="AG8">
        <v>389.751</v>
      </c>
      <c r="AH8">
        <v>162.399</v>
      </c>
      <c r="AI8">
        <v>19.3589</v>
      </c>
      <c r="AJ8">
        <v>0.0600802</v>
      </c>
      <c r="AK8">
        <v>1.48413</v>
      </c>
      <c r="AL8">
        <v>0.673797</v>
      </c>
      <c r="AM8">
        <v>0.0233127</v>
      </c>
      <c r="AN8">
        <v>167.965</v>
      </c>
      <c r="AO8">
        <v>192.337</v>
      </c>
      <c r="AP8">
        <v>129.596</v>
      </c>
      <c r="AQ8">
        <v>2.96825</v>
      </c>
      <c r="AR8">
        <v>65.9552</v>
      </c>
      <c r="AS8">
        <v>11.1668</v>
      </c>
      <c r="AT8">
        <v>22.878</v>
      </c>
    </row>
    <row r="9" spans="1:47">
      <c r="A9">
        <v>1625531793.2513</v>
      </c>
      <c r="B9">
        <v>4.021701431</v>
      </c>
      <c r="C9">
        <v>4.021701431</v>
      </c>
      <c r="D9">
        <v>1.0021</v>
      </c>
      <c r="E9">
        <v>48102.45</v>
      </c>
      <c r="F9">
        <v>192434658593</v>
      </c>
      <c r="G9">
        <v>129598502600</v>
      </c>
      <c r="H9">
        <v>105598777631</v>
      </c>
      <c r="I9">
        <v>28892962840</v>
      </c>
      <c r="J9">
        <v>171042211837</v>
      </c>
      <c r="K9">
        <v>129617178615</v>
      </c>
      <c r="L9">
        <v>166.04</v>
      </c>
      <c r="M9">
        <v>6961245</v>
      </c>
      <c r="N9">
        <v>20145</v>
      </c>
      <c r="O9">
        <v>159296</v>
      </c>
      <c r="P9">
        <v>187654</v>
      </c>
      <c r="Q9">
        <v>0</v>
      </c>
      <c r="R9">
        <v>139403</v>
      </c>
      <c r="S9">
        <v>163695</v>
      </c>
      <c r="T9">
        <v>0</v>
      </c>
      <c r="U9">
        <v>959103</v>
      </c>
      <c r="V9">
        <v>924264</v>
      </c>
      <c r="W9">
        <v>45882</v>
      </c>
      <c r="X9">
        <v>7172</v>
      </c>
      <c r="Y9">
        <v>2815475</v>
      </c>
      <c r="Z9">
        <v>4687581128</v>
      </c>
      <c r="AA9">
        <v>99.7864</v>
      </c>
      <c r="AB9">
        <v>99.9712</v>
      </c>
      <c r="AC9">
        <v>2.33881</v>
      </c>
      <c r="AD9">
        <v>2.7</v>
      </c>
      <c r="AE9">
        <v>3.72698E-05</v>
      </c>
      <c r="AF9">
        <v>0.000458033</v>
      </c>
      <c r="AG9">
        <v>392.565</v>
      </c>
      <c r="AH9">
        <v>167.848</v>
      </c>
      <c r="AI9">
        <v>15.6314</v>
      </c>
      <c r="AJ9">
        <v>0.0415147</v>
      </c>
      <c r="AK9">
        <v>1.48485</v>
      </c>
      <c r="AL9">
        <v>0.673468</v>
      </c>
      <c r="AM9">
        <v>0.0133644</v>
      </c>
      <c r="AN9">
        <v>165.687</v>
      </c>
      <c r="AO9">
        <v>192.026</v>
      </c>
      <c r="AP9">
        <v>129.323</v>
      </c>
      <c r="AQ9">
        <v>2.96928</v>
      </c>
      <c r="AR9">
        <v>65.9798</v>
      </c>
      <c r="AS9">
        <v>11.1455</v>
      </c>
      <c r="AT9">
        <v>22.8747</v>
      </c>
    </row>
    <row r="10" spans="1:47">
      <c r="A10">
        <v>1625531794.2534</v>
      </c>
      <c r="B10">
        <v>5.023827435</v>
      </c>
      <c r="C10">
        <v>5.023827435</v>
      </c>
      <c r="D10">
        <v>1.0021</v>
      </c>
      <c r="E10">
        <v>48101.75</v>
      </c>
      <c r="F10">
        <v>191845656888</v>
      </c>
      <c r="G10">
        <v>129640796682</v>
      </c>
      <c r="H10">
        <v>105633247571</v>
      </c>
      <c r="I10">
        <v>28915941533</v>
      </c>
      <c r="J10">
        <v>170511934921</v>
      </c>
      <c r="K10">
        <v>129656516313</v>
      </c>
      <c r="L10">
        <v>165.89</v>
      </c>
      <c r="M10">
        <v>4232429</v>
      </c>
      <c r="N10">
        <v>12246</v>
      </c>
      <c r="O10">
        <v>142634</v>
      </c>
      <c r="P10">
        <v>167619</v>
      </c>
      <c r="Q10">
        <v>0</v>
      </c>
      <c r="R10">
        <v>132902</v>
      </c>
      <c r="S10">
        <v>154000</v>
      </c>
      <c r="T10">
        <v>0</v>
      </c>
      <c r="U10">
        <v>877122</v>
      </c>
      <c r="V10">
        <v>860472</v>
      </c>
      <c r="W10">
        <v>37246</v>
      </c>
      <c r="X10">
        <v>5185</v>
      </c>
      <c r="Y10">
        <v>2014107</v>
      </c>
      <c r="Z10">
        <v>4691451754</v>
      </c>
      <c r="AA10">
        <v>99.8193</v>
      </c>
      <c r="AB10">
        <v>99.97580000000001</v>
      </c>
      <c r="AC10">
        <v>2.34075</v>
      </c>
      <c r="AD10">
        <v>2.7</v>
      </c>
      <c r="AE10">
        <v>2.70269E-05</v>
      </c>
      <c r="AF10">
        <v>0.000331136</v>
      </c>
      <c r="AG10">
        <v>388.449</v>
      </c>
      <c r="AH10">
        <v>165.951</v>
      </c>
      <c r="AI10">
        <v>13.921</v>
      </c>
      <c r="AJ10">
        <v>0.0381368</v>
      </c>
      <c r="AK10">
        <v>1.47982</v>
      </c>
      <c r="AL10">
        <v>0.675756</v>
      </c>
      <c r="AM10">
        <v>0.01233</v>
      </c>
      <c r="AN10">
        <v>165.538</v>
      </c>
      <c r="AO10">
        <v>191.439</v>
      </c>
      <c r="AP10">
        <v>129.366</v>
      </c>
      <c r="AQ10">
        <v>2.95929</v>
      </c>
      <c r="AR10">
        <v>65.75530000000001</v>
      </c>
      <c r="AS10">
        <v>11.151</v>
      </c>
      <c r="AT10">
        <v>23.0937</v>
      </c>
    </row>
    <row r="11" spans="1:47">
      <c r="A11">
        <v>1625531795.2553</v>
      </c>
      <c r="B11">
        <v>6.025717051</v>
      </c>
      <c r="C11">
        <v>6.025717051</v>
      </c>
      <c r="D11">
        <v>1.0019</v>
      </c>
      <c r="E11">
        <v>48091.1</v>
      </c>
      <c r="F11">
        <v>192057798687</v>
      </c>
      <c r="G11">
        <v>129615763783</v>
      </c>
      <c r="H11">
        <v>105612842012</v>
      </c>
      <c r="I11">
        <v>28972981717</v>
      </c>
      <c r="J11">
        <v>170703601147</v>
      </c>
      <c r="K11">
        <v>129631217755</v>
      </c>
      <c r="L11">
        <v>165.91</v>
      </c>
      <c r="M11">
        <v>5584815</v>
      </c>
      <c r="N11">
        <v>15778</v>
      </c>
      <c r="O11">
        <v>160772</v>
      </c>
      <c r="P11">
        <v>195615</v>
      </c>
      <c r="Q11">
        <v>0</v>
      </c>
      <c r="R11">
        <v>142979</v>
      </c>
      <c r="S11">
        <v>175485</v>
      </c>
      <c r="T11">
        <v>0</v>
      </c>
      <c r="U11">
        <v>1059030</v>
      </c>
      <c r="V11">
        <v>1032840</v>
      </c>
      <c r="W11">
        <v>40070</v>
      </c>
      <c r="X11">
        <v>6539</v>
      </c>
      <c r="Y11">
        <v>2694925</v>
      </c>
      <c r="Z11">
        <v>4690417862</v>
      </c>
      <c r="AA11">
        <v>99.8235</v>
      </c>
      <c r="AB11">
        <v>99.97620000000001</v>
      </c>
      <c r="AC11">
        <v>2.34079</v>
      </c>
      <c r="AD11">
        <v>2.7</v>
      </c>
      <c r="AE11">
        <v>3.4047E-05</v>
      </c>
      <c r="AF11">
        <v>0.000417707</v>
      </c>
      <c r="AG11">
        <v>412.131</v>
      </c>
      <c r="AH11">
        <v>176.065</v>
      </c>
      <c r="AI11">
        <v>16.3189</v>
      </c>
      <c r="AJ11">
        <v>0.043109</v>
      </c>
      <c r="AK11">
        <v>1.48175</v>
      </c>
      <c r="AL11">
        <v>0.674879</v>
      </c>
      <c r="AM11">
        <v>0.0148475</v>
      </c>
      <c r="AN11">
        <v>165.597</v>
      </c>
      <c r="AO11">
        <v>191.696</v>
      </c>
      <c r="AP11">
        <v>129.371</v>
      </c>
      <c r="AQ11">
        <v>2.96314</v>
      </c>
      <c r="AR11">
        <v>65.842</v>
      </c>
      <c r="AS11">
        <v>11.1752</v>
      </c>
      <c r="AT11">
        <v>22.9828</v>
      </c>
    </row>
    <row r="12" spans="1:47">
      <c r="A12">
        <v>1625531796.2574</v>
      </c>
      <c r="B12">
        <v>7.027829265</v>
      </c>
      <c r="C12">
        <v>7.027829265</v>
      </c>
      <c r="D12">
        <v>1.0021</v>
      </c>
      <c r="E12">
        <v>48102.22</v>
      </c>
      <c r="F12">
        <v>191755587870</v>
      </c>
      <c r="G12">
        <v>129588009287</v>
      </c>
      <c r="H12">
        <v>105590230799</v>
      </c>
      <c r="I12">
        <v>28892947292</v>
      </c>
      <c r="J12">
        <v>170437812793</v>
      </c>
      <c r="K12">
        <v>129607358338</v>
      </c>
      <c r="L12">
        <v>165.95</v>
      </c>
      <c r="M12">
        <v>7019886</v>
      </c>
      <c r="N12">
        <v>19998</v>
      </c>
      <c r="O12">
        <v>174692</v>
      </c>
      <c r="P12">
        <v>214360</v>
      </c>
      <c r="Q12">
        <v>0</v>
      </c>
      <c r="R12">
        <v>150549</v>
      </c>
      <c r="S12">
        <v>190426</v>
      </c>
      <c r="T12">
        <v>0</v>
      </c>
      <c r="U12">
        <v>1097802</v>
      </c>
      <c r="V12">
        <v>1058688</v>
      </c>
      <c r="W12">
        <v>42703</v>
      </c>
      <c r="X12">
        <v>7586</v>
      </c>
      <c r="Y12">
        <v>3143672</v>
      </c>
      <c r="Z12">
        <v>4687646298</v>
      </c>
      <c r="AA12">
        <v>99.78</v>
      </c>
      <c r="AB12">
        <v>99.9701</v>
      </c>
      <c r="AC12">
        <v>2.33888</v>
      </c>
      <c r="AD12">
        <v>2.7</v>
      </c>
      <c r="AE12">
        <v>3.95608E-05</v>
      </c>
      <c r="AF12">
        <v>0.000484481</v>
      </c>
      <c r="AG12">
        <v>414.404</v>
      </c>
      <c r="AH12">
        <v>177.18</v>
      </c>
      <c r="AI12">
        <v>17.7646</v>
      </c>
      <c r="AJ12">
        <v>0.0466232</v>
      </c>
      <c r="AK12">
        <v>1.47973</v>
      </c>
      <c r="AL12">
        <v>0.675798</v>
      </c>
      <c r="AM12">
        <v>0.0153027</v>
      </c>
      <c r="AN12">
        <v>165.6</v>
      </c>
      <c r="AO12">
        <v>191.351</v>
      </c>
      <c r="AP12">
        <v>129.315</v>
      </c>
      <c r="AQ12">
        <v>2.95902</v>
      </c>
      <c r="AR12">
        <v>65.7516</v>
      </c>
      <c r="AS12">
        <v>11.1463</v>
      </c>
      <c r="AT12">
        <v>23.1021</v>
      </c>
    </row>
    <row r="13" spans="1:47">
      <c r="A13">
        <v>1625531797.2593</v>
      </c>
      <c r="B13">
        <v>8.029717757</v>
      </c>
      <c r="C13">
        <v>8.029717757</v>
      </c>
      <c r="D13">
        <v>1.0019</v>
      </c>
      <c r="E13">
        <v>48089.92</v>
      </c>
      <c r="F13">
        <v>191891817054</v>
      </c>
      <c r="G13">
        <v>129576194201</v>
      </c>
      <c r="H13">
        <v>105580600726</v>
      </c>
      <c r="I13">
        <v>28884619711</v>
      </c>
      <c r="J13">
        <v>170553335594</v>
      </c>
      <c r="K13">
        <v>129594112896</v>
      </c>
      <c r="L13">
        <v>165.91</v>
      </c>
      <c r="M13">
        <v>4480272</v>
      </c>
      <c r="N13">
        <v>12686</v>
      </c>
      <c r="O13">
        <v>159686</v>
      </c>
      <c r="P13">
        <v>189680</v>
      </c>
      <c r="Q13">
        <v>0</v>
      </c>
      <c r="R13">
        <v>145976</v>
      </c>
      <c r="S13">
        <v>175864</v>
      </c>
      <c r="T13">
        <v>0</v>
      </c>
      <c r="U13">
        <v>1025253</v>
      </c>
      <c r="V13">
        <v>1005786</v>
      </c>
      <c r="W13">
        <v>39923</v>
      </c>
      <c r="X13">
        <v>6084</v>
      </c>
      <c r="Y13">
        <v>2561781</v>
      </c>
      <c r="Z13">
        <v>4688328574</v>
      </c>
      <c r="AA13">
        <v>99.7932</v>
      </c>
      <c r="AB13">
        <v>99.9723</v>
      </c>
      <c r="AC13">
        <v>2.33975</v>
      </c>
      <c r="AD13">
        <v>2.7</v>
      </c>
      <c r="AE13">
        <v>3.17054E-05</v>
      </c>
      <c r="AF13">
        <v>0.000388642</v>
      </c>
      <c r="AG13">
        <v>421.069</v>
      </c>
      <c r="AH13">
        <v>179.964</v>
      </c>
      <c r="AI13">
        <v>15.2393</v>
      </c>
      <c r="AJ13">
        <v>0.0428762</v>
      </c>
      <c r="AK13">
        <v>1.48092</v>
      </c>
      <c r="AL13">
        <v>0.675256</v>
      </c>
      <c r="AM13">
        <v>0.0144157</v>
      </c>
      <c r="AN13">
        <v>165.597</v>
      </c>
      <c r="AO13">
        <v>191.53</v>
      </c>
      <c r="AP13">
        <v>129.332</v>
      </c>
      <c r="AQ13">
        <v>2.96143</v>
      </c>
      <c r="AR13">
        <v>65.80289999999999</v>
      </c>
      <c r="AS13">
        <v>11.1443</v>
      </c>
      <c r="AT13">
        <v>23.0528</v>
      </c>
    </row>
    <row r="14" spans="1:47">
      <c r="A14">
        <v>1625531798.2614</v>
      </c>
      <c r="B14">
        <v>9.031804699</v>
      </c>
      <c r="C14">
        <v>9.031804699</v>
      </c>
      <c r="D14">
        <v>1.0021</v>
      </c>
      <c r="E14">
        <v>48101.01</v>
      </c>
      <c r="F14">
        <v>192321469480</v>
      </c>
      <c r="G14">
        <v>129595660370</v>
      </c>
      <c r="H14">
        <v>105596461474</v>
      </c>
      <c r="I14">
        <v>28940528366</v>
      </c>
      <c r="J14">
        <v>170934550528</v>
      </c>
      <c r="K14">
        <v>129614281162</v>
      </c>
      <c r="L14">
        <v>165.91</v>
      </c>
      <c r="M14">
        <v>5311371</v>
      </c>
      <c r="N14">
        <v>15462</v>
      </c>
      <c r="O14">
        <v>166218</v>
      </c>
      <c r="P14">
        <v>205156</v>
      </c>
      <c r="Q14">
        <v>0</v>
      </c>
      <c r="R14">
        <v>151910</v>
      </c>
      <c r="S14">
        <v>187302</v>
      </c>
      <c r="T14">
        <v>0</v>
      </c>
      <c r="U14">
        <v>1033254</v>
      </c>
      <c r="V14">
        <v>1011168</v>
      </c>
      <c r="W14">
        <v>41026</v>
      </c>
      <c r="X14">
        <v>5912</v>
      </c>
      <c r="Y14">
        <v>2341936</v>
      </c>
      <c r="Z14">
        <v>4686711552</v>
      </c>
      <c r="AA14">
        <v>99.7884</v>
      </c>
      <c r="AB14">
        <v>99.9713</v>
      </c>
      <c r="AC14">
        <v>2.33848</v>
      </c>
      <c r="AD14">
        <v>2.7</v>
      </c>
      <c r="AE14">
        <v>3.07402E-05</v>
      </c>
      <c r="AF14">
        <v>0.00037758</v>
      </c>
      <c r="AG14">
        <v>396.133</v>
      </c>
      <c r="AH14">
        <v>169.398</v>
      </c>
      <c r="AI14">
        <v>14.4104</v>
      </c>
      <c r="AJ14">
        <v>0.0453828</v>
      </c>
      <c r="AK14">
        <v>1.48401</v>
      </c>
      <c r="AL14">
        <v>0.673849</v>
      </c>
      <c r="AM14">
        <v>0.0145078</v>
      </c>
      <c r="AN14">
        <v>165.564</v>
      </c>
      <c r="AO14">
        <v>191.921</v>
      </c>
      <c r="AP14">
        <v>129.326</v>
      </c>
      <c r="AQ14">
        <v>2.9676</v>
      </c>
      <c r="AR14">
        <v>65.9397</v>
      </c>
      <c r="AS14">
        <v>11.1641</v>
      </c>
      <c r="AT14">
        <v>22.8962</v>
      </c>
    </row>
    <row r="15" spans="1:47">
      <c r="A15">
        <v>1625531799.2633</v>
      </c>
      <c r="B15">
        <v>10.03371906</v>
      </c>
      <c r="C15">
        <v>10.03371906</v>
      </c>
      <c r="D15">
        <v>1.0019</v>
      </c>
      <c r="E15">
        <v>48091.7</v>
      </c>
      <c r="F15">
        <v>191609175670</v>
      </c>
      <c r="G15">
        <v>129568311979</v>
      </c>
      <c r="H15">
        <v>105574181395</v>
      </c>
      <c r="I15">
        <v>28948341667</v>
      </c>
      <c r="J15">
        <v>170301877629</v>
      </c>
      <c r="K15">
        <v>129587072385</v>
      </c>
      <c r="L15">
        <v>165.89</v>
      </c>
      <c r="M15">
        <v>4390803</v>
      </c>
      <c r="N15">
        <v>12435</v>
      </c>
      <c r="O15">
        <v>144759</v>
      </c>
      <c r="P15">
        <v>179632</v>
      </c>
      <c r="Q15">
        <v>0</v>
      </c>
      <c r="R15">
        <v>135355</v>
      </c>
      <c r="S15">
        <v>165048</v>
      </c>
      <c r="T15">
        <v>0</v>
      </c>
      <c r="U15">
        <v>900162</v>
      </c>
      <c r="V15">
        <v>880560</v>
      </c>
      <c r="W15">
        <v>40073</v>
      </c>
      <c r="X15">
        <v>5492</v>
      </c>
      <c r="Y15">
        <v>2176222</v>
      </c>
      <c r="Z15">
        <v>4687230516</v>
      </c>
      <c r="AA15">
        <v>99.78449999999999</v>
      </c>
      <c r="AB15">
        <v>99.971</v>
      </c>
      <c r="AC15">
        <v>2.33914</v>
      </c>
      <c r="AD15">
        <v>2.7</v>
      </c>
      <c r="AE15">
        <v>2.86625E-05</v>
      </c>
      <c r="AF15">
        <v>0.000350816</v>
      </c>
      <c r="AG15">
        <v>396.253</v>
      </c>
      <c r="AH15">
        <v>169.401</v>
      </c>
      <c r="AI15">
        <v>13.705</v>
      </c>
      <c r="AJ15">
        <v>0.0399104</v>
      </c>
      <c r="AK15">
        <v>1.47883</v>
      </c>
      <c r="AL15">
        <v>0.676211</v>
      </c>
      <c r="AM15">
        <v>0.0126387</v>
      </c>
      <c r="AN15">
        <v>165.573</v>
      </c>
      <c r="AO15">
        <v>191.243</v>
      </c>
      <c r="AP15">
        <v>129.321</v>
      </c>
      <c r="AQ15">
        <v>2.95723</v>
      </c>
      <c r="AR15">
        <v>65.7094</v>
      </c>
      <c r="AS15">
        <v>11.1695</v>
      </c>
      <c r="AT15">
        <v>23.1211</v>
      </c>
    </row>
    <row r="16" spans="1:47">
      <c r="A16">
        <v>1625531799.3359</v>
      </c>
      <c r="B16">
        <v>10.106322756</v>
      </c>
      <c r="C16">
        <v>10.106322756</v>
      </c>
      <c r="D16">
        <v>0.0726</v>
      </c>
      <c r="E16">
        <v>3484.24</v>
      </c>
      <c r="F16">
        <v>13667139951</v>
      </c>
      <c r="G16">
        <v>9151713541</v>
      </c>
      <c r="H16">
        <v>7456935376</v>
      </c>
      <c r="I16">
        <v>2061689524</v>
      </c>
      <c r="J16">
        <v>12150826772</v>
      </c>
      <c r="K16">
        <v>9169772590</v>
      </c>
      <c r="L16">
        <v>11.98</v>
      </c>
      <c r="M16">
        <v>4916263</v>
      </c>
      <c r="N16">
        <v>16420</v>
      </c>
      <c r="O16">
        <v>48260</v>
      </c>
      <c r="P16">
        <v>53870</v>
      </c>
      <c r="Q16">
        <v>0</v>
      </c>
      <c r="R16">
        <v>45339</v>
      </c>
      <c r="S16">
        <v>49397</v>
      </c>
      <c r="T16">
        <v>0</v>
      </c>
      <c r="U16">
        <v>283806</v>
      </c>
      <c r="V16">
        <v>279468</v>
      </c>
      <c r="W16">
        <v>13695</v>
      </c>
      <c r="X16">
        <v>2919</v>
      </c>
      <c r="Y16">
        <v>1097795</v>
      </c>
      <c r="Z16">
        <v>338444940</v>
      </c>
      <c r="AA16">
        <v>97.2608</v>
      </c>
      <c r="AB16">
        <v>99.6061</v>
      </c>
      <c r="AC16">
        <v>2.33077</v>
      </c>
      <c r="AD16">
        <v>2.70001</v>
      </c>
      <c r="AE16">
        <v>0.000213578</v>
      </c>
      <c r="AF16">
        <v>0.00257309</v>
      </c>
      <c r="AG16">
        <v>376.086</v>
      </c>
      <c r="AH16">
        <v>161.357</v>
      </c>
      <c r="AI16">
        <v>21.3143</v>
      </c>
      <c r="AJ16">
        <v>0.173537</v>
      </c>
      <c r="AK16">
        <v>1.4934</v>
      </c>
      <c r="AL16">
        <v>0.669614</v>
      </c>
      <c r="AM16">
        <v>0.0551694</v>
      </c>
      <c r="AN16">
        <v>165.005</v>
      </c>
      <c r="AO16">
        <v>188.243</v>
      </c>
      <c r="AP16">
        <v>126.05</v>
      </c>
      <c r="AQ16">
        <v>2.98091</v>
      </c>
      <c r="AR16">
        <v>66.2548</v>
      </c>
      <c r="AS16">
        <v>11.2418</v>
      </c>
      <c r="AT16">
        <v>22.5034</v>
      </c>
    </row>
    <row r="18" spans="1:16">
      <c r="A18" t="s">
        <v>7</v>
      </c>
      <c r="B18" t="s">
        <v>59</v>
      </c>
      <c r="C18" t="s">
        <v>9</v>
      </c>
      <c r="D18" t="s">
        <v>8</v>
      </c>
      <c r="E18" t="s">
        <v>10</v>
      </c>
      <c r="F18" t="s">
        <v>60</v>
      </c>
    </row>
    <row r="19" spans="1:16">
      <c r="A19" t="s">
        <v>12</v>
      </c>
      <c r="B19" t="s">
        <v>13</v>
      </c>
      <c r="C19" t="s">
        <v>13</v>
      </c>
      <c r="D19" t="s">
        <v>14</v>
      </c>
      <c r="E19" t="s">
        <v>15</v>
      </c>
      <c r="F19" t="s">
        <v>6</v>
      </c>
      <c r="G19" t="s">
        <v>61</v>
      </c>
      <c r="H19" t="s">
        <v>61</v>
      </c>
      <c r="I19" t="s">
        <v>15</v>
      </c>
      <c r="J19" t="s">
        <v>15</v>
      </c>
      <c r="K19" t="s">
        <v>62</v>
      </c>
      <c r="L19" t="s">
        <v>62</v>
      </c>
    </row>
    <row r="21" spans="1:16">
      <c r="A21" t="s">
        <v>7</v>
      </c>
      <c r="B21" t="s">
        <v>63</v>
      </c>
      <c r="C21" t="s">
        <v>9</v>
      </c>
      <c r="D21" t="s">
        <v>8</v>
      </c>
      <c r="E21" t="s">
        <v>10</v>
      </c>
      <c r="F21" t="s">
        <v>11</v>
      </c>
    </row>
    <row r="22" spans="1:16">
      <c r="A22" t="s">
        <v>12</v>
      </c>
      <c r="B22" t="s">
        <v>13</v>
      </c>
      <c r="C22" t="s">
        <v>13</v>
      </c>
      <c r="D22" t="s">
        <v>14</v>
      </c>
      <c r="E22" t="s">
        <v>15</v>
      </c>
      <c r="F22" t="s">
        <v>6</v>
      </c>
      <c r="G22" t="s">
        <v>64</v>
      </c>
      <c r="H22" t="s">
        <v>64</v>
      </c>
      <c r="I22" t="s">
        <v>65</v>
      </c>
      <c r="J22" t="s">
        <v>65</v>
      </c>
      <c r="K22" t="s">
        <v>62</v>
      </c>
      <c r="L22" t="s">
        <v>62</v>
      </c>
      <c r="M22" t="s">
        <v>61</v>
      </c>
      <c r="N22" t="s">
        <v>61</v>
      </c>
      <c r="O22" t="s">
        <v>15</v>
      </c>
      <c r="P22" t="s">
        <v>15</v>
      </c>
    </row>
    <row r="24" spans="1:16">
      <c r="A24" t="s">
        <v>7</v>
      </c>
      <c r="B24" t="s">
        <v>66</v>
      </c>
      <c r="C24" t="s">
        <v>9</v>
      </c>
      <c r="D24" t="s">
        <v>8</v>
      </c>
      <c r="E24" t="s">
        <v>10</v>
      </c>
      <c r="F24" t="s">
        <v>11</v>
      </c>
    </row>
    <row r="25" spans="1:16">
      <c r="A25" t="s">
        <v>12</v>
      </c>
      <c r="B25" t="s">
        <v>13</v>
      </c>
      <c r="C25" t="s">
        <v>13</v>
      </c>
      <c r="D25" t="s">
        <v>14</v>
      </c>
      <c r="E25" t="s">
        <v>15</v>
      </c>
      <c r="F25" t="s">
        <v>6</v>
      </c>
      <c r="G25" t="s">
        <v>67</v>
      </c>
      <c r="H25" t="s">
        <v>67</v>
      </c>
      <c r="I25" t="s">
        <v>68</v>
      </c>
      <c r="J25" t="s">
        <v>68</v>
      </c>
      <c r="K25" t="s">
        <v>69</v>
      </c>
      <c r="L25" t="s">
        <v>69</v>
      </c>
    </row>
    <row r="27" spans="1:16">
      <c r="A27" t="s">
        <v>7</v>
      </c>
      <c r="B27" t="s">
        <v>70</v>
      </c>
      <c r="C27" t="s">
        <v>9</v>
      </c>
      <c r="D27" t="s">
        <v>8</v>
      </c>
      <c r="E27" t="s">
        <v>10</v>
      </c>
      <c r="F27" t="s">
        <v>11</v>
      </c>
    </row>
    <row r="28" spans="1:16">
      <c r="A28" t="s">
        <v>12</v>
      </c>
      <c r="B28" t="s">
        <v>13</v>
      </c>
      <c r="C28" t="s">
        <v>13</v>
      </c>
      <c r="D28" t="s">
        <v>14</v>
      </c>
      <c r="E28" t="s">
        <v>15</v>
      </c>
      <c r="F28" t="s">
        <v>6</v>
      </c>
      <c r="G28" t="s">
        <v>71</v>
      </c>
      <c r="H28" t="s">
        <v>71</v>
      </c>
      <c r="I28" t="s">
        <v>72</v>
      </c>
      <c r="J28" t="s">
        <v>72</v>
      </c>
      <c r="K28" t="s">
        <v>73</v>
      </c>
      <c r="L28" t="s">
        <v>73</v>
      </c>
      <c r="M28" t="s">
        <v>74</v>
      </c>
      <c r="N28" t="s">
        <v>74</v>
      </c>
    </row>
    <row r="30" spans="1:16">
      <c r="A30" t="s">
        <v>7</v>
      </c>
      <c r="B30" t="s">
        <v>75</v>
      </c>
      <c r="C30" t="s">
        <v>9</v>
      </c>
      <c r="D30" t="s">
        <v>8</v>
      </c>
      <c r="E30" t="s">
        <v>10</v>
      </c>
      <c r="F30" t="s">
        <v>11</v>
      </c>
    </row>
    <row r="31" spans="1:16">
      <c r="A31" t="s">
        <v>12</v>
      </c>
      <c r="B31" t="s">
        <v>13</v>
      </c>
      <c r="C31" t="s">
        <v>13</v>
      </c>
      <c r="D31" t="s">
        <v>14</v>
      </c>
      <c r="E31" t="s">
        <v>15</v>
      </c>
      <c r="F31" t="s">
        <v>6</v>
      </c>
      <c r="G31" t="s">
        <v>64</v>
      </c>
      <c r="H31" t="s">
        <v>64</v>
      </c>
      <c r="I31" t="s">
        <v>76</v>
      </c>
      <c r="J31" t="s">
        <v>76</v>
      </c>
      <c r="K31" t="s">
        <v>77</v>
      </c>
      <c r="L31" t="s">
        <v>77</v>
      </c>
    </row>
    <row r="33" spans="1:10">
      <c r="A33" t="s">
        <v>7</v>
      </c>
      <c r="B33" t="s">
        <v>78</v>
      </c>
      <c r="C33" t="s">
        <v>9</v>
      </c>
      <c r="D33" t="s">
        <v>8</v>
      </c>
      <c r="E33" t="s">
        <v>10</v>
      </c>
      <c r="F33" t="s">
        <v>11</v>
      </c>
    </row>
    <row r="34" spans="1:10">
      <c r="A34" t="s">
        <v>12</v>
      </c>
      <c r="B34" t="s">
        <v>13</v>
      </c>
      <c r="C34" t="s">
        <v>13</v>
      </c>
      <c r="D34" t="s">
        <v>14</v>
      </c>
      <c r="E34" t="s">
        <v>15</v>
      </c>
      <c r="F34" t="s">
        <v>6</v>
      </c>
      <c r="G34" t="s">
        <v>79</v>
      </c>
      <c r="H34" t="s">
        <v>79</v>
      </c>
      <c r="I34" t="s">
        <v>80</v>
      </c>
      <c r="J34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34"/>
  <sheetViews>
    <sheetView workbookViewId="0"/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5</v>
      </c>
      <c r="X1" t="s">
        <v>5</v>
      </c>
      <c r="Y1" t="s">
        <v>5</v>
      </c>
      <c r="Z1" t="s">
        <v>5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</row>
    <row r="2" spans="1:47">
      <c r="A2" t="s">
        <v>7</v>
      </c>
      <c r="B2" t="s">
        <v>8</v>
      </c>
      <c r="C2" t="s">
        <v>9</v>
      </c>
      <c r="D2" t="s">
        <v>8</v>
      </c>
      <c r="E2" t="s">
        <v>10</v>
      </c>
      <c r="F2" t="s">
        <v>11</v>
      </c>
    </row>
    <row r="3" spans="1:47">
      <c r="A3" t="s">
        <v>12</v>
      </c>
      <c r="B3" t="s">
        <v>13</v>
      </c>
      <c r="C3" t="s">
        <v>13</v>
      </c>
      <c r="D3" t="s">
        <v>14</v>
      </c>
      <c r="E3" t="s">
        <v>15</v>
      </c>
      <c r="F3" t="s">
        <v>6</v>
      </c>
    </row>
    <row r="4" spans="1:47">
      <c r="E4">
        <f>subtotal(101, INDIRECT(ADDRESS(row()+2, column(), 1)):INDIRECT(ADDRESS(row()-1+11, column(),1)))</f>
        <v>0</v>
      </c>
      <c r="F4">
        <f>subtotal(101, INDIRECT(ADDRESS(row()+2, column(), 1)):INDIRECT(ADDRESS(row()-1+11, column(),1)))</f>
        <v>0</v>
      </c>
      <c r="G4">
        <f>subtotal(101, INDIRECT(ADDRESS(row()+2, column(), 1)):INDIRECT(ADDRESS(row()-1+11, column(),1)))</f>
        <v>0</v>
      </c>
      <c r="H4">
        <f>subtotal(101, INDIRECT(ADDRESS(row()+2, column(), 1)):INDIRECT(ADDRESS(row()-1+11, column(),1)))</f>
        <v>0</v>
      </c>
      <c r="I4">
        <f>subtotal(101, INDIRECT(ADDRESS(row()+2, column(), 1)):INDIRECT(ADDRESS(row()-1+11, column(),1)))</f>
        <v>0</v>
      </c>
      <c r="J4">
        <f>subtotal(101, INDIRECT(ADDRESS(row()+2, column(), 1)):INDIRECT(ADDRESS(row()-1+11, column(),1)))</f>
        <v>0</v>
      </c>
      <c r="K4">
        <f>subtotal(101, INDIRECT(ADDRESS(row()+2, column(), 1)):INDIRECT(ADDRESS(row()-1+11, column(),1)))</f>
        <v>0</v>
      </c>
      <c r="L4">
        <f>subtotal(101, INDIRECT(ADDRESS(row()+2, column(), 1)):INDIRECT(ADDRESS(row()-1+11, column(),1)))</f>
        <v>0</v>
      </c>
      <c r="M4">
        <f>subtotal(101, INDIRECT(ADDRESS(row()+2, column(), 1)):INDIRECT(ADDRESS(row()-1+11, column(),1)))</f>
        <v>0</v>
      </c>
      <c r="N4">
        <f>subtotal(101, INDIRECT(ADDRESS(row()+2, column(), 1)):INDIRECT(ADDRESS(row()-1+11, column(),1)))</f>
        <v>0</v>
      </c>
      <c r="O4">
        <f>subtotal(101, INDIRECT(ADDRESS(row()+2, column(), 1)):INDIRECT(ADDRESS(row()-1+11, column(),1)))</f>
        <v>0</v>
      </c>
      <c r="P4">
        <f>subtotal(101, INDIRECT(ADDRESS(row()+2, column(), 1)):INDIRECT(ADDRESS(row()-1+11, column(),1)))</f>
        <v>0</v>
      </c>
      <c r="Q4">
        <f>subtotal(101, INDIRECT(ADDRESS(row()+2, column(), 1)):INDIRECT(ADDRESS(row()-1+11, column(),1)))</f>
        <v>0</v>
      </c>
      <c r="R4">
        <f>subtotal(101, INDIRECT(ADDRESS(row()+2, column(), 1)):INDIRECT(ADDRESS(row()-1+11, column(),1)))</f>
        <v>0</v>
      </c>
      <c r="S4">
        <f>subtotal(101, INDIRECT(ADDRESS(row()+2, column(), 1)):INDIRECT(ADDRESS(row()-1+11, column(),1)))</f>
        <v>0</v>
      </c>
      <c r="T4">
        <f>subtotal(101, INDIRECT(ADDRESS(row()+2, column(), 1)):INDIRECT(ADDRESS(row()-1+11, column(),1)))</f>
        <v>0</v>
      </c>
      <c r="U4">
        <f>subtotal(101, INDIRECT(ADDRESS(row()+2, column(), 1)):INDIRECT(ADDRESS(row()-1+11, column(),1)))</f>
        <v>0</v>
      </c>
      <c r="V4">
        <f>subtotal(101, INDIRECT(ADDRESS(row()+2, column(), 1)):INDIRECT(ADDRESS(row()-1+11, column(),1)))</f>
        <v>0</v>
      </c>
      <c r="W4">
        <f>subtotal(101, INDIRECT(ADDRESS(row()+2, column(), 1)):INDIRECT(ADDRESS(row()-1+11, column(),1)))</f>
        <v>0</v>
      </c>
      <c r="X4">
        <f>subtotal(101, INDIRECT(ADDRESS(row()+2, column(), 1)):INDIRECT(ADDRESS(row()-1+11, column(),1)))</f>
        <v>0</v>
      </c>
      <c r="Y4">
        <f>subtotal(101, INDIRECT(ADDRESS(row()+2, column(), 1)):INDIRECT(ADDRESS(row()-1+11, column(),1)))</f>
        <v>0</v>
      </c>
      <c r="Z4">
        <f>subtotal(101, INDIRECT(ADDRESS(row()+2, column(), 1)):INDIRECT(ADDRESS(row()-1+11, column(),1)))</f>
        <v>0</v>
      </c>
      <c r="AA4">
        <f>subtotal(101, INDIRECT(ADDRESS(row()+2, column(), 1)):INDIRECT(ADDRESS(row()-1+11, column(),1)))</f>
        <v>0</v>
      </c>
      <c r="AB4">
        <f>subtotal(101, INDIRECT(ADDRESS(row()+2, column(), 1)):INDIRECT(ADDRESS(row()-1+11, column(),1)))</f>
        <v>0</v>
      </c>
      <c r="AC4">
        <f>subtotal(101, INDIRECT(ADDRESS(row()+2, column(), 1)):INDIRECT(ADDRESS(row()-1+11, column(),1)))</f>
        <v>0</v>
      </c>
      <c r="AD4">
        <f>subtotal(101, INDIRECT(ADDRESS(row()+2, column(), 1)):INDIRECT(ADDRESS(row()-1+11, column(),1)))</f>
        <v>0</v>
      </c>
      <c r="AE4">
        <f>subtotal(101, INDIRECT(ADDRESS(row()+2, column(), 1)):INDIRECT(ADDRESS(row()-1+11, column(),1)))</f>
        <v>0</v>
      </c>
      <c r="AF4">
        <f>subtotal(101, INDIRECT(ADDRESS(row()+2, column(), 1)):INDIRECT(ADDRESS(row()-1+11, column(),1)))</f>
        <v>0</v>
      </c>
      <c r="AG4">
        <f>subtotal(101, INDIRECT(ADDRESS(row()+2, column(), 1)):INDIRECT(ADDRESS(row()-1+11, column(),1)))</f>
        <v>0</v>
      </c>
      <c r="AH4">
        <f>subtotal(101, INDIRECT(ADDRESS(row()+2, column(), 1)):INDIRECT(ADDRESS(row()-1+11, column(),1)))</f>
        <v>0</v>
      </c>
      <c r="AI4">
        <f>subtotal(101, INDIRECT(ADDRESS(row()+2, column(), 1)):INDIRECT(ADDRESS(row()-1+11, column(),1)))</f>
        <v>0</v>
      </c>
      <c r="AJ4">
        <f>subtotal(101, INDIRECT(ADDRESS(row()+2, column(), 1)):INDIRECT(ADDRESS(row()-1+11, column(),1)))</f>
        <v>0</v>
      </c>
      <c r="AK4">
        <f>subtotal(101, INDIRECT(ADDRESS(row()+2, column(), 1)):INDIRECT(ADDRESS(row()-1+11, column(),1)))</f>
        <v>0</v>
      </c>
      <c r="AL4">
        <f>subtotal(101, INDIRECT(ADDRESS(row()+2, column(), 1)):INDIRECT(ADDRESS(row()-1+11, column(),1)))</f>
        <v>0</v>
      </c>
      <c r="AM4">
        <f>subtotal(101, INDIRECT(ADDRESS(row()+2, column(), 1)):INDIRECT(ADDRESS(row()-1+11, column(),1)))</f>
        <v>0</v>
      </c>
      <c r="AN4">
        <f>subtotal(101, INDIRECT(ADDRESS(row()+2, column(), 1)):INDIRECT(ADDRESS(row()-1+11, column(),1)))</f>
        <v>0</v>
      </c>
      <c r="AO4">
        <f>subtotal(101, INDIRECT(ADDRESS(row()+2, column(), 1)):INDIRECT(ADDRESS(row()-1+11, column(),1)))</f>
        <v>0</v>
      </c>
      <c r="AP4">
        <f>subtotal(101, INDIRECT(ADDRESS(row()+2, column(), 1)):INDIRECT(ADDRESS(row()-1+11, column(),1)))</f>
        <v>0</v>
      </c>
      <c r="AQ4">
        <f>subtotal(101, INDIRECT(ADDRESS(row()+2, column(), 1)):INDIRECT(ADDRESS(row()-1+11, column(),1)))</f>
        <v>0</v>
      </c>
      <c r="AR4">
        <f>subtotal(101, INDIRECT(ADDRESS(row()+2, column(), 1)):INDIRECT(ADDRESS(row()-1+11, column(),1)))</f>
        <v>0</v>
      </c>
      <c r="AS4">
        <f>subtotal(101, INDIRECT(ADDRESS(row()+2, column(), 1)):INDIRECT(ADDRESS(row()-1+11, column(),1)))</f>
        <v>0</v>
      </c>
      <c r="AT4">
        <f>subtotal(101, INDIRECT(ADDRESS(row()+2, column(), 1)):INDIRECT(ADDRESS(row()-1+11, column(),1)))</f>
        <v>0</v>
      </c>
      <c r="AU4">
        <f>subtotal(101, INDIRECT(ADDRESS(row()+2, column(), 1)):INDIRECT(ADDRESS(row()-1+11, column(),1)))</f>
        <v>0</v>
      </c>
    </row>
    <row r="5" spans="1:47">
      <c r="A5" t="s">
        <v>0</v>
      </c>
      <c r="B5" t="s">
        <v>1</v>
      </c>
      <c r="C5" t="s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  <c r="AK5" t="s">
        <v>49</v>
      </c>
      <c r="AL5" t="s">
        <v>50</v>
      </c>
      <c r="AM5" t="s">
        <v>51</v>
      </c>
      <c r="AN5" t="s">
        <v>52</v>
      </c>
      <c r="AO5" t="s">
        <v>53</v>
      </c>
      <c r="AP5" t="s">
        <v>54</v>
      </c>
      <c r="AQ5" t="s">
        <v>55</v>
      </c>
      <c r="AR5" t="s">
        <v>56</v>
      </c>
      <c r="AS5" t="s">
        <v>57</v>
      </c>
      <c r="AT5" t="s">
        <v>58</v>
      </c>
    </row>
    <row r="6" spans="1:47">
      <c r="A6">
        <v>1625530906.4468</v>
      </c>
      <c r="B6">
        <v>1.01693011</v>
      </c>
      <c r="C6">
        <v>1.01693011</v>
      </c>
      <c r="D6">
        <v>1.0169</v>
      </c>
      <c r="E6">
        <v>48658.12</v>
      </c>
      <c r="F6">
        <v>118519466142</v>
      </c>
      <c r="G6">
        <v>118605044542</v>
      </c>
      <c r="H6">
        <v>96643457330</v>
      </c>
      <c r="I6">
        <v>67362448557</v>
      </c>
      <c r="J6">
        <v>118540767432</v>
      </c>
      <c r="K6">
        <v>118889823394</v>
      </c>
      <c r="L6">
        <v>130.59</v>
      </c>
      <c r="M6">
        <v>6158672</v>
      </c>
      <c r="N6">
        <v>21162</v>
      </c>
      <c r="O6">
        <v>138137</v>
      </c>
      <c r="P6">
        <v>135585</v>
      </c>
      <c r="Q6">
        <v>0</v>
      </c>
      <c r="R6">
        <v>123759</v>
      </c>
      <c r="S6">
        <v>125189</v>
      </c>
      <c r="T6">
        <v>0</v>
      </c>
      <c r="U6">
        <v>375579</v>
      </c>
      <c r="V6">
        <v>365742</v>
      </c>
      <c r="W6">
        <v>25951</v>
      </c>
      <c r="X6">
        <v>3500</v>
      </c>
      <c r="Y6">
        <v>1247390</v>
      </c>
      <c r="Z6">
        <v>4876734584</v>
      </c>
      <c r="AA6">
        <v>89.9948</v>
      </c>
      <c r="AB6">
        <v>99.5209</v>
      </c>
      <c r="AC6">
        <v>2.39777</v>
      </c>
      <c r="AD6">
        <v>2.69994</v>
      </c>
      <c r="AE6">
        <v>2.9531E-05</v>
      </c>
      <c r="AF6">
        <v>0.000220271</v>
      </c>
      <c r="AG6">
        <v>356.397</v>
      </c>
      <c r="AH6">
        <v>148.637</v>
      </c>
      <c r="AI6">
        <v>13.487</v>
      </c>
      <c r="AJ6">
        <v>0.032894</v>
      </c>
      <c r="AK6">
        <v>0.999278</v>
      </c>
      <c r="AL6">
        <v>1.00072</v>
      </c>
      <c r="AM6">
        <v>0.00518385</v>
      </c>
      <c r="AN6">
        <v>128.416</v>
      </c>
      <c r="AO6">
        <v>116.546</v>
      </c>
      <c r="AP6">
        <v>116.63</v>
      </c>
      <c r="AQ6">
        <v>1.99377</v>
      </c>
      <c r="AR6">
        <v>49.8532</v>
      </c>
      <c r="AS6">
        <v>28.3298</v>
      </c>
      <c r="AT6">
        <v>21.817</v>
      </c>
    </row>
    <row r="7" spans="1:47">
      <c r="A7">
        <v>1625530907.4492</v>
      </c>
      <c r="B7">
        <v>2.019312977</v>
      </c>
      <c r="C7">
        <v>2.019312977</v>
      </c>
      <c r="D7">
        <v>1.0024</v>
      </c>
      <c r="E7">
        <v>48110.25</v>
      </c>
      <c r="F7">
        <v>129814780243</v>
      </c>
      <c r="G7">
        <v>129896628092</v>
      </c>
      <c r="H7">
        <v>105841693076</v>
      </c>
      <c r="I7">
        <v>73755311921</v>
      </c>
      <c r="J7">
        <v>129715136812</v>
      </c>
      <c r="K7">
        <v>129896609598</v>
      </c>
      <c r="L7">
        <v>133.59</v>
      </c>
      <c r="M7">
        <v>7390557</v>
      </c>
      <c r="N7">
        <v>23156</v>
      </c>
      <c r="O7">
        <v>132051</v>
      </c>
      <c r="P7">
        <v>125426</v>
      </c>
      <c r="Q7">
        <v>0</v>
      </c>
      <c r="R7">
        <v>119758</v>
      </c>
      <c r="S7">
        <v>107610</v>
      </c>
      <c r="T7">
        <v>0</v>
      </c>
      <c r="U7">
        <v>662049</v>
      </c>
      <c r="V7">
        <v>667197</v>
      </c>
      <c r="W7">
        <v>28496</v>
      </c>
      <c r="X7">
        <v>9056</v>
      </c>
      <c r="Y7">
        <v>3311861</v>
      </c>
      <c r="Z7">
        <v>4811253248</v>
      </c>
      <c r="AA7">
        <v>99.9906</v>
      </c>
      <c r="AB7">
        <v>100</v>
      </c>
      <c r="AC7">
        <v>2.39991</v>
      </c>
      <c r="AD7">
        <v>2.7</v>
      </c>
      <c r="AE7">
        <v>6.97609E-05</v>
      </c>
      <c r="AF7">
        <v>0.0005782060000000001</v>
      </c>
      <c r="AG7">
        <v>365.709</v>
      </c>
      <c r="AH7">
        <v>152.384</v>
      </c>
      <c r="AI7">
        <v>31.7799</v>
      </c>
      <c r="AJ7">
        <v>0.0309563</v>
      </c>
      <c r="AK7">
        <v>0.99937</v>
      </c>
      <c r="AL7">
        <v>1.00063</v>
      </c>
      <c r="AM7">
        <v>0.009429949999999999</v>
      </c>
      <c r="AN7">
        <v>133.272</v>
      </c>
      <c r="AO7">
        <v>129.506</v>
      </c>
      <c r="AP7">
        <v>129.588</v>
      </c>
      <c r="AQ7">
        <v>1.99874</v>
      </c>
      <c r="AR7">
        <v>49.9301</v>
      </c>
      <c r="AS7">
        <v>28.39</v>
      </c>
      <c r="AT7">
        <v>21.6799</v>
      </c>
    </row>
    <row r="8" spans="1:47">
      <c r="A8">
        <v>1625530908.4513</v>
      </c>
      <c r="B8">
        <v>3.021487348</v>
      </c>
      <c r="C8">
        <v>3.021487348</v>
      </c>
      <c r="D8">
        <v>1.0022</v>
      </c>
      <c r="E8">
        <v>48103.43</v>
      </c>
      <c r="F8">
        <v>129812211842</v>
      </c>
      <c r="G8">
        <v>129878248962</v>
      </c>
      <c r="H8">
        <v>105826719333</v>
      </c>
      <c r="I8">
        <v>73742621432</v>
      </c>
      <c r="J8">
        <v>129709149960</v>
      </c>
      <c r="K8">
        <v>129878240512</v>
      </c>
      <c r="L8">
        <v>133.7</v>
      </c>
      <c r="M8">
        <v>5259303</v>
      </c>
      <c r="N8">
        <v>16051</v>
      </c>
      <c r="O8">
        <v>98233</v>
      </c>
      <c r="P8">
        <v>99589</v>
      </c>
      <c r="Q8">
        <v>0</v>
      </c>
      <c r="R8">
        <v>93221</v>
      </c>
      <c r="S8">
        <v>85881</v>
      </c>
      <c r="T8">
        <v>0</v>
      </c>
      <c r="U8">
        <v>444690</v>
      </c>
      <c r="V8">
        <v>430677</v>
      </c>
      <c r="W8">
        <v>22618</v>
      </c>
      <c r="X8">
        <v>5235</v>
      </c>
      <c r="Y8">
        <v>1862769</v>
      </c>
      <c r="Z8">
        <v>4810373666</v>
      </c>
      <c r="AA8">
        <v>99.9973</v>
      </c>
      <c r="AB8">
        <v>100</v>
      </c>
      <c r="AC8">
        <v>2.39997</v>
      </c>
      <c r="AD8">
        <v>2.7</v>
      </c>
      <c r="AE8">
        <v>4.03275E-05</v>
      </c>
      <c r="AF8">
        <v>0.000334313</v>
      </c>
      <c r="AG8">
        <v>355.83</v>
      </c>
      <c r="AH8">
        <v>148.264</v>
      </c>
      <c r="AI8">
        <v>23.1453</v>
      </c>
      <c r="AJ8">
        <v>0.0240708</v>
      </c>
      <c r="AK8">
        <v>0.999492</v>
      </c>
      <c r="AL8">
        <v>1.00051</v>
      </c>
      <c r="AM8">
        <v>0.00621133</v>
      </c>
      <c r="AN8">
        <v>133.41</v>
      </c>
      <c r="AO8">
        <v>129.531</v>
      </c>
      <c r="AP8">
        <v>129.596</v>
      </c>
      <c r="AQ8">
        <v>1.99898</v>
      </c>
      <c r="AR8">
        <v>49.9349</v>
      </c>
      <c r="AS8">
        <v>28.3891</v>
      </c>
      <c r="AT8">
        <v>21.676</v>
      </c>
    </row>
    <row r="9" spans="1:47">
      <c r="A9">
        <v>1625530909.4535</v>
      </c>
      <c r="B9">
        <v>4.02362627</v>
      </c>
      <c r="C9">
        <v>4.02362627</v>
      </c>
      <c r="D9">
        <v>1.0021</v>
      </c>
      <c r="E9">
        <v>48102.7</v>
      </c>
      <c r="F9">
        <v>129825442049</v>
      </c>
      <c r="G9">
        <v>129876274048</v>
      </c>
      <c r="H9">
        <v>105825112507</v>
      </c>
      <c r="I9">
        <v>73742727559</v>
      </c>
      <c r="J9">
        <v>129719761793</v>
      </c>
      <c r="K9">
        <v>129876289775</v>
      </c>
      <c r="L9">
        <v>133.67</v>
      </c>
      <c r="M9">
        <v>2905217</v>
      </c>
      <c r="N9">
        <v>8293</v>
      </c>
      <c r="O9">
        <v>58480</v>
      </c>
      <c r="P9">
        <v>69559</v>
      </c>
      <c r="Q9">
        <v>0</v>
      </c>
      <c r="R9">
        <v>64058</v>
      </c>
      <c r="S9">
        <v>55064</v>
      </c>
      <c r="T9">
        <v>0</v>
      </c>
      <c r="U9">
        <v>210861</v>
      </c>
      <c r="V9">
        <v>202221</v>
      </c>
      <c r="W9">
        <v>17911</v>
      </c>
      <c r="X9">
        <v>1707</v>
      </c>
      <c r="Y9">
        <v>649590</v>
      </c>
      <c r="Z9">
        <v>4810249528</v>
      </c>
      <c r="AA9">
        <v>99.99930000000001</v>
      </c>
      <c r="AB9">
        <v>100</v>
      </c>
      <c r="AC9">
        <v>2.39999</v>
      </c>
      <c r="AD9">
        <v>2.7</v>
      </c>
      <c r="AE9">
        <v>1.31484E-05</v>
      </c>
      <c r="AF9">
        <v>0.000109015</v>
      </c>
      <c r="AG9">
        <v>380.545</v>
      </c>
      <c r="AH9">
        <v>158.561</v>
      </c>
      <c r="AI9">
        <v>9.53046</v>
      </c>
      <c r="AJ9">
        <v>0.0157845</v>
      </c>
      <c r="AK9">
        <v>0.999609</v>
      </c>
      <c r="AL9">
        <v>1.00039</v>
      </c>
      <c r="AM9">
        <v>0.0029312</v>
      </c>
      <c r="AN9">
        <v>133.385</v>
      </c>
      <c r="AO9">
        <v>129.548</v>
      </c>
      <c r="AP9">
        <v>129.599</v>
      </c>
      <c r="AQ9">
        <v>1.99922</v>
      </c>
      <c r="AR9">
        <v>49.9397</v>
      </c>
      <c r="AS9">
        <v>28.3896</v>
      </c>
      <c r="AT9">
        <v>21.6707</v>
      </c>
    </row>
    <row r="10" spans="1:47">
      <c r="A10">
        <v>1625530910.4556</v>
      </c>
      <c r="B10">
        <v>5.025774949</v>
      </c>
      <c r="C10">
        <v>5.025774949</v>
      </c>
      <c r="D10">
        <v>1.0021</v>
      </c>
      <c r="E10">
        <v>48103.76</v>
      </c>
      <c r="F10">
        <v>129821409872</v>
      </c>
      <c r="G10">
        <v>129879148004</v>
      </c>
      <c r="H10">
        <v>105827451092</v>
      </c>
      <c r="I10">
        <v>73742723906</v>
      </c>
      <c r="J10">
        <v>129716878275</v>
      </c>
      <c r="K10">
        <v>129879126966</v>
      </c>
      <c r="L10">
        <v>133.65</v>
      </c>
      <c r="M10">
        <v>4024063</v>
      </c>
      <c r="N10">
        <v>11728</v>
      </c>
      <c r="O10">
        <v>69081</v>
      </c>
      <c r="P10">
        <v>73611</v>
      </c>
      <c r="Q10">
        <v>0</v>
      </c>
      <c r="R10">
        <v>66526</v>
      </c>
      <c r="S10">
        <v>58403</v>
      </c>
      <c r="T10">
        <v>0</v>
      </c>
      <c r="U10">
        <v>239139</v>
      </c>
      <c r="V10">
        <v>223551</v>
      </c>
      <c r="W10">
        <v>19093</v>
      </c>
      <c r="X10">
        <v>2038</v>
      </c>
      <c r="Y10">
        <v>777630</v>
      </c>
      <c r="Z10">
        <v>4810323706</v>
      </c>
      <c r="AA10">
        <v>100.001</v>
      </c>
      <c r="AB10">
        <v>100</v>
      </c>
      <c r="AC10">
        <v>2.40001</v>
      </c>
      <c r="AD10">
        <v>2.7</v>
      </c>
      <c r="AE10">
        <v>1.56985E-05</v>
      </c>
      <c r="AF10">
        <v>0.000130152</v>
      </c>
      <c r="AG10">
        <v>381.565</v>
      </c>
      <c r="AH10">
        <v>158.985</v>
      </c>
      <c r="AI10">
        <v>10.6741</v>
      </c>
      <c r="AJ10">
        <v>0.017091</v>
      </c>
      <c r="AK10">
        <v>0.999555</v>
      </c>
      <c r="AL10">
        <v>1.00044</v>
      </c>
      <c r="AM10">
        <v>0.00328319</v>
      </c>
      <c r="AN10">
        <v>133.363</v>
      </c>
      <c r="AO10">
        <v>129.543</v>
      </c>
      <c r="AP10">
        <v>129.601</v>
      </c>
      <c r="AQ10">
        <v>1.99911</v>
      </c>
      <c r="AR10">
        <v>49.9375</v>
      </c>
      <c r="AS10">
        <v>28.389</v>
      </c>
      <c r="AT10">
        <v>21.6735</v>
      </c>
    </row>
    <row r="11" spans="1:47">
      <c r="A11">
        <v>1625530911.4576</v>
      </c>
      <c r="B11">
        <v>6.027728482</v>
      </c>
      <c r="C11">
        <v>6.027728482</v>
      </c>
      <c r="D11">
        <v>1.002</v>
      </c>
      <c r="E11">
        <v>48093.21</v>
      </c>
      <c r="F11">
        <v>129800573313</v>
      </c>
      <c r="G11">
        <v>129850650052</v>
      </c>
      <c r="H11">
        <v>105804232852</v>
      </c>
      <c r="I11">
        <v>73726634961</v>
      </c>
      <c r="J11">
        <v>129694751880</v>
      </c>
      <c r="K11">
        <v>129850644518</v>
      </c>
      <c r="L11">
        <v>133.76</v>
      </c>
      <c r="M11">
        <v>2877962</v>
      </c>
      <c r="N11">
        <v>8292</v>
      </c>
      <c r="O11">
        <v>64355</v>
      </c>
      <c r="P11">
        <v>71605</v>
      </c>
      <c r="Q11">
        <v>0</v>
      </c>
      <c r="R11">
        <v>68021</v>
      </c>
      <c r="S11">
        <v>58231</v>
      </c>
      <c r="T11">
        <v>0</v>
      </c>
      <c r="U11">
        <v>229464</v>
      </c>
      <c r="V11">
        <v>221598</v>
      </c>
      <c r="W11">
        <v>18439</v>
      </c>
      <c r="X11">
        <v>1828</v>
      </c>
      <c r="Y11">
        <v>693696</v>
      </c>
      <c r="Z11">
        <v>4809339394</v>
      </c>
      <c r="AA11">
        <v>99.99809999999999</v>
      </c>
      <c r="AB11">
        <v>100</v>
      </c>
      <c r="AC11">
        <v>2.39998</v>
      </c>
      <c r="AD11">
        <v>2.7</v>
      </c>
      <c r="AE11">
        <v>1.40831E-05</v>
      </c>
      <c r="AF11">
        <v>0.000116764</v>
      </c>
      <c r="AG11">
        <v>379.484</v>
      </c>
      <c r="AH11">
        <v>158.119</v>
      </c>
      <c r="AI11">
        <v>9.91377</v>
      </c>
      <c r="AJ11">
        <v>0.0167488</v>
      </c>
      <c r="AK11">
        <v>0.999614</v>
      </c>
      <c r="AL11">
        <v>1.00039</v>
      </c>
      <c r="AM11">
        <v>0.0032013</v>
      </c>
      <c r="AN11">
        <v>133.499</v>
      </c>
      <c r="AO11">
        <v>129.547</v>
      </c>
      <c r="AP11">
        <v>129.597</v>
      </c>
      <c r="AQ11">
        <v>1.99923</v>
      </c>
      <c r="AR11">
        <v>49.94</v>
      </c>
      <c r="AS11">
        <v>28.389</v>
      </c>
      <c r="AT11">
        <v>21.671</v>
      </c>
    </row>
    <row r="12" spans="1:47">
      <c r="A12">
        <v>1625530912.4597</v>
      </c>
      <c r="B12">
        <v>7.029828338</v>
      </c>
      <c r="C12">
        <v>7.029828338</v>
      </c>
      <c r="D12">
        <v>1.0021</v>
      </c>
      <c r="E12">
        <v>48101.73</v>
      </c>
      <c r="F12">
        <v>129821354867</v>
      </c>
      <c r="G12">
        <v>129873675039</v>
      </c>
      <c r="H12">
        <v>105822997245</v>
      </c>
      <c r="I12">
        <v>73740463012</v>
      </c>
      <c r="J12">
        <v>129716147617</v>
      </c>
      <c r="K12">
        <v>129873685208</v>
      </c>
      <c r="L12">
        <v>133.76</v>
      </c>
      <c r="M12">
        <v>3593876</v>
      </c>
      <c r="N12">
        <v>10268</v>
      </c>
      <c r="O12">
        <v>64706</v>
      </c>
      <c r="P12">
        <v>76249</v>
      </c>
      <c r="Q12">
        <v>0</v>
      </c>
      <c r="R12">
        <v>65499</v>
      </c>
      <c r="S12">
        <v>58378</v>
      </c>
      <c r="T12">
        <v>0</v>
      </c>
      <c r="U12">
        <v>238734</v>
      </c>
      <c r="V12">
        <v>232677</v>
      </c>
      <c r="W12">
        <v>19004</v>
      </c>
      <c r="X12">
        <v>1775</v>
      </c>
      <c r="Y12">
        <v>692588</v>
      </c>
      <c r="Z12">
        <v>4810107160</v>
      </c>
      <c r="AA12">
        <v>100.001</v>
      </c>
      <c r="AB12">
        <v>100</v>
      </c>
      <c r="AC12">
        <v>2.40001</v>
      </c>
      <c r="AD12">
        <v>2.7</v>
      </c>
      <c r="AE12">
        <v>1.36726E-05</v>
      </c>
      <c r="AF12">
        <v>0.000113362</v>
      </c>
      <c r="AG12">
        <v>390.19</v>
      </c>
      <c r="AH12">
        <v>162.578</v>
      </c>
      <c r="AI12">
        <v>9.34014</v>
      </c>
      <c r="AJ12">
        <v>0.0169137</v>
      </c>
      <c r="AK12">
        <v>0.999597</v>
      </c>
      <c r="AL12">
        <v>1.0004</v>
      </c>
      <c r="AM12">
        <v>0.00334523</v>
      </c>
      <c r="AN12">
        <v>133.48</v>
      </c>
      <c r="AO12">
        <v>129.549</v>
      </c>
      <c r="AP12">
        <v>129.602</v>
      </c>
      <c r="AQ12">
        <v>1.99919</v>
      </c>
      <c r="AR12">
        <v>49.9393</v>
      </c>
      <c r="AS12">
        <v>28.3893</v>
      </c>
      <c r="AT12">
        <v>21.6714</v>
      </c>
    </row>
    <row r="13" spans="1:47">
      <c r="A13">
        <v>1625530913.4616</v>
      </c>
      <c r="B13">
        <v>8.031728529</v>
      </c>
      <c r="C13">
        <v>8.031728529</v>
      </c>
      <c r="D13">
        <v>1.0019</v>
      </c>
      <c r="E13">
        <v>48091.08</v>
      </c>
      <c r="F13">
        <v>129794413062</v>
      </c>
      <c r="G13">
        <v>129844909801</v>
      </c>
      <c r="H13">
        <v>105799555311</v>
      </c>
      <c r="I13">
        <v>73723169636</v>
      </c>
      <c r="J13">
        <v>129688690645</v>
      </c>
      <c r="K13">
        <v>129844907506</v>
      </c>
      <c r="L13">
        <v>133.77</v>
      </c>
      <c r="M13">
        <v>2853228</v>
      </c>
      <c r="N13">
        <v>8095</v>
      </c>
      <c r="O13">
        <v>62074</v>
      </c>
      <c r="P13">
        <v>70517</v>
      </c>
      <c r="Q13">
        <v>0</v>
      </c>
      <c r="R13">
        <v>66414</v>
      </c>
      <c r="S13">
        <v>57615</v>
      </c>
      <c r="T13">
        <v>0</v>
      </c>
      <c r="U13">
        <v>206928</v>
      </c>
      <c r="V13">
        <v>198414</v>
      </c>
      <c r="W13">
        <v>17560</v>
      </c>
      <c r="X13">
        <v>1600</v>
      </c>
      <c r="Y13">
        <v>628391</v>
      </c>
      <c r="Z13">
        <v>4809097724</v>
      </c>
      <c r="AA13">
        <v>99.999</v>
      </c>
      <c r="AB13">
        <v>100</v>
      </c>
      <c r="AC13">
        <v>2.39999</v>
      </c>
      <c r="AD13">
        <v>2.7</v>
      </c>
      <c r="AE13">
        <v>1.23272E-05</v>
      </c>
      <c r="AF13">
        <v>0.000102206</v>
      </c>
      <c r="AG13">
        <v>392.744</v>
      </c>
      <c r="AH13">
        <v>163.644</v>
      </c>
      <c r="AI13">
        <v>9.11162</v>
      </c>
      <c r="AJ13">
        <v>0.0163925</v>
      </c>
      <c r="AK13">
        <v>0.999611</v>
      </c>
      <c r="AL13">
        <v>1.00039</v>
      </c>
      <c r="AM13">
        <v>0.00287697</v>
      </c>
      <c r="AN13">
        <v>133.516</v>
      </c>
      <c r="AO13">
        <v>129.548</v>
      </c>
      <c r="AP13">
        <v>129.599</v>
      </c>
      <c r="AQ13">
        <v>1.99922</v>
      </c>
      <c r="AR13">
        <v>49.9398</v>
      </c>
      <c r="AS13">
        <v>28.3889</v>
      </c>
      <c r="AT13">
        <v>21.6713</v>
      </c>
    </row>
    <row r="14" spans="1:47">
      <c r="A14">
        <v>1625530914.4637</v>
      </c>
      <c r="B14">
        <v>9.033828164999999</v>
      </c>
      <c r="C14">
        <v>9.033828164999999</v>
      </c>
      <c r="D14">
        <v>1.0021</v>
      </c>
      <c r="E14">
        <v>48100.82</v>
      </c>
      <c r="F14">
        <v>129819218274</v>
      </c>
      <c r="G14">
        <v>129871218073</v>
      </c>
      <c r="H14">
        <v>105820990698</v>
      </c>
      <c r="I14">
        <v>73735573933</v>
      </c>
      <c r="J14">
        <v>129713323961</v>
      </c>
      <c r="K14">
        <v>129871212824</v>
      </c>
      <c r="L14">
        <v>133.81</v>
      </c>
      <c r="M14">
        <v>2882174</v>
      </c>
      <c r="N14">
        <v>8081</v>
      </c>
      <c r="O14">
        <v>63144</v>
      </c>
      <c r="P14">
        <v>73166</v>
      </c>
      <c r="Q14">
        <v>0</v>
      </c>
      <c r="R14">
        <v>67163</v>
      </c>
      <c r="S14">
        <v>58054</v>
      </c>
      <c r="T14">
        <v>0</v>
      </c>
      <c r="U14">
        <v>228528</v>
      </c>
      <c r="V14">
        <v>218889</v>
      </c>
      <c r="W14">
        <v>18219</v>
      </c>
      <c r="X14">
        <v>1614</v>
      </c>
      <c r="Y14">
        <v>628269</v>
      </c>
      <c r="Z14">
        <v>4810056626</v>
      </c>
      <c r="AA14">
        <v>99.99930000000001</v>
      </c>
      <c r="AB14">
        <v>100</v>
      </c>
      <c r="AC14">
        <v>2.39999</v>
      </c>
      <c r="AD14">
        <v>2.7</v>
      </c>
      <c r="AE14">
        <v>1.24327E-05</v>
      </c>
      <c r="AF14">
        <v>0.00010308</v>
      </c>
      <c r="AG14">
        <v>389.262</v>
      </c>
      <c r="AH14">
        <v>162.193</v>
      </c>
      <c r="AI14">
        <v>8.858879999999999</v>
      </c>
      <c r="AJ14">
        <v>0.0167027</v>
      </c>
      <c r="AK14">
        <v>0.9996</v>
      </c>
      <c r="AL14">
        <v>1.0004</v>
      </c>
      <c r="AM14">
        <v>0.00317497</v>
      </c>
      <c r="AN14">
        <v>133.53</v>
      </c>
      <c r="AO14">
        <v>129.547</v>
      </c>
      <c r="AP14">
        <v>129.599</v>
      </c>
      <c r="AQ14">
        <v>1.9992</v>
      </c>
      <c r="AR14">
        <v>49.9392</v>
      </c>
      <c r="AS14">
        <v>28.388</v>
      </c>
      <c r="AT14">
        <v>21.6728</v>
      </c>
    </row>
    <row r="15" spans="1:47">
      <c r="A15">
        <v>1625530915.4656</v>
      </c>
      <c r="B15">
        <v>10.035728885</v>
      </c>
      <c r="C15">
        <v>10.035728885</v>
      </c>
      <c r="D15">
        <v>1.0019</v>
      </c>
      <c r="E15">
        <v>48091.69</v>
      </c>
      <c r="F15">
        <v>129797063829</v>
      </c>
      <c r="G15">
        <v>129846563802</v>
      </c>
      <c r="H15">
        <v>105800905945</v>
      </c>
      <c r="I15">
        <v>73723587488</v>
      </c>
      <c r="J15">
        <v>129691250912</v>
      </c>
      <c r="K15">
        <v>129846569997</v>
      </c>
      <c r="L15">
        <v>133.75</v>
      </c>
      <c r="M15">
        <v>2800492</v>
      </c>
      <c r="N15">
        <v>7923</v>
      </c>
      <c r="O15">
        <v>62254</v>
      </c>
      <c r="P15">
        <v>73520</v>
      </c>
      <c r="Q15">
        <v>0</v>
      </c>
      <c r="R15">
        <v>68299</v>
      </c>
      <c r="S15">
        <v>60065</v>
      </c>
      <c r="T15">
        <v>0</v>
      </c>
      <c r="U15">
        <v>221976</v>
      </c>
      <c r="V15">
        <v>213705</v>
      </c>
      <c r="W15">
        <v>18687</v>
      </c>
      <c r="X15">
        <v>1684</v>
      </c>
      <c r="Y15">
        <v>648671</v>
      </c>
      <c r="Z15">
        <v>4809126360</v>
      </c>
      <c r="AA15">
        <v>100</v>
      </c>
      <c r="AB15">
        <v>100</v>
      </c>
      <c r="AC15">
        <v>2.4</v>
      </c>
      <c r="AD15">
        <v>2.7</v>
      </c>
      <c r="AE15">
        <v>1.29741E-05</v>
      </c>
      <c r="AF15">
        <v>0.000107572</v>
      </c>
      <c r="AG15">
        <v>385.197</v>
      </c>
      <c r="AH15">
        <v>160.498</v>
      </c>
      <c r="AI15">
        <v>9.011609999999999</v>
      </c>
      <c r="AJ15">
        <v>0.0168728</v>
      </c>
      <c r="AK15">
        <v>0.999619</v>
      </c>
      <c r="AL15">
        <v>1.00038</v>
      </c>
      <c r="AM15">
        <v>0.0030923</v>
      </c>
      <c r="AN15">
        <v>133.496</v>
      </c>
      <c r="AO15">
        <v>129.551</v>
      </c>
      <c r="AP15">
        <v>129.6</v>
      </c>
      <c r="AQ15">
        <v>1.99924</v>
      </c>
      <c r="AR15">
        <v>49.9402</v>
      </c>
      <c r="AS15">
        <v>28.3887</v>
      </c>
      <c r="AT15">
        <v>21.6711</v>
      </c>
    </row>
    <row r="16" spans="1:47">
      <c r="A16">
        <v>1625530915.5426</v>
      </c>
      <c r="B16">
        <v>10.112713562</v>
      </c>
      <c r="C16">
        <v>10.112713562</v>
      </c>
      <c r="D16">
        <v>0.077</v>
      </c>
      <c r="E16">
        <v>3706.35</v>
      </c>
      <c r="F16">
        <v>9210479397</v>
      </c>
      <c r="G16">
        <v>9225515359</v>
      </c>
      <c r="H16">
        <v>7517309513</v>
      </c>
      <c r="I16">
        <v>5221412308</v>
      </c>
      <c r="J16">
        <v>9205455148</v>
      </c>
      <c r="K16">
        <v>9279989374</v>
      </c>
      <c r="L16">
        <v>10.08</v>
      </c>
      <c r="M16">
        <v>4506403</v>
      </c>
      <c r="N16">
        <v>14978</v>
      </c>
      <c r="O16">
        <v>38156</v>
      </c>
      <c r="P16">
        <v>35469</v>
      </c>
      <c r="Q16">
        <v>0</v>
      </c>
      <c r="R16">
        <v>32845</v>
      </c>
      <c r="S16">
        <v>35600</v>
      </c>
      <c r="T16">
        <v>0</v>
      </c>
      <c r="U16">
        <v>187938</v>
      </c>
      <c r="V16">
        <v>184626</v>
      </c>
      <c r="W16">
        <v>9387</v>
      </c>
      <c r="X16">
        <v>2524</v>
      </c>
      <c r="Y16">
        <v>932039</v>
      </c>
      <c r="Z16">
        <v>370258382</v>
      </c>
      <c r="AA16">
        <v>92.4686</v>
      </c>
      <c r="AB16">
        <v>98.82599999999999</v>
      </c>
      <c r="AC16">
        <v>2.40475</v>
      </c>
      <c r="AD16">
        <v>2.69992</v>
      </c>
      <c r="AE16">
        <v>0.000274036</v>
      </c>
      <c r="AF16">
        <v>0.00209829</v>
      </c>
      <c r="AG16">
        <v>369.271</v>
      </c>
      <c r="AH16">
        <v>153.559</v>
      </c>
      <c r="AI16">
        <v>26.8882</v>
      </c>
      <c r="AJ16">
        <v>0.118108</v>
      </c>
      <c r="AK16">
        <v>0.99837</v>
      </c>
      <c r="AL16">
        <v>1.00163</v>
      </c>
      <c r="AM16">
        <v>0.0344139</v>
      </c>
      <c r="AN16">
        <v>130.935</v>
      </c>
      <c r="AO16">
        <v>119.64</v>
      </c>
      <c r="AP16">
        <v>119.836</v>
      </c>
      <c r="AQ16">
        <v>1.98502</v>
      </c>
      <c r="AR16">
        <v>49.5984</v>
      </c>
      <c r="AS16">
        <v>28.1326</v>
      </c>
      <c r="AT16">
        <v>22.269</v>
      </c>
    </row>
    <row r="18" spans="1:16">
      <c r="A18" t="s">
        <v>7</v>
      </c>
      <c r="B18" t="s">
        <v>59</v>
      </c>
      <c r="C18" t="s">
        <v>9</v>
      </c>
      <c r="D18" t="s">
        <v>8</v>
      </c>
      <c r="E18" t="s">
        <v>10</v>
      </c>
      <c r="F18" t="s">
        <v>60</v>
      </c>
    </row>
    <row r="19" spans="1:16">
      <c r="A19" t="s">
        <v>12</v>
      </c>
      <c r="B19" t="s">
        <v>13</v>
      </c>
      <c r="C19" t="s">
        <v>13</v>
      </c>
      <c r="D19" t="s">
        <v>14</v>
      </c>
      <c r="E19" t="s">
        <v>15</v>
      </c>
      <c r="F19" t="s">
        <v>6</v>
      </c>
      <c r="G19" t="s">
        <v>61</v>
      </c>
      <c r="H19" t="s">
        <v>61</v>
      </c>
      <c r="I19" t="s">
        <v>15</v>
      </c>
      <c r="J19" t="s">
        <v>15</v>
      </c>
      <c r="K19" t="s">
        <v>62</v>
      </c>
      <c r="L19" t="s">
        <v>62</v>
      </c>
    </row>
    <row r="21" spans="1:16">
      <c r="A21" t="s">
        <v>7</v>
      </c>
      <c r="B21" t="s">
        <v>63</v>
      </c>
      <c r="C21" t="s">
        <v>9</v>
      </c>
      <c r="D21" t="s">
        <v>8</v>
      </c>
      <c r="E21" t="s">
        <v>10</v>
      </c>
      <c r="F21" t="s">
        <v>11</v>
      </c>
    </row>
    <row r="22" spans="1:16">
      <c r="A22" t="s">
        <v>12</v>
      </c>
      <c r="B22" t="s">
        <v>13</v>
      </c>
      <c r="C22" t="s">
        <v>13</v>
      </c>
      <c r="D22" t="s">
        <v>14</v>
      </c>
      <c r="E22" t="s">
        <v>15</v>
      </c>
      <c r="F22" t="s">
        <v>6</v>
      </c>
      <c r="G22" t="s">
        <v>64</v>
      </c>
      <c r="H22" t="s">
        <v>64</v>
      </c>
      <c r="I22" t="s">
        <v>65</v>
      </c>
      <c r="J22" t="s">
        <v>65</v>
      </c>
      <c r="K22" t="s">
        <v>62</v>
      </c>
      <c r="L22" t="s">
        <v>62</v>
      </c>
      <c r="M22" t="s">
        <v>61</v>
      </c>
      <c r="N22" t="s">
        <v>61</v>
      </c>
      <c r="O22" t="s">
        <v>15</v>
      </c>
      <c r="P22" t="s">
        <v>15</v>
      </c>
    </row>
    <row r="24" spans="1:16">
      <c r="A24" t="s">
        <v>7</v>
      </c>
      <c r="B24" t="s">
        <v>66</v>
      </c>
      <c r="C24" t="s">
        <v>9</v>
      </c>
      <c r="D24" t="s">
        <v>8</v>
      </c>
      <c r="E24" t="s">
        <v>10</v>
      </c>
      <c r="F24" t="s">
        <v>11</v>
      </c>
    </row>
    <row r="25" spans="1:16">
      <c r="A25" t="s">
        <v>12</v>
      </c>
      <c r="B25" t="s">
        <v>13</v>
      </c>
      <c r="C25" t="s">
        <v>13</v>
      </c>
      <c r="D25" t="s">
        <v>14</v>
      </c>
      <c r="E25" t="s">
        <v>15</v>
      </c>
      <c r="F25" t="s">
        <v>6</v>
      </c>
      <c r="G25" t="s">
        <v>67</v>
      </c>
      <c r="H25" t="s">
        <v>67</v>
      </c>
      <c r="I25" t="s">
        <v>68</v>
      </c>
      <c r="J25" t="s">
        <v>68</v>
      </c>
      <c r="K25" t="s">
        <v>69</v>
      </c>
      <c r="L25" t="s">
        <v>69</v>
      </c>
    </row>
    <row r="27" spans="1:16">
      <c r="A27" t="s">
        <v>7</v>
      </c>
      <c r="B27" t="s">
        <v>70</v>
      </c>
      <c r="C27" t="s">
        <v>9</v>
      </c>
      <c r="D27" t="s">
        <v>8</v>
      </c>
      <c r="E27" t="s">
        <v>10</v>
      </c>
      <c r="F27" t="s">
        <v>11</v>
      </c>
    </row>
    <row r="28" spans="1:16">
      <c r="A28" t="s">
        <v>12</v>
      </c>
      <c r="B28" t="s">
        <v>13</v>
      </c>
      <c r="C28" t="s">
        <v>13</v>
      </c>
      <c r="D28" t="s">
        <v>14</v>
      </c>
      <c r="E28" t="s">
        <v>15</v>
      </c>
      <c r="F28" t="s">
        <v>6</v>
      </c>
      <c r="G28" t="s">
        <v>71</v>
      </c>
      <c r="H28" t="s">
        <v>71</v>
      </c>
      <c r="I28" t="s">
        <v>72</v>
      </c>
      <c r="J28" t="s">
        <v>72</v>
      </c>
      <c r="K28" t="s">
        <v>73</v>
      </c>
      <c r="L28" t="s">
        <v>73</v>
      </c>
      <c r="M28" t="s">
        <v>74</v>
      </c>
      <c r="N28" t="s">
        <v>74</v>
      </c>
    </row>
    <row r="30" spans="1:16">
      <c r="A30" t="s">
        <v>7</v>
      </c>
      <c r="B30" t="s">
        <v>75</v>
      </c>
      <c r="C30" t="s">
        <v>9</v>
      </c>
      <c r="D30" t="s">
        <v>8</v>
      </c>
      <c r="E30" t="s">
        <v>10</v>
      </c>
      <c r="F30" t="s">
        <v>11</v>
      </c>
    </row>
    <row r="31" spans="1:16">
      <c r="A31" t="s">
        <v>12</v>
      </c>
      <c r="B31" t="s">
        <v>13</v>
      </c>
      <c r="C31" t="s">
        <v>13</v>
      </c>
      <c r="D31" t="s">
        <v>14</v>
      </c>
      <c r="E31" t="s">
        <v>15</v>
      </c>
      <c r="F31" t="s">
        <v>6</v>
      </c>
      <c r="G31" t="s">
        <v>64</v>
      </c>
      <c r="H31" t="s">
        <v>64</v>
      </c>
      <c r="I31" t="s">
        <v>76</v>
      </c>
      <c r="J31" t="s">
        <v>76</v>
      </c>
      <c r="K31" t="s">
        <v>77</v>
      </c>
      <c r="L31" t="s">
        <v>77</v>
      </c>
    </row>
    <row r="33" spans="1:10">
      <c r="A33" t="s">
        <v>7</v>
      </c>
      <c r="B33" t="s">
        <v>78</v>
      </c>
      <c r="C33" t="s">
        <v>9</v>
      </c>
      <c r="D33" t="s">
        <v>8</v>
      </c>
      <c r="E33" t="s">
        <v>10</v>
      </c>
      <c r="F33" t="s">
        <v>11</v>
      </c>
    </row>
    <row r="34" spans="1:10">
      <c r="A34" t="s">
        <v>12</v>
      </c>
      <c r="B34" t="s">
        <v>13</v>
      </c>
      <c r="C34" t="s">
        <v>13</v>
      </c>
      <c r="D34" t="s">
        <v>14</v>
      </c>
      <c r="E34" t="s">
        <v>15</v>
      </c>
      <c r="F34" t="s">
        <v>6</v>
      </c>
      <c r="G34" t="s">
        <v>79</v>
      </c>
      <c r="H34" t="s">
        <v>79</v>
      </c>
      <c r="I34" t="s">
        <v>80</v>
      </c>
      <c r="J3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sum_all_frq</vt:lpstr>
      <vt:lpstr>charts</vt:lpstr>
      <vt:lpstr>perf stat_frq</vt:lpstr>
      <vt:lpstr>perf stat_frq_0</vt:lpstr>
      <vt:lpstr>perf stat_frq_1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2021-07-06T02:40:51Z</dcterms:created>
  <dcterms:modified xsi:type="dcterms:W3CDTF">2021-07-06T02:40:51Z</dcterms:modified>
</cp:coreProperties>
</file>