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0815"/>
  </bookViews>
  <sheets>
    <sheet name="Budget" sheetId="1" r:id="rId1"/>
    <sheet name="0_Software" sheetId="2" r:id="rId2"/>
    <sheet name="1_Consulting" sheetId="4" r:id="rId3"/>
    <sheet name="2_Grass_and_sprinkler" sheetId="5" r:id="rId4"/>
    <sheet name="3_Mulch" sheetId="6" r:id="rId5"/>
    <sheet name="4_Paver_Patio" sheetId="7" r:id="rId6"/>
    <sheet name="5_mother-in-law_Patio" sheetId="8" r:id="rId7"/>
    <sheet name="6_walkway_side_yard" sheetId="9" r:id="rId8"/>
    <sheet name="7_walkway_back_yard" sheetId="10" r:id="rId9"/>
    <sheet name="8_Gate" sheetId="11" r:id="rId10"/>
    <sheet name="9_lighting" sheetId="12" r:id="rId11"/>
    <sheet name="10. Drainage" sheetId="13" r:id="rId12"/>
    <sheet name="11. Tools" sheetId="14" r:id="rId13"/>
    <sheet name="12. Ethernet" sheetId="17" r:id="rId14"/>
    <sheet name="13. Kid Labor" sheetId="18" r:id="rId15"/>
  </sheets>
  <calcPr calcId="145621"/>
</workbook>
</file>

<file path=xl/calcChain.xml><?xml version="1.0" encoding="utf-8"?>
<calcChain xmlns="http://schemas.openxmlformats.org/spreadsheetml/2006/main">
  <c r="I2" i="1" l="1"/>
  <c r="I26" i="7" l="1"/>
  <c r="H32" i="14"/>
  <c r="H31" i="14"/>
  <c r="H30" i="14"/>
  <c r="I12" i="7"/>
  <c r="I13" i="7"/>
  <c r="I14" i="7"/>
  <c r="I15" i="7"/>
  <c r="I16" i="7"/>
  <c r="I17" i="7"/>
  <c r="I18" i="7"/>
  <c r="I19" i="7"/>
  <c r="I21" i="7"/>
  <c r="I23" i="7" s="1"/>
  <c r="I22" i="7"/>
  <c r="I20" i="7"/>
  <c r="H22" i="18"/>
  <c r="G11" i="7" l="1"/>
  <c r="I11" i="7" s="1"/>
  <c r="H20" i="12"/>
  <c r="G90" i="5"/>
  <c r="G89" i="5"/>
  <c r="G88" i="5"/>
  <c r="G87" i="5"/>
  <c r="G86" i="5"/>
  <c r="G85" i="5"/>
  <c r="G83" i="5"/>
  <c r="G84" i="5"/>
  <c r="I82" i="5"/>
  <c r="H21" i="18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E11" i="7" l="1"/>
  <c r="D37" i="14" l="1"/>
  <c r="I68" i="5"/>
  <c r="E68" i="5" s="1"/>
  <c r="I67" i="5"/>
  <c r="E67" i="5" s="1"/>
  <c r="I66" i="5"/>
  <c r="E66" i="5" s="1"/>
  <c r="I65" i="5"/>
  <c r="E65" i="5" s="1"/>
  <c r="I64" i="5"/>
  <c r="E64" i="5" s="1"/>
  <c r="I63" i="5"/>
  <c r="E63" i="5" s="1"/>
  <c r="I62" i="5"/>
  <c r="E62" i="5" s="1"/>
  <c r="I61" i="5"/>
  <c r="E61" i="5" s="1"/>
  <c r="H19" i="12"/>
  <c r="H27" i="14"/>
  <c r="H26" i="14" l="1"/>
  <c r="H20" i="18"/>
  <c r="F25" i="14"/>
  <c r="H25" i="14" s="1"/>
  <c r="F24" i="14"/>
  <c r="H24" i="14" s="1"/>
  <c r="D6" i="1" l="1"/>
  <c r="H39" i="13" l="1"/>
  <c r="H38" i="13"/>
  <c r="E16" i="8" l="1"/>
  <c r="H35" i="13" l="1"/>
  <c r="H36" i="13"/>
  <c r="H37" i="13"/>
  <c r="I60" i="5"/>
  <c r="I59" i="5"/>
  <c r="H39" i="17"/>
  <c r="H34" i="13"/>
  <c r="H23" i="14"/>
  <c r="H33" i="13"/>
  <c r="H32" i="13"/>
  <c r="H31" i="13"/>
  <c r="H19" i="18"/>
  <c r="I58" i="5" l="1"/>
  <c r="I57" i="5"/>
  <c r="H18" i="18"/>
  <c r="I56" i="5" l="1"/>
  <c r="H17" i="18"/>
  <c r="H36" i="17"/>
  <c r="H37" i="17"/>
  <c r="H38" i="17"/>
  <c r="I55" i="5" l="1"/>
  <c r="H28" i="17"/>
  <c r="H29" i="17"/>
  <c r="H30" i="17"/>
  <c r="H31" i="17"/>
  <c r="H32" i="17"/>
  <c r="H33" i="17"/>
  <c r="H34" i="17"/>
  <c r="H35" i="17"/>
  <c r="H19" i="17"/>
  <c r="H20" i="17"/>
  <c r="H21" i="17"/>
  <c r="H22" i="17"/>
  <c r="H23" i="17"/>
  <c r="H24" i="17"/>
  <c r="H25" i="17"/>
  <c r="H26" i="17"/>
  <c r="D8" i="10" l="1"/>
  <c r="D9" i="10"/>
  <c r="D8" i="9"/>
  <c r="D9" i="9"/>
  <c r="H18" i="17"/>
  <c r="H17" i="17"/>
  <c r="H16" i="12"/>
  <c r="D16" i="12" s="1"/>
  <c r="I53" i="5"/>
  <c r="I52" i="5"/>
  <c r="H22" i="14"/>
  <c r="H16" i="17"/>
  <c r="H15" i="12"/>
  <c r="D15" i="12" s="1"/>
  <c r="H21" i="14" l="1"/>
  <c r="H30" i="13"/>
  <c r="I51" i="5"/>
  <c r="I50" i="5"/>
  <c r="I49" i="5"/>
  <c r="H15" i="17"/>
  <c r="H14" i="17"/>
  <c r="I48" i="5"/>
  <c r="I47" i="5"/>
  <c r="I54" i="5"/>
  <c r="I46" i="5"/>
  <c r="I45" i="5" l="1"/>
  <c r="I44" i="5"/>
  <c r="I43" i="5"/>
  <c r="I42" i="5"/>
  <c r="I41" i="5"/>
  <c r="I40" i="5"/>
  <c r="I39" i="5"/>
  <c r="I38" i="5"/>
  <c r="I37" i="5"/>
  <c r="I36" i="5"/>
  <c r="I35" i="5"/>
  <c r="I34" i="5"/>
  <c r="H16" i="18"/>
  <c r="L46" i="5" l="1"/>
  <c r="M46" i="5" s="1"/>
  <c r="L40" i="5"/>
  <c r="O14" i="12" l="1"/>
  <c r="H25" i="13"/>
  <c r="H26" i="13"/>
  <c r="H27" i="13"/>
  <c r="H28" i="13"/>
  <c r="H29" i="13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H24" i="13"/>
  <c r="H23" i="13"/>
  <c r="H22" i="13"/>
  <c r="H21" i="13"/>
  <c r="H13" i="12"/>
  <c r="D13" i="12" s="1"/>
  <c r="H20" i="13"/>
  <c r="H19" i="13"/>
  <c r="I20" i="5"/>
  <c r="H18" i="13"/>
  <c r="I11" i="5"/>
  <c r="I12" i="5"/>
  <c r="I13" i="5"/>
  <c r="I14" i="5"/>
  <c r="I15" i="5"/>
  <c r="I16" i="5"/>
  <c r="I17" i="5"/>
  <c r="I18" i="5"/>
  <c r="I19" i="5"/>
  <c r="H13" i="17"/>
  <c r="H12" i="17"/>
  <c r="H11" i="17"/>
  <c r="H17" i="13"/>
  <c r="H16" i="13"/>
  <c r="H15" i="13"/>
  <c r="H14" i="13"/>
  <c r="H13" i="13"/>
  <c r="H15" i="18"/>
  <c r="H14" i="18"/>
  <c r="H13" i="18"/>
  <c r="H10" i="17" l="1"/>
  <c r="H7" i="17"/>
  <c r="H6" i="17"/>
  <c r="H12" i="13"/>
  <c r="H20" i="14"/>
  <c r="H12" i="12"/>
  <c r="D12" i="12" s="1"/>
  <c r="H11" i="12"/>
  <c r="D11" i="12" s="1"/>
  <c r="H12" i="18"/>
  <c r="H10" i="18" l="1"/>
  <c r="I9" i="8"/>
  <c r="I8" i="8"/>
  <c r="H10" i="12"/>
  <c r="D10" i="12" s="1"/>
  <c r="H11" i="13"/>
  <c r="H19" i="14"/>
  <c r="H9" i="12"/>
  <c r="D9" i="12" s="1"/>
  <c r="H8" i="13"/>
  <c r="H8" i="12"/>
  <c r="D8" i="12" s="1"/>
  <c r="H18" i="14"/>
  <c r="I10" i="7"/>
  <c r="I6" i="8"/>
  <c r="I7" i="8"/>
  <c r="I9" i="7"/>
  <c r="I8" i="7"/>
  <c r="H7" i="12"/>
  <c r="D7" i="12" s="1"/>
  <c r="I7" i="7"/>
  <c r="H10" i="13"/>
  <c r="H9" i="13"/>
  <c r="H7" i="13"/>
  <c r="H16" i="14"/>
  <c r="H6" i="13"/>
  <c r="H9" i="18"/>
  <c r="D41" i="17" l="1"/>
  <c r="L11" i="12"/>
  <c r="F15" i="14" l="1"/>
  <c r="H15" i="14" s="1"/>
  <c r="G10" i="5"/>
  <c r="I10" i="5" s="1"/>
  <c r="H14" i="14"/>
  <c r="H13" i="14"/>
  <c r="I6" i="7"/>
  <c r="L41" i="7" l="1"/>
  <c r="N34" i="7"/>
  <c r="N35" i="7"/>
  <c r="L35" i="7"/>
  <c r="L34" i="7"/>
  <c r="L37" i="7" l="1"/>
  <c r="N37" i="7"/>
  <c r="H8" i="18" l="1"/>
  <c r="I9" i="5"/>
  <c r="H6" i="12"/>
  <c r="D6" i="12" s="1"/>
  <c r="H10" i="14" l="1"/>
  <c r="H9" i="14"/>
  <c r="H7" i="18"/>
  <c r="B7" i="5" l="1"/>
  <c r="D25" i="18" l="1"/>
  <c r="D16" i="1" s="1"/>
  <c r="H23" i="18"/>
  <c r="H11" i="18"/>
  <c r="H6" i="18"/>
  <c r="H25" i="18" s="1"/>
  <c r="H8" i="17"/>
  <c r="D15" i="1"/>
  <c r="H9" i="17"/>
  <c r="H7" i="14"/>
  <c r="H8" i="14"/>
  <c r="H11" i="14"/>
  <c r="H33" i="14"/>
  <c r="H17" i="14"/>
  <c r="H28" i="14"/>
  <c r="H29" i="14"/>
  <c r="H34" i="14"/>
  <c r="H35" i="14"/>
  <c r="D14" i="1"/>
  <c r="H12" i="14"/>
  <c r="H41" i="13"/>
  <c r="H18" i="12"/>
  <c r="H14" i="12"/>
  <c r="D14" i="12" s="1"/>
  <c r="D24" i="12" s="1"/>
  <c r="D12" i="1" s="1"/>
  <c r="H6" i="11"/>
  <c r="H8" i="11" s="1"/>
  <c r="F11" i="1" s="1"/>
  <c r="I12" i="10"/>
  <c r="I9" i="10"/>
  <c r="I10" i="10"/>
  <c r="I6" i="10"/>
  <c r="I7" i="10"/>
  <c r="I12" i="9"/>
  <c r="I9" i="9"/>
  <c r="I10" i="9"/>
  <c r="I6" i="9"/>
  <c r="I7" i="9"/>
  <c r="H12" i="6"/>
  <c r="H7" i="6"/>
  <c r="H8" i="6"/>
  <c r="H9" i="6"/>
  <c r="I7" i="5"/>
  <c r="I8" i="5"/>
  <c r="I96" i="5"/>
  <c r="H9" i="4"/>
  <c r="H6" i="14"/>
  <c r="L11" i="13"/>
  <c r="D41" i="13" s="1"/>
  <c r="H17" i="12"/>
  <c r="D8" i="11"/>
  <c r="D11" i="1" s="1"/>
  <c r="D8" i="1"/>
  <c r="E12" i="10"/>
  <c r="D10" i="1" s="1"/>
  <c r="I8" i="10"/>
  <c r="D7" i="10"/>
  <c r="D6" i="10"/>
  <c r="D7" i="9"/>
  <c r="D6" i="9"/>
  <c r="E12" i="9" s="1"/>
  <c r="D9" i="1" s="1"/>
  <c r="I8" i="9"/>
  <c r="I16" i="8"/>
  <c r="F8" i="1" s="1"/>
  <c r="E29" i="7"/>
  <c r="F6" i="1"/>
  <c r="G6" i="1" s="1"/>
  <c r="D6" i="6"/>
  <c r="D9" i="6"/>
  <c r="L11" i="6"/>
  <c r="L15" i="6" s="1"/>
  <c r="H6" i="6"/>
  <c r="M21" i="5"/>
  <c r="N13" i="5"/>
  <c r="O21" i="5"/>
  <c r="N14" i="5"/>
  <c r="I6" i="5"/>
  <c r="F4" i="1"/>
  <c r="D9" i="4"/>
  <c r="D4" i="1" s="1"/>
  <c r="H6" i="4"/>
  <c r="G9" i="2"/>
  <c r="G6" i="2"/>
  <c r="F3" i="1"/>
  <c r="C9" i="2"/>
  <c r="D3" i="1" s="1"/>
  <c r="G11" i="1" l="1"/>
  <c r="G8" i="1"/>
  <c r="E99" i="5"/>
  <c r="D5" i="1" s="1"/>
  <c r="I99" i="5"/>
  <c r="F5" i="1" s="1"/>
  <c r="H41" i="17"/>
  <c r="F15" i="1" s="1"/>
  <c r="G15" i="1" s="1"/>
  <c r="H24" i="12"/>
  <c r="F12" i="1" s="1"/>
  <c r="G12" i="1" s="1"/>
  <c r="I29" i="7"/>
  <c r="F7" i="1" s="1"/>
  <c r="F13" i="1"/>
  <c r="F16" i="1"/>
  <c r="G16" i="1" s="1"/>
  <c r="D13" i="1"/>
  <c r="L14" i="13"/>
  <c r="H37" i="14"/>
  <c r="F14" i="1" s="1"/>
  <c r="G14" i="1" s="1"/>
  <c r="F10" i="1"/>
  <c r="G10" i="1" s="1"/>
  <c r="F9" i="1"/>
  <c r="G9" i="1" s="1"/>
  <c r="D7" i="1"/>
  <c r="D12" i="6"/>
  <c r="N21" i="5"/>
  <c r="N23" i="5" s="1"/>
  <c r="G13" i="1" l="1"/>
  <c r="G7" i="1"/>
  <c r="G5" i="1"/>
  <c r="D18" i="1"/>
  <c r="D19" i="1" s="1"/>
  <c r="F18" i="1"/>
  <c r="F19" i="1" s="1"/>
  <c r="I18" i="1" s="1"/>
</calcChain>
</file>

<file path=xl/comments1.xml><?xml version="1.0" encoding="utf-8"?>
<comments xmlns="http://schemas.openxmlformats.org/spreadsheetml/2006/main">
  <authors>
    <author>Windows User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Delivery $89
$47/cubic yd + tax</t>
        </r>
      </text>
    </comment>
  </commentList>
</comments>
</file>

<file path=xl/sharedStrings.xml><?xml version="1.0" encoding="utf-8"?>
<sst xmlns="http://schemas.openxmlformats.org/spreadsheetml/2006/main" count="692" uniqueCount="511">
  <si>
    <t>Total</t>
  </si>
  <si>
    <t>Budget</t>
  </si>
  <si>
    <t>Remaining</t>
  </si>
  <si>
    <t>Grass and Sprinklers</t>
  </si>
  <si>
    <t>1.</t>
  </si>
  <si>
    <t>2.</t>
  </si>
  <si>
    <t>3.</t>
  </si>
  <si>
    <t>4.</t>
  </si>
  <si>
    <t>5.</t>
  </si>
  <si>
    <t>6.</t>
  </si>
  <si>
    <t>7.</t>
  </si>
  <si>
    <t>9.</t>
  </si>
  <si>
    <t>10.</t>
  </si>
  <si>
    <t>8.</t>
  </si>
  <si>
    <t>Mulch</t>
  </si>
  <si>
    <t>Paver Patio</t>
  </si>
  <si>
    <t>Walkway (Side Yard)</t>
  </si>
  <si>
    <t>Walkway (Backyard)</t>
  </si>
  <si>
    <t>Lighting</t>
  </si>
  <si>
    <t>Drainage</t>
  </si>
  <si>
    <t>Tools</t>
  </si>
  <si>
    <t>Consulting</t>
  </si>
  <si>
    <t>0.</t>
  </si>
  <si>
    <t>11.</t>
  </si>
  <si>
    <t>12.</t>
  </si>
  <si>
    <t>Kid Labor</t>
  </si>
  <si>
    <t>Software</t>
  </si>
  <si>
    <t xml:space="preserve">Description </t>
  </si>
  <si>
    <t>Date</t>
  </si>
  <si>
    <t>Amount</t>
  </si>
  <si>
    <t>Amount Rounded Up</t>
  </si>
  <si>
    <t>0. Software</t>
  </si>
  <si>
    <t>Estimate</t>
  </si>
  <si>
    <t>Idea Spectrum Realtime Landscaping Software Architect</t>
  </si>
  <si>
    <t>Spent</t>
  </si>
  <si>
    <t>1. Consulting</t>
  </si>
  <si>
    <t>Landscape guy</t>
  </si>
  <si>
    <t>2. Grass and Sprinkler</t>
  </si>
  <si>
    <t>Calculations</t>
  </si>
  <si>
    <t/>
  </si>
  <si>
    <t>Square footage</t>
  </si>
  <si>
    <t>Zones Drip</t>
  </si>
  <si>
    <t>Zones regular</t>
  </si>
  <si>
    <t>Pipe</t>
  </si>
  <si>
    <t>Main line</t>
  </si>
  <si>
    <t>main line</t>
  </si>
  <si>
    <t>Drip back</t>
  </si>
  <si>
    <t>regular line</t>
  </si>
  <si>
    <t>Drip line</t>
  </si>
  <si>
    <t>Drip Carolyn</t>
  </si>
  <si>
    <t>Drip window Well</t>
  </si>
  <si>
    <t>Line #1 (from left)</t>
  </si>
  <si>
    <t>Line #2</t>
  </si>
  <si>
    <t>Line #3</t>
  </si>
  <si>
    <t>Line #4</t>
  </si>
  <si>
    <t>Line #5</t>
  </si>
  <si>
    <t>Totals</t>
  </si>
  <si>
    <t>Sprinkler heads</t>
  </si>
  <si>
    <t>Rotary</t>
  </si>
  <si>
    <t>Pop ups</t>
  </si>
  <si>
    <t>Permit</t>
  </si>
  <si>
    <t>Grass</t>
  </si>
  <si>
    <t>Back reed</t>
  </si>
  <si>
    <t>Second tree</t>
  </si>
  <si>
    <t>URLS</t>
  </si>
  <si>
    <t>3. Mulch</t>
  </si>
  <si>
    <t>North Side</t>
  </si>
  <si>
    <t>South Side</t>
  </si>
  <si>
    <t>Back Side</t>
  </si>
  <si>
    <t>Carolyn Patio</t>
  </si>
  <si>
    <t>Stairs Bed</t>
  </si>
  <si>
    <t>Near Patio</t>
  </si>
  <si>
    <t>Cubic yards needed</t>
  </si>
  <si>
    <t>1 cu yd cover 100 sq ft</t>
  </si>
  <si>
    <t>1x Baby Blue Spruce Tree</t>
  </si>
  <si>
    <t>3x low bushes</t>
  </si>
  <si>
    <t>10x Feather Reed Grass</t>
  </si>
  <si>
    <t xml:space="preserve">sq ft </t>
  </si>
  <si>
    <t>Pavers center</t>
  </si>
  <si>
    <t xml:space="preserve"> Pavers border</t>
  </si>
  <si>
    <t>Sand compactor rental</t>
  </si>
  <si>
    <t>Gray Breeze Gravel (4 inches of base)</t>
  </si>
  <si>
    <t>Mason Sand (1" deep)</t>
  </si>
  <si>
    <t>4. Paver Patio</t>
  </si>
  <si>
    <t>5. Carolyn Patio</t>
  </si>
  <si>
    <t>6. Walkway Side Yard</t>
  </si>
  <si>
    <t>7. Walkway Back Yard</t>
  </si>
  <si>
    <t>13.</t>
  </si>
  <si>
    <t>8. Gate</t>
  </si>
  <si>
    <t>9. Lighting</t>
  </si>
  <si>
    <t xml:space="preserve">Power Controller </t>
  </si>
  <si>
    <t>10. Drainage</t>
  </si>
  <si>
    <t>Porch Front</t>
  </si>
  <si>
    <t>total</t>
  </si>
  <si>
    <t>https://www.homedepot.com/p/NDS-3-in-x-10-ft-EZ-Drain-Prefabricated-French-Drain-with-Pipe-EZ-0702F/203477913</t>
  </si>
  <si>
    <t>11. Tools</t>
  </si>
  <si>
    <t>Razor Back Shovel</t>
  </si>
  <si>
    <t>Razor back pick ax</t>
  </si>
  <si>
    <t>Razor Back rakes</t>
  </si>
  <si>
    <t>Jun Joe TJ603 Tiller</t>
  </si>
  <si>
    <t>https://www.amazon.com/gp/product/B00V6IEVXM/ref=ppx_yo_dt_b_asin_title_o00_s00?ie=UTF8&amp;psc=1</t>
  </si>
  <si>
    <t>Hand tools</t>
  </si>
  <si>
    <t>Dewalt Drill</t>
  </si>
  <si>
    <t>https://www.homedepot.com/p/DEWALT-20-Volt-MAX-XR-Lithium-Ion-Brushless-Cordless-1-2-in-Drill-Driver-with-5-Ah-Battery-Charger-and-Tool-Bag-DCD791P1/312119566</t>
  </si>
  <si>
    <t>Dewalt Wet saw</t>
  </si>
  <si>
    <t>Wheel barrow</t>
  </si>
  <si>
    <t>1000' cat6 outdoor (burial)</t>
  </si>
  <si>
    <t>13. Kid Labor</t>
  </si>
  <si>
    <t>Moving Rock Away from darins</t>
  </si>
  <si>
    <t xml:space="preserve"> </t>
  </si>
  <si>
    <t>mother-in-law Patio</t>
  </si>
  <si>
    <t>Clearing rocks from yard and moving Amendment</t>
  </si>
  <si>
    <t>https://www.homedepot.com/p/Jackson-6-cu-ft-Heavy-Gauge-Seamless-Steel-Wheelbarrow-with-Total-Control-Handles-M6TC14/206205191</t>
  </si>
  <si>
    <t>Arc Thrift Store Patio Book</t>
  </si>
  <si>
    <t>Gloves</t>
  </si>
  <si>
    <t>Ground Plastic</t>
  </si>
  <si>
    <t>Electrical outlet and wall panel</t>
  </si>
  <si>
    <t>Drainage Pipe</t>
  </si>
  <si>
    <t>Rake Backyard</t>
  </si>
  <si>
    <t>Back</t>
  </si>
  <si>
    <t>Carolyn Porch</t>
  </si>
  <si>
    <t>Required</t>
  </si>
  <si>
    <t>2x Pavers 16x16</t>
  </si>
  <si>
    <t>Per sqft</t>
  </si>
  <si>
    <t>1x paver 12x8</t>
  </si>
  <si>
    <t>https://www.homedepot.com/s/1002-846-787?NCNI-5</t>
  </si>
  <si>
    <t>https://www.pavestone.com/</t>
  </si>
  <si>
    <t>72 or more 5.56</t>
  </si>
  <si>
    <t>Paver Examples</t>
  </si>
  <si>
    <t>100' Measuring Tape</t>
  </si>
  <si>
    <t>Electrical Tape and wall mounts</t>
  </si>
  <si>
    <t>EZ Drain Pipe (for Example)</t>
  </si>
  <si>
    <t>Garden Hoe,  8x8 Steel tamper</t>
  </si>
  <si>
    <t>https://www.homedepot.com/p/Advanced-Drainage-Systems-3-in-Polyethylene-Slip-Wye-0322AA/100562986</t>
  </si>
  <si>
    <t>https://www.amazon.com/dp/B06X1D267N/</t>
  </si>
  <si>
    <t>Front path</t>
  </si>
  <si>
    <t>length</t>
  </si>
  <si>
    <t>Side Path</t>
  </si>
  <si>
    <t>Carolyn Porch +</t>
  </si>
  <si>
    <t>250ft 12/3 wire</t>
  </si>
  <si>
    <t>https://www.homedepot.com/p/Southwire-250-ft-12-3-Gray-Solid-CU-UF-B-W-G-Wire-13058355/202316479</t>
  </si>
  <si>
    <t>Conduit</t>
  </si>
  <si>
    <t>https://www.homedepot.com/p/JM-eagle-3-4-in-x-10-ft-PVC-Schedule-40-Conduit-67454/100129197</t>
  </si>
  <si>
    <t>12. Ethernet/Electrical</t>
  </si>
  <si>
    <t>https://www.youtube.com/watch?v=YD_JobNn8kc</t>
  </si>
  <si>
    <t>https://youtu.be/G8s2KuziHZU</t>
  </si>
  <si>
    <t>https://youtu.be/qW19T_t5Hi4</t>
  </si>
  <si>
    <t>Back Trees</t>
  </si>
  <si>
    <t>https://www.homedepot.com/p/Charlotte-Pipe-3-4-in-x-10-ft-PVC-Schedule-40-Plain-End-DWV-Pipe-PVC-04007-0600/100348472</t>
  </si>
  <si>
    <t>https://www.homedepot.com/p/Oatey-8-oz-PVC-Handy-Pack-Purple-Primer-and-Solvent-Cement-302483/100151579</t>
  </si>
  <si>
    <t>https://youtu.be/PGmKPK4yEYo</t>
  </si>
  <si>
    <t>Digging ditches /etc</t>
  </si>
  <si>
    <t>Snap drain coupling</t>
  </si>
  <si>
    <t>https://www.acehardware.com/departments/plumbing/pipe-fittings/plastic-fittings/4807996</t>
  </si>
  <si>
    <t>Level</t>
  </si>
  <si>
    <t>https://www.homedepot.com/p/Empire-True-Blue-12-in-Magnetic-Tool-Box-Level-EM81-12/100081706</t>
  </si>
  <si>
    <t>12" Basin</t>
  </si>
  <si>
    <t>https://www.homedepot.com/p/NDS-12-in-x-12-in-Drainage-Catch-Basin-2-Opening-Kit-1200BKIT/100377423?MERCH=REC-_-plpsearch_multi-_-NA-_-100377423-_-N</t>
  </si>
  <si>
    <t>https://www.homedepot.com/p/NDS-12-in-Plastic-Square-Drainage-Catch-Basin-Grate-with-Wave-Design-in-Green-1224GRRTL/204798934?keyword=052063057576&amp;semanticToken=300300r00122100_b3b479eaab6f866dba7537e7871a56ee_1592221542778+300300r00122100+%3E++cnn%3A%7B14%3A0%7D+cnr%3A%7B7%3A0%7D+cnp%3A%7B10%3A0%7D+cnd%3A%7B4%3A0%7D+cne%3A%7B8%3A0%7D+cnb%3A%7B0%3A0%7D+cns%3A%7B5%3A0%7D+cnx%3A%7B3%3A0%7D+cnq%3A%7B0%3A0%7D+cnw%3A%7B0%3A0%7D+cnv%3A%7B0%3A0%7D+st%3A%7B052063057576%7D%3Ast+oos%3A%7B0%3A1%7D+tgr%3A%7BNo+stage+info%7D+smf%3A%7Bca%2Cbr%7D%3Asmf+nf%3A%7B1%7D%3Anf+qu%3A%7B052063057576%7D%3Aqu</t>
  </si>
  <si>
    <t>12" Platic Drainage Square</t>
  </si>
  <si>
    <t>EZ Drain</t>
  </si>
  <si>
    <t>Ewing hardscape Paver examples</t>
  </si>
  <si>
    <t>C&amp;C SAND &amp; STONE-SITEONCASTLE ROCK COUS</t>
  </si>
  <si>
    <t>Concrete Drill bit</t>
  </si>
  <si>
    <t>Concrete Drills</t>
  </si>
  <si>
    <t>https://www.homedepot.com/p/Tapcon-1-4-in-x-2-3-4-in-Hex-Washer-Head-Concrete-Anchors-25-Pack-24230/100114651</t>
  </si>
  <si>
    <t>https://www.homedepot.com/p/Tapcon-3-16-in-x-5-1-2-in-Carbide-Tipped-Masonery-Drill-Bit-11362/100166555</t>
  </si>
  <si>
    <t>Home Depot Pavers</t>
  </si>
  <si>
    <t>5 Gallon Cooler</t>
  </si>
  <si>
    <t>https://www.lowes.com/pd/Igloo-5-Gallon-Beverage-Cooler/999949202</t>
  </si>
  <si>
    <t>https://www.lowes.com/pd/Kichler-3-Watt-Olde-Bronze-Low-Voltage-Hardwired-LED-Path-Light/1000191807</t>
  </si>
  <si>
    <t>Low voltage light 3 Watt</t>
  </si>
  <si>
    <t>12/2 wire</t>
  </si>
  <si>
    <t>https://www.homedepot.com/p/Southwire-75-ft-12-2-Black-Stranded-CU-Low-Voltage-Landscape-Lighting-Wire-55213446/308403406</t>
  </si>
  <si>
    <t>Maxfit 60 piece tool set</t>
  </si>
  <si>
    <t>https://www.homedepot.com/p/DEWALT-MAXFIT-Screwdriving-Set-60-Piece-DWAMF60/308249340</t>
  </si>
  <si>
    <t>3 different drain end types</t>
  </si>
  <si>
    <t>Stair Light</t>
  </si>
  <si>
    <t>https://www.lowes.com/pd/Portfolio-2-Watt-Specialty-Textured-Bronze-Low-Voltage-Low-Voltage-LED-Step-Light/999928462</t>
  </si>
  <si>
    <t>Wood and pavers for stairs</t>
  </si>
  <si>
    <t>https://www.homedepot.com/p/2-in-x-12-in-x-8-ft-Premium-2-and-Better-Douglas-Fir-Lumber-707195/202094201
https://www.homedepot.com/p/Pavestone-Taverna-Rec-12-in-x-8-in-x-2-in-Eddington-Blend-Concrete-Paver-25329/303540931</t>
  </si>
  <si>
    <t>Pavers for stairs</t>
  </si>
  <si>
    <t>https://www.homedepot.com/p/Pavestone-Taverna-Rec-12-in-x-8-in-x-2-in-Eddington-Blend-Concrete-Paver-25329/303540931</t>
  </si>
  <si>
    <t>Corbin Digging</t>
  </si>
  <si>
    <t>Original Estimate</t>
  </si>
  <si>
    <t>https://unilock.com/product/beacon-hill-smooth-chicago/</t>
  </si>
  <si>
    <t>Pipe Cutter</t>
  </si>
  <si>
    <t>https://youtu.be/_cT0r8VkzQY</t>
  </si>
  <si>
    <t>Ethernet/Electrical</t>
  </si>
  <si>
    <t>Kyndall Diggin</t>
  </si>
  <si>
    <t>https://www.amazon.com/gp/product/B00HO02GPQ/
https://www.homedepot.com/p/Southwire-500-ft-12-2-Black-Stranded-CU-Low-Voltage-Landscape-Lighting-Wire-55213445/202316307</t>
  </si>
  <si>
    <t>Southwire 12-2 Landscape Lighting Cable 500 ft.</t>
  </si>
  <si>
    <t>5x Low voltage light 3 Watt</t>
  </si>
  <si>
    <t>https://www.amazon.com/gp/product/B001HWQAI6/</t>
  </si>
  <si>
    <t>Misc conduit pipe stuff</t>
  </si>
  <si>
    <t xml:space="preserve">https://www.homedepot.com/p/TAYMAC-2-Gang-Weatherproof-Extra-Duty-In-Use-Clear-Cover-MM2420C/302212637
https://www.homedepot.com/p/BELL-1-2-in-Gray-Weatherproof-Closure-Plug-4-Pack-5269-0B/204208004
https://www.homedepot.com/p/BELL-Gray-2-Gang-Weatherproof-Box-with-Three-1-2-in-Threaded-Outlets-5333-0B/204208017
https://www.homedepot.com/p/BELL-Gray-2-Gang-Weatherproof-Box-with-Three-1-2-in-Threaded-Outlets-5333-0B/204208017
https://www.homedepot.com/p/3-4-in-Male-Terminal-Adapter-R5140104/202043511
https://www.homedepot.com/p/Carlon-3-4-in-45-Degree-Schedule-40-PVC-Belled-End-Standard-Radius-Elbow-UA7AEB-CTN/100404150
https://www.homedepot.com/p/Carlon-3-4-in-90-Degree-Schedule-40-PVC-Belled-End-Standard-Radius-Elbow-UA9AEB-CTN/202304074
https://www.homedepot.com/p/Oatey-8-oz-PVC-Electrical-Solvent-Cement-Gray-31040/206751887
</t>
  </si>
  <si>
    <t>https://www.cablewholesale.com/products/network-phone/cat-6-cable-bulk/product-10x8-622nh.php
https://www.amazon.com/gp/product/B005AIP8Z4/</t>
  </si>
  <si>
    <t>https://www.amazon.com/gp/product/B083G9KT4C/</t>
  </si>
  <si>
    <t>Amcrest POE camera</t>
  </si>
  <si>
    <t>Corbin Weekend</t>
  </si>
  <si>
    <t>Kyndall Weekend</t>
  </si>
  <si>
    <t>2x EZ Drain</t>
  </si>
  <si>
    <t>3x Caulk</t>
  </si>
  <si>
    <t xml:space="preserve">https://www.homedepot.com/p/DAP-Alex-Plus-10-1-oz-White-Acrylic-Latex-Caulk-Plus-Silicone-18103/100097524
</t>
  </si>
  <si>
    <t>2x Caps</t>
  </si>
  <si>
    <t>https://www.homedepot.com/p/NDS-4-in-PVC-Sewer-and-Drain-Cap-4P06/100172701</t>
  </si>
  <si>
    <t>6x 3" snap Coupler</t>
  </si>
  <si>
    <t>https://www.homedepot.com/p/Advanced-Drainage-Systems-3-in-Polyethylene-Slip-External-Snap-Coupler-0312AA/100568058</t>
  </si>
  <si>
    <t>12" Catch Basin</t>
  </si>
  <si>
    <t>2x 2-gang weatherproof box</t>
  </si>
  <si>
    <t>https://www.homedepot.com/p/BELL-2-Gang-Weatherproof-Box-with-Three-3-4-in-Outlets-5341-0B/204208020</t>
  </si>
  <si>
    <t>GFCI</t>
  </si>
  <si>
    <t>https://www.homedepot.com/p/Leviton-15-Amp-Self-Test-SmartlockPro-Slim-Duplex-GFCI-Outlet-White-R72-GFNT1-0RW/205996720</t>
  </si>
  <si>
    <t>2x GFCI Weather Resistance</t>
  </si>
  <si>
    <t>https://www.homedepot.com/p/Leviton-15-Amp-125-Volt-Duplex-Self-Test-Tamper-Resistant-Weather-Resistant-GFCI-Outlet-White-R92-GFWT1-0KW/205996792</t>
  </si>
  <si>
    <t>6x 3/4" PVC Tee</t>
  </si>
  <si>
    <t>https://www.homedepot.com/p/Charlotte-Pipe-3-4-in-PVC-Sch-40-S-x-S-Tee-PVC024000800HD/203812197</t>
  </si>
  <si>
    <t>3/4" PVC ball Valve</t>
  </si>
  <si>
    <t>https://www.homedepot.com/p/Homewerks-Worldwide-3-4-in-PVC-Sch-40-Slip-x-Slip-Ball-Valve-VBVP40E4B/202370032</t>
  </si>
  <si>
    <t>3/4 in male adapter</t>
  </si>
  <si>
    <t>https://www.homedepot.com/p/3-4-in-Schedule-40-PVC-Male-Adapter-C436-007/100348150</t>
  </si>
  <si>
    <t>3/4" brass fitting</t>
  </si>
  <si>
    <t>https://www.homedepot.com/p/Everbilt-3-4-in-MHT-x-3-4-in-FIP-Brass-Adapter-Fitting-801759/300096107?keyword=887480017595&amp;semanticToken=300300r001221000_25333d11eda3fbdb193fa117022b22de_1593355542104+300300r001221000+%3E++cnn%3A%7B14%3A0%7D+cnr%3A%7B7%3A0%7D+cnp%3A%7B10%3A0%7D+cnd%3A%7B4%3A0%7D+cne%3A%7B8%3A0%7D+cnb%3A%7B0%3A0%7D+cns%3A%7B5%3A0%7D+cnx%3A%7B3%3A0%7D+cnq%3A%7B0%3A0%7D+cnw%3A%7B0%3A0%7D+cnv%3A%7B0%3A0%7D+st%3A%7B887480017595%7D%3Ast+oos%3A%7B0%3A1%7D+tgr%3A%7BNo+stage+info%7D+smf%3A%7Bca%2Cbr%7D%3Asmf+nf%3A%7B1%7D%3Anf+qu%3A%7B887480017595%7D%3Aqu</t>
  </si>
  <si>
    <t>2x 3/4" ball valve</t>
  </si>
  <si>
    <t>https://www.homedepot.com/p/Everbilt-3-4-in-Lead-Free-Brass-Threaded-FPT-x-FPT-Ball-Valve-116-2-34-EB/205816051?keyword=820633959687&amp;semanticToken=300300r001221000_d7ef2063de8c33113ab95bdcb906d8d8_1593355588523+300300r001221000+%3E++cnn%3A%7B14%3A0%7D+cnr%3A%7B7%3A0%7D+cnp%3A%7B10%3A0%7D+cnd%3A%7B4%3A0%7D+cne%3A%7B8%3A0%7D+cnb%3A%7B0%3A0%7D+cns%3A%7B5%3A0%7D+cnx%3A%7B3%3A0%7D+cnq%3A%7B0%3A0%7D+cnw%3A%7B0%3A0%7D+cnv%3A%7B0%3A0%7D+st%3A%7B820633959687%7D%3Ast+oos%3A%7B0%3A1%7D+tgr%3A%7BNo+stage+info%7D+smf%3A%7Bca%2Cbr%7D%3Asmf+nf%3A%7B1%7D%3Anf+qu%3A%7B820633959687%7D%3Aqu</t>
  </si>
  <si>
    <t>PVC Solvent</t>
  </si>
  <si>
    <t>https://www.homedepot.com/p/Oatey-8-oz-PVC-Handy-Pack-Purple-Primer-and-Solvent-Cement-302483/100151579?keyword=038753302485&amp;semanticToken=d00300r011221000_51e3b4cfae674eb36b6f28079ba35b1b_1593355676733+d00300r011221000+%3E++cnn%3A%7B14%3A0%7D+cnr%3A%7B7%3A0%7D+cnp%3A%7B10%3A0%7D+cnd%3A%7B4%3A0%7D+cne%3A%7B8%3A0%7D+cnb%3A%7B0%3A0%7D+cns%3A%7B5%3A0%7D+cnx%3A%7B3%3A0%7D+cnq%3A%7B0%3A0%7D+cnw%3A%7B0%3A0%7D+cnv%3A%7B0%3A0%7D+st%3A%7B038753302485%7D%3Ast+oos%3A%7B0%3A1%7D+tgr%3A%7BNo+stage+info%7D+smf%3A%7Bca%2Cbr%7D%3Asmf+nf%3A%7B1%7D%3Anf+qu%3A%7B038753302485%7D%3Aqu</t>
  </si>
  <si>
    <t>3/4" PVC socket</t>
  </si>
  <si>
    <t>https://www.homedepot.com/p/Charlotte-Pipe-3-4-in-PVC-Coupling-Socket-x-Socket-50-Pack-PVC-02100-0850HD/307851979</t>
  </si>
  <si>
    <t>3/4" PVC 90 deg pack</t>
  </si>
  <si>
    <t>https://www.homedepot.com/p/Charlotte-Pipe-3-4-in-PVC-90-Degree-Elbow-Socket-x-Socket-35-Pack-PVC-02300-0835HD/307852036</t>
  </si>
  <si>
    <t>3/4" PVC 45 deg pack</t>
  </si>
  <si>
    <t>https://www.homedepot.com/p/Charlotte-Pipe-3-4-in-PVC-Elbow-SxS-20-Pack-PVC-02309-0820HD/307852172</t>
  </si>
  <si>
    <t>5x 10' 3" corrugated drain pipes</t>
  </si>
  <si>
    <t>https://www.homedepot.com/p/Advanced-Drainage-Systems-3-in-x-10-ft-Corrugated-Pipes-Drain-Pipe-Solid-03540010/202522641?keyword=096942631877&amp;semanticToken=300300r001221000_1bc6c7683957fd31643c49a77cb5b8e9_1593357360283+300300r001221000+%3E++cnn%3A%7B14%3A0%7D+cnr%3A%7B7%3A0%7D+cnp%3A%7B10%3A0%7D+cnd%3A%7B4%3A0%7D+cne%3A%7B8%3A0%7D+cnb%3A%7B0%3A0%7D+cns%3A%7B5%3A0%7D+cnx%3A%7B3%3A0%7D+cnq%3A%7B0%3A0%7D+cnw%3A%7B0%3A0%7D+cnv%3A%7B0%3A0%7D+st%3A%7B096942631877%7D%3Ast+oos%3A%7B0%3A1%7D+tgr%3A%7BNo+stage+info%7D+smf%3A%7Bca%2Cbr%7D%3Asmf+nf%3A%7B1%7D%3Anf+qu%3A%7B096942631877%7D%3Aqu</t>
  </si>
  <si>
    <t>10x 3/4" PVC sch 40 10ft</t>
  </si>
  <si>
    <t>4x Mitered Drains</t>
  </si>
  <si>
    <t>https://drainageproducts.us/3-pvc-sch-40-mitered-drain-w-brown-hdpe-grate/</t>
  </si>
  <si>
    <t>4' Tall stakes</t>
  </si>
  <si>
    <t>https://www.homedepot.com/p/1-in-x-2-in-x-48-in-Grade-Stakes-12-Pieces-462633/202090640</t>
  </si>
  <si>
    <t>5x Low voltage light 3 Watt and 2 Watt bulb</t>
  </si>
  <si>
    <t>NDS cap for Drain</t>
  </si>
  <si>
    <t>https://www.amazon.com/gp/product/B000BOB7O8
https://www.acehardware.com/departments/plumbing/parts-and-repair/catch-basins-and-covers/4865820</t>
  </si>
  <si>
    <t>3x 3" ABS CAP</t>
  </si>
  <si>
    <t>https://www.homedepot.com/p/NIBCO-3-in-ABS-DWV-Hub-Cap-C5817HD3/204700370</t>
  </si>
  <si>
    <t>4x 3" Drain pipe</t>
  </si>
  <si>
    <t>https://www.homedepot.com/p/Advanced-Drainage-Systems-3-in-x-10-ft-Corrugated-Pipes-Drain-Pipe-Solid-03540010/202522641</t>
  </si>
  <si>
    <t>2x PVC cross</t>
  </si>
  <si>
    <t>https://www.homedepot.com/p/Charlotte-Pipe-3-4-in-PVC-Sch-40-S-x-S-x-S-x-S-Cross-PVC024100600HD/203812455</t>
  </si>
  <si>
    <t>3/4" 45deg PVC</t>
  </si>
  <si>
    <t>https://www.homedepot.com/p/3-4-in-Schedule-40-PVC-45-Degree-Elbow-C417-007/100346876</t>
  </si>
  <si>
    <t>3/4" PVC Cap</t>
  </si>
  <si>
    <t>https://www.homedepot.com/p/3-4-in-Schedule-40-PVC-Cap-C447-007/100345011</t>
  </si>
  <si>
    <t>4x 3/4 PVC Plug</t>
  </si>
  <si>
    <t>https://www.homedepot.com/p/3-4-in-Schedule-40-PVC-Plug-C450-007/100343628</t>
  </si>
  <si>
    <t>2x 3/4" PVC Tee</t>
  </si>
  <si>
    <t>https://www.homedepot.com/p/3-4-in-Schedule-40-PVC-Tee-C402-007/100347255</t>
  </si>
  <si>
    <t>8x 3/4" Male Adapter</t>
  </si>
  <si>
    <t>2x 3/4" PVC Cap</t>
  </si>
  <si>
    <t>https://www.homedepot.com/p/3-4-in-Schedule-40-PVC-Cap-C448-007/100345647</t>
  </si>
  <si>
    <t>3/4" PVC 90 def elbow</t>
  </si>
  <si>
    <t>https://www.homedepot.com/p/3-4-in-Schedule-40-PVC-90-Degree-Elbow-C410-007/100344758?keyword=049081141684&amp;semanticToken=300300r001221000_762b7395285015eeff5597ae80a5521a_1593361216779+300300r001221000+%3E++cnn%3A%7B14%3A0%7D+cnr%3A%7B7%3A0%7D+cnp%3A%7B10%3A0%7D+cnd%3A%7B4%3A0%7D+cne%3A%7B8%3A0%7D+cnb%3A%7B0%3A0%7D+cns%3A%7B5%3A0%7D+cnx%3A%7B3%3A0%7D+cnq%3A%7B0%3A0%7D+cnw%3A%7B0%3A0%7D+cnv%3A%7B0%3A0%7D+st%3A%7B049081141684%7D%3Ast+oos%3A%7B0%3A1%7D+tgr%3A%7BNo+stage+info%7D+smf%3A%7Bca%2Cbr%7D%3Asmf+nf%3A%7B1%7D%3Anf+qu%3A%7B049081141684%7D%3Aqu</t>
  </si>
  <si>
    <t>3x 3/4 Ball Valve</t>
  </si>
  <si>
    <t>https://www.homedepot.com/p/Everbilt-3-4-in-Lead-Free-Brass-Threaded-FPT-x-FPT-Ball-Valve-116-2-34-EB/205816051</t>
  </si>
  <si>
    <t>3/4" Iron TEE</t>
  </si>
  <si>
    <t>https://www.homedepot.com/p/LDR-Industries-3-4-in-Galvanized-Iron-Tee-313-T-34/100560785</t>
  </si>
  <si>
    <t>3/4" Brass Garden Valve</t>
  </si>
  <si>
    <t>https://www.homedepot.com/p/Everbilt-3-4-in-Brass-FHT-x-MHT-Garden-Valve-VGRBNOB4EB/205812113</t>
  </si>
  <si>
    <t>3/4" Galvanized Steel pipe</t>
  </si>
  <si>
    <t>https://www.homedepot.com/p/VPC-3-4-in-x-18-in-Galvanized-Steel-Schedule-40-Cut-Pipe-22-727518/304751933</t>
  </si>
  <si>
    <t>3/4" Pressure Gauge</t>
  </si>
  <si>
    <t>https://www.homedepot.com/p/Watts-3-4-in-Plastic-Water-Pressure-Test-Gauge-DP-IWTG/100175467</t>
  </si>
  <si>
    <t>https://www.homedepot.com/p/NDS-12-in-x-12-in-Drainage-Catch-Basin-2-Opening-Kit-1200BKIT/100377423</t>
  </si>
  <si>
    <t>Hand Pump</t>
  </si>
  <si>
    <t>https://www.homedepot.com/p/VPC-Pump-A-Way-Manual-Non-Submersible-Hand-Pump-9136/202277592</t>
  </si>
  <si>
    <t>3" solid end cap</t>
  </si>
  <si>
    <t>https://www.homedepot.com/p/Advanced-Drainage-Systems-3-in-Solid-Snap-End-Cap-0332AA/100541009</t>
  </si>
  <si>
    <t>3" slip wye</t>
  </si>
  <si>
    <t>10x Drainage Pipe</t>
  </si>
  <si>
    <t>path</t>
  </si>
  <si>
    <t>500' https://www.wireandcableyourway.com/12-2c-landscape-lighting-cable.html</t>
  </si>
  <si>
    <t>RETURN OF 3/4 stuff</t>
  </si>
  <si>
    <t>Sprinkler Valve Box</t>
  </si>
  <si>
    <t>https://www.homedepot.com/p/NDS-10-in-Circular-Valve-Box-111BC/100037622</t>
  </si>
  <si>
    <t>Jumbo Valve Box</t>
  </si>
  <si>
    <t>https://www.homedepot.com/p/NDS-13-in-x-20-in-Standard-Jumbo-Valve-Box-with-ICV-Overlapping-Cover-117BC/100377391</t>
  </si>
  <si>
    <t>1"X10' PVC Pipe</t>
  </si>
  <si>
    <t>https://www.homedepot.com/p/1-in-x-10-ft-PVC-Schedule-40-Plain-End-Pipe-531194/202280936</t>
  </si>
  <si>
    <t xml:space="preserve">Tee Pack https://www.homedepot.com/p/Charlotte-Pipe-1-in-SxSxS-PVC-Tee-10-Pack-PVC-02400-1010HD/307852210
90 deg elbow https://www.homedepot.com/p/Charlotte-Pipe-1-SCH-90-Degree-Elbow-Socket-x-Socket-15-Pack-PVC023001015HD/311317449
coupling https://www.homedepot.com/p/Charlotte-Pipe-1-in-PVC-Sch-40-Coupling-SxS-25-Pack-PVC-02100-1025HD/307851996
1" PVC Male Adapter https://www.homedepot.com/p/1-in-Schedule-40-PVC-Male-Adapter-C436-010/100344011
1 x 1/3/4 PVC reducing https://www.homedepot.com/p/1-in-x-3-4-in-Sch-40-PVC-Reducing-Male-Adapter-C436-131/100343192
1" Cap https://www.homedepot.com/p/1-in-Schedule-40-PVC-Cap-C447-010/100347518
3/4" by 1" https://www.homedepot.com/p/Charlotte-Pipe-3-4-in-x-1-in-PVC-Sch-40-MPT-x-S-Reducer-Male-Adapter-PVC-02110-0700HD/203825614
3/4" plug https://www.homedepot.com/p/3-4-in-Schedule-40-PVC-Plug-C450-007/100343628
1in  Tee https://www.homedepot.com/p/1-in-x-1-in-x-3-4-in-Schedule-40-PVC-Reducing-Tee-C402-131/100344816
3/4" female adapter https://www.homedepot.com/p/3-4-in-Schedule-40-PVC-Female-Adapter-C435-007/100345266
1" - 3/4" Tee https://www.homedepot.com/p/1-in-x-1-in-x-3-4-in-Schedule-40-PVC-Reducing-Tee-C401-131/100345365
45 deg bend https://www.homedepot.com/p/3-4-in-Schedule-40-PVC-45-Degree-Elbow-C417-007/100346876
Plumbers tape 
3/4" by 1" male adapter https://www.homedepot.com/p/Charlotte-Pipe-3-4-in-x-1-in-PVC-Sch-40-MPT-x-S-Reducer-Male-Adapter-PVC-02110-0700HD/203825614
socket Elbow https://www.homedepot.com/p/Charlotte-Pipe-1-in-PVC-Side-Outlet-90-Degree-Socket-Elbow-PVC-02510-1000/309215012
Brass fitting https://www.homedepot.com/p/Everbilt-3-4-in-MHT-x-3-4-in-FIP-Brass-Adapter-Fitting-801759/300096107
</t>
  </si>
  <si>
    <t>1" Brass Valve</t>
  </si>
  <si>
    <t xml:space="preserve">https://www.homedepot.com/p/Apollo-1-in-Lead-Free-Brass-FNPT-x-FNPT-Full-Port-Ball-Valve-94ALF10501A/305975196
</t>
  </si>
  <si>
    <t xml:space="preserve">Rainbird rotor https://www.homedepot.com/p/Rain-Bird-CP-3504-Part-Circle-Rotor-CP-3504-PC/203209338
Swing Arm https://www.homedepot.com/p/Rain-Bird-6-in-x-1-2-in-x-3-4-in-Swing-Pipe-Assembly-SA65/203258176
</t>
  </si>
  <si>
    <t>https://www.amazon.com/gp/product/B000VHE8RS/</t>
  </si>
  <si>
    <t>Rain Bird 22SAF Mini Rotary Pop-Up Spray,</t>
  </si>
  <si>
    <t>Return Brass Fitting</t>
  </si>
  <si>
    <t xml:space="preserve">1" male Adapter https://www.homedepot.com/p/1-in-Schedule-40-PVC-Male-Adapter-C436-010/100344011
1" Cross https://www.homedepot.com/p/Charlotte-Pipe-1-in-PVC-Sch-40-S-x-S-x-S-x-S-Cross-PVC024100800HD/203812457
45 Elbow https://www.homedepot.com/p/1-in-Schedule-40-PVC-45-Degree-Elbow-C417-010/100345015
1" x 3/4 pvc https://www.homedepot.com/p/Charlotte-Pipe-1-in-x-3-4-in-PVC-Sch-40-S-x-FPT-Reducer-Female-Adapter-PVC-02101-3800HD/203824436
1 x 3/4 male https://www.homedepot.com/p/Charlotte-Pipe-3-4-in-x-1-in-PVC-Sch-40-MPT-x-S-Reducer-Male-Adapter-PVC-02110-0700HD/203825614
</t>
  </si>
  <si>
    <t>Brass Fitting</t>
  </si>
  <si>
    <t>https://www.homedepot.com/p/Everbilt-3-4-in-FHT-x-3-4-in-FIP-Brass-Adapter-Fitting-801749/300096258</t>
  </si>
  <si>
    <t xml:space="preserve">4" Sprinkler https://www.homedepot.com/p/Rain-Bird-Adjustable-Pattern-4-in-Pop-Up-Spray-Head-1804AP-25/100167622
6" Swing arm https://www.homedepot.com/p/Rain-Bird-6-in-x-1-2-in-x-1-2-in-Swing-Assembly-SA5S/100141993
</t>
  </si>
  <si>
    <t>https://www.homedepot.com/p/Rain-Bird-1800-Series-4-in-Pressure-Regulated-High-Efficiency-Spray-1804HEVNPR/206617992</t>
  </si>
  <si>
    <t>Rainbird sprinkler 1804HEVNPR</t>
  </si>
  <si>
    <t>https://sprinklersupplystore.com/products/dura-010-manifold-tee</t>
  </si>
  <si>
    <t>Manifold Tee 1"</t>
  </si>
  <si>
    <t>1" x 10' PVC pipe</t>
  </si>
  <si>
    <t>1 - 1/4" x 10ft PVC Conduit</t>
  </si>
  <si>
    <t>https://www.homedepot.com/p/JM-eagle-1-1-4-in-x-10-ft-PVC-Schedule-40-Conduit-67470/100196693</t>
  </si>
  <si>
    <t>3/4" 90 deg bend</t>
  </si>
  <si>
    <t>https://www.homedepot.com/p/Carlon-3-4-in-90-Degree-Schedule-40-PVC-Belled-End-Standard-Radius-Elbow-UA9AEB-CTN/202304074</t>
  </si>
  <si>
    <t>1" Brass Ball valve</t>
  </si>
  <si>
    <t>https://www.homedepot.com/p/Apollo-1-in-Lead-Free-Brass-FNPT-x-FNPT-Full-Port-Ball-Valve-94ALF10501A/305975196</t>
  </si>
  <si>
    <t>PVC Glue</t>
  </si>
  <si>
    <t xml:space="preserve">1" PVC Male Adapter https://www.homedepot.com/p/1-in-Schedule-40-PVC-Male-Adapter-C436-010/100344011
PTFE TAPE 
1-1/4" 90 Deg PVC https://www.homedepot.com/p/Carlon-1-1-4-in-90-Degree-Schedule-40-PVC-Belled-End-Standard-Radius-Elbow-UA9AGB-CTN/202303990
3/4" galvanized Tube Straps https://www.homedepot.com/p/Oatey-3-4-in-Galvanized-Tube-Strap-2-Hole-10-Pack-33543/303434704
3/4" PVC Cap https://www.homedepot.com/p/3-4-in-Schedule-40-PVC-Cap-C448-007/100345647
3/4" by 1" male adapter https://www.homedepot.com/p/Charlotte-Pipe-3-4-in-x-1-in-PVC-Sch-40-MPT-x-S-Reducer-Male-Adapter-PVC-02110-0700HD/203825614
1" PVC 25 pack https://www.homedepot.com/p/Charlotte-Pipe-1-in-PVC-Sch-40-Coupling-SxS-25-Pack-PVC-02100-1025HD/307851996
1" PVC Cap https://www.homedepot.com/p/1-in-Schedule-40-PVC-Cap-C447-010/100347518?keyword=049081136826
</t>
  </si>
  <si>
    <t>3" by 3" PVC coupling</t>
  </si>
  <si>
    <t>https://www.homedepot.com/p/Fernco-3-in-x-3-in-PVC-DWV-Mechanical-Flexible-Coupling-P1056-33/100372296</t>
  </si>
  <si>
    <t>Hole Dozer Saw Set Pack</t>
  </si>
  <si>
    <t>https://www.homedepot.com/p/Milwaukee-Hole-Dozer-General-Purpose-Bi-Metal-Hole-Saw-Set-13-Piece-49-22-4025/202327772</t>
  </si>
  <si>
    <t>https://sprinklersupplystore.com/products/100-hv-npt-rainbird-1-26-34-fxf-valve</t>
  </si>
  <si>
    <t xml:space="preserve">1-1/4 90 deg PVC https://www.homedepot.com/p/Charlotte-Pipe-1-1-4-in-PVC-Sch-40-90-Degree-S-x-S-Elbow-PVC023001200HD/203812127
Extension Cord https://www.homedepot.com/p/HDX-15-ft-16-3-Indoor-Tight-Space-Cube-Tap-Extension-Cord-White-HD-433-950/202529045
1-1/4 galvanized Tube https://www.homedepot.com/p/Oatey-1-1-4-in-Galvanized-Tube-Strap-2-Hole-4-Pack-33545/303434700
1-1/4" x 10' PVC https://www.homedepot.com/p/1-1-4-in-x-10-ft-PVC-Sch-40-DWV-Plain-End-Pipe-1586/100147742
</t>
  </si>
  <si>
    <t>6ft 13 amp 3-prong</t>
  </si>
  <si>
    <t>https://www.homedepot.com/p/HDX-6-ft-13-Amp-3-Prong-Grey-Appliance-Replacement-Cord-HD-588-547/100672804</t>
  </si>
  <si>
    <t xml:space="preserve">1/4 x 12" Drill Bit https://www.homedepot.com/p/DEWALT-1-4-in-x-12-in-Black-and-Gold-Drill-Bit-DW1606-G/202579645
12" x 3/8 Extension https://www.homedepot.com/p/Milwaukee-12-in-x-3-8-in-Bit-Extension-for-Selfeed-Bits-and-Hole-Saws-48-28-4008/202256266
1-1/8 hole dozer https://www.homedepot.com/p/Milwaukee-1-1-8-in-Hole-Dozer-Bi-Metal-Hole-Saw-49-56-9611/202327745
1-3/4 hole https://www.homedepot.com/p/Milwaukee-1-3-4-in-Hole-Dozer-Bi-Metal-Hole-Saw-49-56-9621/202327749
</t>
  </si>
  <si>
    <t>500' 18/10 sprinkler wire</t>
  </si>
  <si>
    <t>https://www.homedepot.com/p/Southwire-500-ft-18-10-Black-Solid-UL-Burial-Sprinkler-System-Wire-49270245/202316416</t>
  </si>
  <si>
    <t>https://www.amazon.com/gp/product/B07RM8W33F/</t>
  </si>
  <si>
    <t>Rainbird ESPME3 controller</t>
  </si>
  <si>
    <t>1-1/4" x 10' PVC Pipe</t>
  </si>
  <si>
    <t>https://www.homedepot.com/p/1-1-4-in-x-10-ft-PVC-Sch-40-DWV-Plain-End-Pipe-1586/100147742</t>
  </si>
  <si>
    <t>3/4" 90 deg elbow</t>
  </si>
  <si>
    <t>12x 3/4" x 10ft conduit</t>
  </si>
  <si>
    <t>13x  Rainbird valve 100-HV-NPT</t>
  </si>
  <si>
    <t>2x Ethernet Wall Plate</t>
  </si>
  <si>
    <t>https://www.homedepot.com/p/Commercial-Electric-2-Port-Decor-Data-Wall-Plate-Insert-White-5152-WH/206427829</t>
  </si>
  <si>
    <t>Saw Blade</t>
  </si>
  <si>
    <t>https://www.homedepot.com/p/DIABLO-4-in-x-6-TPI-Fast-and-Wood-Bi-Metal-Jigsaw-Blade-5-Pack-DJT101DF5/313114938</t>
  </si>
  <si>
    <t>PVC electrical solvent Gray</t>
  </si>
  <si>
    <t>https://www.homedepot.com/p/16-oz-PVC-Electrical-Solvent-Cement-Gray-31041/206751903</t>
  </si>
  <si>
    <t>2x  1-1/4 x 3/4 PVC reducer Bushing</t>
  </si>
  <si>
    <t>https://www.homedepot.com/p/Charlotte-Pipe-1-1-4-in-x-3-4-in-PVC-Sch-40-SPG-x-S-Reducer-Bushing-PVC021070950HD/203811453</t>
  </si>
  <si>
    <t>2x 1-1/2 PVC sch</t>
  </si>
  <si>
    <t>https://www.homedepot.com/p/Charlotte-Pipe-1-1-2-in-PVC-Sch-40-S-x-S-Coupling-PVC021001400HD/203811389</t>
  </si>
  <si>
    <t>4x  1-1/2 45 deg bend</t>
  </si>
  <si>
    <t>https://www.homedepot.com/p/Carlon-1-1-2-in-45-Degree-Schedule-40-PVC-Belled-End-Standard-Radius-Elbow-UA7AHB-CAR/100404155</t>
  </si>
  <si>
    <t>8x 90deg bend</t>
  </si>
  <si>
    <t>https://www.homedepot.com/p/Carlon-1-1-2-in-90-Degree-Schedule-40-PVC-Belled-End-Standard-Radius-Elbow-UA9AHB-CTN/100404165</t>
  </si>
  <si>
    <t>21x 1-1/2 x 10ft</t>
  </si>
  <si>
    <t>https://www.homedepot.com/p/JM-eagle-1-1-2-in-x-10-ft-PVC-Schedule-40-Conduit-67488/100140678</t>
  </si>
  <si>
    <t>Gang Box</t>
  </si>
  <si>
    <t>https://www.homedepot.com/p/Carlon-18-cu-in-Type-FSC-Gray-PVC-Electrical-Box-for-3-4-Conduit-E982EFN-CTN/100404109</t>
  </si>
  <si>
    <t>2x Box-gang 5 hole</t>
  </si>
  <si>
    <t>https://www.homedepot.com/p/2-Gang-Weatherproof-Box-with-Five-3-4-in-Outlets-5345-0B/204208021</t>
  </si>
  <si>
    <t>Yello Wire Connector</t>
  </si>
  <si>
    <t>https://www.homedepot.com/p/Commercial-Electric-Standard-Wire-Connectors-Yellow-30-Pack-778123/302686279</t>
  </si>
  <si>
    <t>Red Wire Connector</t>
  </si>
  <si>
    <t>https://www.homedepot.com/p/Commercial-Electric-Standard-Wire-Connectors-Red-30-Pack-778124/302686275</t>
  </si>
  <si>
    <t>4x 3/4 male adapter</t>
  </si>
  <si>
    <t>https://www.homedepot.com/p/3-4-in-Male-Terminal-Adapter-R5140104/202043511</t>
  </si>
  <si>
    <t>2x 90 deg elbow</t>
  </si>
  <si>
    <t>1 Gang blank plastic cover</t>
  </si>
  <si>
    <t>https://www.homedepot.com/p/BELL-1-Gang-Blank-Plastic-Cover-Gray-PBC100GYB/204125641</t>
  </si>
  <si>
    <t>3/4" x 10ft</t>
  </si>
  <si>
    <t>Return of big pipe</t>
  </si>
  <si>
    <t>3x 3/4 x 10ft pvc</t>
  </si>
  <si>
    <t>3x 90 deg elbow</t>
  </si>
  <si>
    <t>waterproof direct burial</t>
  </si>
  <si>
    <t>https://www.amazon.com/gp/product/B07D538F86</t>
  </si>
  <si>
    <t>mini Patch Panel</t>
  </si>
  <si>
    <t>https://www.amazon.com/gp/product/B00UVQI8B6/ref=ppx_yo_dt_b_asin_title_o01_s00?ie=UTF8&amp;psc=1</t>
  </si>
  <si>
    <t>Corbin/Kyndall rocks</t>
  </si>
  <si>
    <t>PVC pipe tc</t>
  </si>
  <si>
    <t xml:space="preserve">https://www.homedepot.com/p/3-4-in-Schedule-40-PVC-Plug-C450-007/100343628
https://www.homedepot.com/p/Grease-Cap-with-Orange-Nut-25-Pack-57505W/100195778
</t>
  </si>
  <si>
    <t>https://www.homedepot.com/p/Vigoro-4-in-Weed-Barrier-Landscape-Fabric-Garden-Staples-500-Pack-8500RV/302720136</t>
  </si>
  <si>
    <t>PVC Parts</t>
  </si>
  <si>
    <t>s</t>
  </si>
  <si>
    <t>Kyndall.Megan</t>
  </si>
  <si>
    <t>Caution Tape</t>
  </si>
  <si>
    <t>https://www.homedepot.com/p/Empire-3-in-x-500-ft-Reinforced-Caution-Tape-76-0600/100653634</t>
  </si>
  <si>
    <t>3 ft. x 100 ft. Silt Fence</t>
  </si>
  <si>
    <t>https://www.homedepot.com/p/HDX-3-ft-x-100-ft-Silt-Fence-14987/202521468</t>
  </si>
  <si>
    <t>6x 3" drain pipe</t>
  </si>
  <si>
    <t>Bit Set</t>
  </si>
  <si>
    <t>https://www.homedepot.com/p/Milwaukee-SHOCKWAVE-IMPACT-DUTY-Titanium-Drill-Bit-Set-23-Piece-48-89-4631/205879024</t>
  </si>
  <si>
    <t>Electrical Tape</t>
  </si>
  <si>
    <t>https://www.amazon.com/gp/product/B005GDFZ92/</t>
  </si>
  <si>
    <t>2x Spray Paint</t>
  </si>
  <si>
    <t>https://www.homedepot.com/p/Rust-Oleum-Stops-Rust-12-oz-Protective-Enamel-Satin-Dark-Brown-Spray-Paint-241239/100670389</t>
  </si>
  <si>
    <t>Jumbo shallow green box</t>
  </si>
  <si>
    <t>https://www.homedepot.com/p/13-in-x-20-in-x-6-in-Jumbo-Extension-with-Overlapping-ICV-Cover-in-Black-Green-119/100178890</t>
  </si>
  <si>
    <t>3x 2 in gutter elbow</t>
  </si>
  <si>
    <t>https://www.homedepot.com/p/Amerimax-Home-Products-2-in-x-3-in-White-Vinyl-A-Elbow-M0627/100093114</t>
  </si>
  <si>
    <t>2" white steel gutter 75 deg</t>
  </si>
  <si>
    <t>https://www.homedepot.com/p/Gibraltar-Building-Products-2-in-x-3-in-White-Steel-75-Degree-B-Style-Downspout-Elbow-CE23WH-B75/203288976</t>
  </si>
  <si>
    <t>2" white downspout</t>
  </si>
  <si>
    <t>https://www.homedepot.com/p/Gibraltar-Building-Products-2-in-x-3-in-White-Steel-75-Degree-A-Style-Downspout-Elbow-CE23WH-A75/203288960</t>
  </si>
  <si>
    <t>Oringal Estimate</t>
  </si>
  <si>
    <t>https://www.homedepot.com/p/Amerimax-Home-Products-2-in-x-3-in-White-Vinyl-Downspout-A-B-Elbow-37066/202091110</t>
  </si>
  <si>
    <t>2x3 downspout elbow</t>
  </si>
  <si>
    <t>3x Low voltage light 3 Watt</t>
  </si>
  <si>
    <t>https://www.homedepot.com/p/Razor-Back-36-in-Aluminum-Landscape-Rake-2916500/204476252</t>
  </si>
  <si>
    <t>36 in aluminim rake</t>
  </si>
  <si>
    <t>https://www.homedepot.com/p/True-Temper-SuperFlex-25-Tine-Lawn-Rake-1789000/202057229</t>
  </si>
  <si>
    <t>Superflex 25-Tine Lawn Rake</t>
  </si>
  <si>
    <t>Kyndall/Megan/Corbin</t>
  </si>
  <si>
    <t>Gloves etc</t>
  </si>
  <si>
    <t>Deck Stain</t>
  </si>
  <si>
    <t>https://www.homedepot.com/p/BEHR-Premium-1-gal-SC-129-Chocolate-Solid-Color-Waterproofing-Exterior-Wood-Stain-and-Sealer-5012901/300845599</t>
  </si>
  <si>
    <t>Framing Square</t>
  </si>
  <si>
    <t>2x Paint Brushes</t>
  </si>
  <si>
    <t>https://www.homedepot.com/p/Wooster-3-in-Pro-Nylon-Polyester-Flat-Brush-0H21450030/206858511?keyword=071497184191</t>
  </si>
  <si>
    <t>https://www.homedepot.com/p/2-in-x-10-in-x-8-ft-2-and-Better-Prime-Douglas-Fir-Board-915564/206182030</t>
  </si>
  <si>
    <t>4     2x10 Wood</t>
  </si>
  <si>
    <t>https://www.homedepot.com/p/2-in-x-6-in-x-8-ft-2-btr-prime-doug-fir-lumber-2x6-08-2-btr-prime-doug-fir/300176915</t>
  </si>
  <si>
    <t>9    2x 6 wood</t>
  </si>
  <si>
    <t>https://www.homedepot.com/p/Rain-Bird-6-in-x-1-2-in-x-1-2-in-Swing-Assembly-SA5S/100141993</t>
  </si>
  <si>
    <t>Pop-up Sprinkler repair tool</t>
  </si>
  <si>
    <t>https://www.homedepot.com/p/Rain-Bird-Pop-Up-Sprinkler-Repair-Tool-PTC-1/100203420</t>
  </si>
  <si>
    <t>6x Swing Assembly</t>
  </si>
  <si>
    <t>Plumber tape</t>
  </si>
  <si>
    <t>Spinkler 7X sprinkler HEV 1x rotate and 9 swing assemblies</t>
  </si>
  <si>
    <t xml:space="preserve">Sprinklers and such from </t>
  </si>
  <si>
    <t>Valve Box</t>
  </si>
  <si>
    <t>https://www.homedepot.com/p/NDS-14-in-x-19-in-Standard-Valve-Box-with-Overlapping-ICV-Cover-113BC/100377393</t>
  </si>
  <si>
    <t>20x PVP 1" pipe</t>
  </si>
  <si>
    <t>8oz puprle Primer</t>
  </si>
  <si>
    <t>Blade</t>
  </si>
  <si>
    <t xml:space="preserve">https://www.amazon.com/Bosch-DB1041C-Premium-Segmented-Circular/dp/B000N6KW86 </t>
  </si>
  <si>
    <t>https://www.amazon.com/DEWALT-Stand-Capacity-10-Inch-D36000S/dp/B08526D2PK/
https://www.homedepot.com/p/DEWALT-10-in-High-Capacity-Wet-Tile-Saw-with-Stand-D36000S/314044284</t>
  </si>
  <si>
    <t xml:space="preserve">18x   8' BROWN STEEL LANDSCAPE EDGING </t>
  </si>
  <si>
    <t xml:space="preserve">https://www.homedepot.com/p/COL-MET-8-ft-x-14-Gauge-x-4-in-Brown-Steel-Landscape-Edging-814B/100137006 </t>
  </si>
  <si>
    <t>14x TAVERNA REC WINTER BLEND PAVER</t>
  </si>
  <si>
    <t>https://www.homedepot.com/p/Pavestone-Taverna-Rec-12-in-x-8-in-x-2-in-Winter-Blend-Concrete-Paver-25387/303540922</t>
  </si>
  <si>
    <t>PVC Elbow pack</t>
  </si>
  <si>
    <t xml:space="preserve">https://www.homedepot.com/p/Charlotte-Pipe-1-in-PVC-Sch-40-90-Degree-Elbow-15-Pack-PVC023001015HD/311317449 </t>
  </si>
  <si>
    <t>25 pack f 1" PVC Coupling</t>
  </si>
  <si>
    <t>https://www.homedepot.com/p/Charlotte-Pipe-1-in-PVC-Schedule-40-Coupling-S-x-S-25-Pack-PVC-02100-1025HD/307851996</t>
  </si>
  <si>
    <t xml:space="preserve">5x   11/16' BROWN STEEL CORNER STAKE </t>
  </si>
  <si>
    <t>https://www.homedepot.com/p/COL-MET-8-in-x-14-Gauge-Brown-Steel-Corner-Edging-Stake-14CSB10/100135484</t>
  </si>
  <si>
    <t xml:space="preserve">5GAL HOMER BUCKET  </t>
  </si>
  <si>
    <t xml:space="preserve">https://www.homedepot.com/p/The-Home-Depot-5-Gal-Homer-Bucket-05GLHD2/100087613 </t>
  </si>
  <si>
    <t xml:space="preserve">8OZ PVC CEMENT/PRIMER COMBO </t>
  </si>
  <si>
    <t>https://www.homedepot.com/p/Oatey-8-oz-Purple-CPVC-and-PVC-Primer-and-Regular-Clear-PVC-Pipe-Cement-Combo-Pack-302483/100151579</t>
  </si>
  <si>
    <t>14x 1"X1/2" PVC EL 90D SXFPT</t>
  </si>
  <si>
    <t>https://www.homedepot.com/p/1-in-x-1-2-in-Schedule-40-PVC-90-Degree-Reducing-Elbow-C407-130/100348401</t>
  </si>
  <si>
    <t xml:space="preserve">10x  1"X1/2" PVC TEE SXSXFPT    </t>
  </si>
  <si>
    <t>https://www.homedepot.com/p/1-in-x-1-in-x-1-2-in-Schedule-40-PVC-Reducing-Tee-C402-130/100343647?keyword=049081147662</t>
  </si>
  <si>
    <t xml:space="preserve">6x  1" PVC EL 45D SXS  </t>
  </si>
  <si>
    <t>https://www.homedepot.com/p/1-in-Schedule-40-PVC-45-Degree-Elbow-C417-010/100345015?keyword=049081140267</t>
  </si>
  <si>
    <t xml:space="preserve"> 1/2"X260" PTFE THRD SEAL TAPE 5PK</t>
  </si>
  <si>
    <t xml:space="preserve">4x 1" PVC CAP SLIP   </t>
  </si>
  <si>
    <t>https://www.homedepot.com/p/1-in-Schedule-40-PVC-Cap-C447-010/100347518?keyword=049081136826</t>
  </si>
  <si>
    <t xml:space="preserve">1"X1/2" PVC EL 90D SXS    </t>
  </si>
  <si>
    <t>https://www.homedepot.com/p/1-in-x-1-2-in-Schedule-40-PVC-90-Degree-Reducing-Elbow-C406-130/100344389</t>
  </si>
  <si>
    <t>Corbin/Kyndall Sprinkler</t>
  </si>
  <si>
    <t>6x  1" PVC CAP FPT</t>
  </si>
  <si>
    <t>https://www.homedepot.com/p/Charlotte-Pipe-1-in-PVC-Schedule-40-FPT-Cap-PVC021171200HD/203811724</t>
  </si>
  <si>
    <t xml:space="preserve">8x 3/4" PVC CAP FPT </t>
  </si>
  <si>
    <t>https://www.homedepot.com/p/3-4-in-Schedule-40-PVC-Cap-C448-007/100345647?keyword=049081137182</t>
  </si>
  <si>
    <t>8x 1"X3/4" PVC MALE ADAPTER SXMPT</t>
  </si>
  <si>
    <t xml:space="preserve">8OZ PVC CEMENT/PRIMER COMBO  </t>
  </si>
  <si>
    <t xml:space="preserve">3x 1" PVC MALE ADAPTER SXMPT </t>
  </si>
  <si>
    <t>https://www.homedepot.com/p/1-in-Schedule-40-PVC-Male-Adapter-C436-010/100344011?keyword=049081131784</t>
  </si>
  <si>
    <t xml:space="preserve">10x 1"X 10' PVC40 PE PIPE </t>
  </si>
  <si>
    <t xml:space="preserve">10x  1" PVC TEE SXSXS </t>
  </si>
  <si>
    <t>https://www.homedepot.com/p/1-in-Schedule-40-PVC-Tee-C401-010/100347502?keyword=049081145385</t>
  </si>
  <si>
    <t>1/2"X260" PTFE THRD SEAL TAPE 5PK</t>
  </si>
  <si>
    <t>2x RB 6" SWING PIPE ASMBLY 1/2"MPT</t>
  </si>
  <si>
    <t>3x 1804HEVNPR Rainbird</t>
  </si>
  <si>
    <t xml:space="preserve">https://www.lowes.com/pd/Rain-Bird-1800-Professional-Series-8-ft-15-ft-Pop-up-Spray-Head-Sprinkler/1000408315 </t>
  </si>
  <si>
    <t>2x GE Advanced Silicone 2 10.1-oz Clear Silicone Caulk</t>
  </si>
  <si>
    <t xml:space="preserve">https://www.lowes.com/pd/GE-Silicone-2-10-1-oz-Clear-Silicone-Caulk/3084963 </t>
  </si>
  <si>
    <t>Kichler 4-Watt Olde Bronze Low Voltage Hardwired Integrated LED Step Light</t>
  </si>
  <si>
    <t xml:space="preserve">https://www.lowes.com/pd/Kichler-4-Watt-Olde-Bronze-Low-Voltage-Hardwired-Integrated-LED-Step-Light/1000378931 </t>
  </si>
  <si>
    <t>https://www.amazon.com/gp/product/B07D538F86/</t>
  </si>
  <si>
    <t>Pavers/Gravel/sand (all of patio stuff)</t>
  </si>
  <si>
    <t>http://www.thesodguy.com/</t>
  </si>
  <si>
    <t>Sod 850 sqft (delivered)</t>
  </si>
  <si>
    <t>Gate &amp; Side Fence</t>
  </si>
  <si>
    <t>Lights for Hardscape</t>
  </si>
  <si>
    <t>Bonus to fence guy</t>
  </si>
  <si>
    <t>2 Gates and Sidefence by Landscaping Works</t>
  </si>
  <si>
    <t>2x   3" 10ft pipe</t>
  </si>
  <si>
    <t>https://www.homedepot.com/p/JM-eagle-3-in-x-10-ft-PVC-Schedule-40-DWV-Plain-End-Pipe-531095/100161921</t>
  </si>
  <si>
    <t>2x6 stuf</t>
  </si>
  <si>
    <t>dowels</t>
  </si>
  <si>
    <t xml:space="preserve">https://www.homedepot.com/p/Kelleher-3-16-in-x-48-in-Wood-Round-Dowel-IM6403U-60/308659601 </t>
  </si>
  <si>
    <t>3" PVC</t>
  </si>
  <si>
    <t xml:space="preserve">https://www.homedepot.com/p/NIBCO-3-in-PVC-DWV-All-Hub-Sanitary-Tee-C4811HD3/100345158 </t>
  </si>
  <si>
    <t>3" 90 deg bend</t>
  </si>
  <si>
    <t xml:space="preserve">https://www.homedepot.com/p/Charlotte-Pipe-3-in-PVC-DWV-90-Degree-Street-Elbow-Fitting-PVC003021200HD/203393468 </t>
  </si>
  <si>
    <t>3" pvc cap</t>
  </si>
  <si>
    <t>https://www.homedepot.com/p/NIBCO-3-in-PVC-DWV-Hub-Cap-C4817HD3/205799562</t>
  </si>
  <si>
    <t>Stakes</t>
  </si>
  <si>
    <t xml:space="preserve">https://www.homedepot.com/p/Grade-Stakes-Pine-12-Pack-Common-1-in-x-2-in-x-2-ft-Actual-562-in-x-1-375-in-x-23-5-in-461487/203316911 </t>
  </si>
  <si>
    <t>2x 3/4" 60" black steel</t>
  </si>
  <si>
    <t>https://www.homedepot.com/p/VPC-3-4-in-x-60-in-Black-Steel-Schedule-40-Cut-Pipe-21-707560/304751763</t>
  </si>
  <si>
    <t>2x 1" x 60" black steel</t>
  </si>
  <si>
    <t>https://www.homedepot.com/p/VPC-1-in-x-60-in-Black-Steel-Schedule-40-Cut-Pipe-21-701060/304751778?</t>
  </si>
  <si>
    <t>2x 1" x 10' black steel</t>
  </si>
  <si>
    <t xml:space="preserve">https://www.homedepot.com/p/1-in-x-10-ft-Black-Steel-Pipe-585-1200HC/100535170 </t>
  </si>
  <si>
    <t>3/4" by 10' black steel</t>
  </si>
  <si>
    <t>https://www.homedepot.com/p/Southland-3-4-in-x-10-ft-Black-Steel-Pipe-584-1200HC/100540481</t>
  </si>
  <si>
    <t>14" trowel</t>
  </si>
  <si>
    <t xml:space="preserve">https://www.homedepot.com/p/Husky-14-in-x-4-in-Pro-Finishing-Trowel-57496/300976862?keyword=820909574965 </t>
  </si>
  <si>
    <t>Returned Black Steel</t>
  </si>
  <si>
    <t>https://www.homedepot.com/p/1-2-in-x-10-ft-Electric-Metallic-Tube-EMT-Conduit-853428/100400405</t>
  </si>
  <si>
    <t>1/2 in. x 10 ft. Electric Metallic Tube (EMT) Conduit</t>
  </si>
  <si>
    <t>Nick's Garden extra Base Gravel</t>
  </si>
  <si>
    <t>https://www.amazon.com/gp/product/B07ZSRTFJH/ref=ppx_yo_dt_b_asin_title_o01_s00</t>
  </si>
  <si>
    <t>90mm Hole saw cutter</t>
  </si>
  <si>
    <t>Home Depot Compactor rental</t>
  </si>
  <si>
    <t>https://www.homedepot.com/p/rental/Wacker-Neuson-Sales-Americas-Vibratory-Plate-Compactor-20-0008708/309007064</t>
  </si>
  <si>
    <t>Home Depot Compactor rental round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</si>
</sst>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9"/>
      <color rgb="FF1D222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/>
    <xf numFmtId="0" fontId="2" fillId="0" borderId="0" xfId="0" applyFont="1"/>
    <xf numFmtId="44" fontId="3" fillId="0" borderId="0" xfId="0" applyNumberFormat="1" applyFont="1"/>
    <xf numFmtId="0" fontId="3" fillId="0" borderId="0" xfId="0" applyFont="1"/>
    <xf numFmtId="44" fontId="2" fillId="0" borderId="0" xfId="0" applyNumberFormat="1" applyFont="1"/>
    <xf numFmtId="0" fontId="2" fillId="0" borderId="0" xfId="0" quotePrefix="1" applyFont="1" applyAlignment="1">
      <alignment horizontal="right"/>
    </xf>
    <xf numFmtId="44" fontId="4" fillId="2" borderId="1" xfId="1" applyFont="1" applyFill="1" applyBorder="1"/>
    <xf numFmtId="44" fontId="4" fillId="0" borderId="1" xfId="0" applyNumberFormat="1" applyFont="1" applyFill="1" applyBorder="1"/>
    <xf numFmtId="0" fontId="2" fillId="2" borderId="1" xfId="0" applyFont="1" applyFill="1" applyBorder="1"/>
    <xf numFmtId="0" fontId="0" fillId="0" borderId="0" xfId="0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7" fillId="0" borderId="2" xfId="0" applyFont="1" applyBorder="1"/>
    <xf numFmtId="0" fontId="2" fillId="0" borderId="0" xfId="0" applyFont="1"/>
    <xf numFmtId="44" fontId="3" fillId="0" borderId="0" xfId="0" applyNumberFormat="1" applyFont="1"/>
    <xf numFmtId="0" fontId="3" fillId="0" borderId="0" xfId="0" applyFont="1"/>
    <xf numFmtId="44" fontId="2" fillId="0" borderId="0" xfId="0" applyNumberFormat="1" applyFont="1"/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44" fontId="10" fillId="2" borderId="1" xfId="0" applyNumberFormat="1" applyFont="1" applyFill="1" applyBorder="1"/>
    <xf numFmtId="44" fontId="10" fillId="4" borderId="1" xfId="0" applyNumberFormat="1" applyFont="1" applyFill="1" applyBorder="1"/>
    <xf numFmtId="44" fontId="4" fillId="0" borderId="0" xfId="0" applyNumberFormat="1" applyFont="1"/>
    <xf numFmtId="0" fontId="8" fillId="0" borderId="0" xfId="0" applyFont="1"/>
    <xf numFmtId="0" fontId="6" fillId="0" borderId="0" xfId="0" applyFont="1"/>
    <xf numFmtId="0" fontId="0" fillId="0" borderId="0" xfId="0" quotePrefix="1"/>
    <xf numFmtId="0" fontId="9" fillId="0" borderId="0" xfId="0" applyFont="1"/>
    <xf numFmtId="0" fontId="6" fillId="3" borderId="1" xfId="0" applyFont="1" applyFill="1" applyBorder="1"/>
    <xf numFmtId="0" fontId="0" fillId="0" borderId="0" xfId="0" applyFill="1" applyBorder="1"/>
    <xf numFmtId="0" fontId="8" fillId="0" borderId="0" xfId="0" applyFont="1" applyFill="1" applyBorder="1"/>
    <xf numFmtId="0" fontId="6" fillId="3" borderId="1" xfId="0" applyFont="1" applyFill="1" applyBorder="1" applyAlignment="1">
      <alignment horizontal="center"/>
    </xf>
    <xf numFmtId="0" fontId="5" fillId="0" borderId="0" xfId="3" applyFill="1" applyBorder="1"/>
    <xf numFmtId="0" fontId="5" fillId="0" borderId="0" xfId="3"/>
    <xf numFmtId="0" fontId="0" fillId="3" borderId="0" xfId="0" applyFill="1" applyBorder="1"/>
    <xf numFmtId="164" fontId="6" fillId="3" borderId="1" xfId="2" applyNumberFormat="1" applyFont="1" applyFill="1" applyBorder="1"/>
    <xf numFmtId="164" fontId="9" fillId="3" borderId="1" xfId="0" applyNumberFormat="1" applyFont="1" applyFill="1" applyBorder="1"/>
    <xf numFmtId="0" fontId="6" fillId="0" borderId="0" xfId="0" applyFont="1" applyBorder="1" applyAlignment="1">
      <alignment horizontal="center"/>
    </xf>
    <xf numFmtId="44" fontId="7" fillId="0" borderId="0" xfId="1" applyFont="1" applyBorder="1"/>
    <xf numFmtId="44" fontId="7" fillId="0" borderId="0" xfId="0" applyNumberFormat="1" applyFont="1" applyBorder="1"/>
    <xf numFmtId="44" fontId="6" fillId="0" borderId="0" xfId="0" applyNumberFormat="1" applyFont="1"/>
    <xf numFmtId="0" fontId="2" fillId="5" borderId="0" xfId="0" quotePrefix="1" applyFont="1" applyFill="1" applyAlignment="1">
      <alignment horizontal="right"/>
    </xf>
    <xf numFmtId="0" fontId="2" fillId="5" borderId="0" xfId="0" applyFont="1" applyFill="1"/>
    <xf numFmtId="44" fontId="2" fillId="5" borderId="0" xfId="0" applyNumberFormat="1" applyFont="1" applyFill="1"/>
    <xf numFmtId="44" fontId="3" fillId="5" borderId="0" xfId="0" applyNumberFormat="1" applyFont="1" applyFill="1"/>
    <xf numFmtId="44" fontId="6" fillId="0" borderId="0" xfId="1" applyFont="1" applyBorder="1" applyAlignment="1">
      <alignment horizontal="center"/>
    </xf>
    <xf numFmtId="0" fontId="0" fillId="5" borderId="0" xfId="0" applyFill="1"/>
    <xf numFmtId="44" fontId="0" fillId="5" borderId="0" xfId="1" applyFont="1" applyFill="1"/>
    <xf numFmtId="14" fontId="0" fillId="5" borderId="0" xfId="0" applyNumberFormat="1" applyFill="1"/>
    <xf numFmtId="0" fontId="5" fillId="5" borderId="0" xfId="3" applyFill="1"/>
    <xf numFmtId="0" fontId="6" fillId="5" borderId="0" xfId="0" applyFont="1" applyFill="1" applyBorder="1" applyAlignment="1">
      <alignment horizontal="center"/>
    </xf>
    <xf numFmtId="44" fontId="7" fillId="5" borderId="0" xfId="1" applyFont="1" applyFill="1" applyBorder="1"/>
    <xf numFmtId="0" fontId="0" fillId="5" borderId="0" xfId="0" applyFill="1" applyBorder="1"/>
    <xf numFmtId="14" fontId="6" fillId="5" borderId="0" xfId="0" applyNumberFormat="1" applyFont="1" applyFill="1" applyBorder="1" applyAlignment="1">
      <alignment horizontal="center"/>
    </xf>
    <xf numFmtId="44" fontId="6" fillId="5" borderId="0" xfId="1" applyFont="1" applyFill="1" applyBorder="1" applyAlignment="1">
      <alignment horizontal="center"/>
    </xf>
    <xf numFmtId="0" fontId="5" fillId="5" borderId="0" xfId="3" applyFill="1" applyBorder="1"/>
    <xf numFmtId="0" fontId="6" fillId="5" borderId="0" xfId="0" applyFont="1" applyFill="1" applyBorder="1"/>
    <xf numFmtId="44" fontId="1" fillId="5" borderId="0" xfId="1" applyFont="1" applyFill="1" applyBorder="1"/>
    <xf numFmtId="44" fontId="1" fillId="5" borderId="0" xfId="1" applyFont="1" applyFill="1" applyBorder="1" applyAlignment="1">
      <alignment horizontal="center"/>
    </xf>
    <xf numFmtId="0" fontId="13" fillId="0" borderId="1" xfId="0" applyFont="1" applyFill="1" applyBorder="1"/>
    <xf numFmtId="0" fontId="0" fillId="5" borderId="0" xfId="0" applyFont="1" applyFill="1" applyBorder="1"/>
    <xf numFmtId="0" fontId="1" fillId="5" borderId="0" xfId="0" applyFont="1" applyFill="1" applyBorder="1" applyAlignment="1">
      <alignment horizontal="center"/>
    </xf>
    <xf numFmtId="14" fontId="1" fillId="5" borderId="0" xfId="0" applyNumberFormat="1" applyFont="1" applyFill="1" applyBorder="1" applyAlignment="1">
      <alignment horizontal="center"/>
    </xf>
    <xf numFmtId="44" fontId="1" fillId="0" borderId="0" xfId="1" applyFont="1"/>
    <xf numFmtId="0" fontId="5" fillId="5" borderId="0" xfId="3" applyFill="1" applyAlignment="1">
      <alignment wrapText="1"/>
    </xf>
    <xf numFmtId="0" fontId="0" fillId="3" borderId="0" xfId="0" applyFill="1"/>
    <xf numFmtId="44" fontId="0" fillId="3" borderId="0" xfId="1" applyFont="1" applyFill="1"/>
    <xf numFmtId="0" fontId="5" fillId="5" borderId="0" xfId="3" applyFill="1" applyBorder="1" applyAlignment="1">
      <alignment wrapText="1"/>
    </xf>
    <xf numFmtId="0" fontId="5" fillId="5" borderId="0" xfId="3" applyFill="1" applyAlignment="1"/>
    <xf numFmtId="0" fontId="0" fillId="0" borderId="0" xfId="0"/>
    <xf numFmtId="0" fontId="0" fillId="0" borderId="0" xfId="0" applyAlignment="1"/>
    <xf numFmtId="0" fontId="6" fillId="0" borderId="2" xfId="0" applyFont="1" applyBorder="1" applyAlignment="1"/>
    <xf numFmtId="0" fontId="0" fillId="5" borderId="0" xfId="0" applyFill="1" applyBorder="1" applyAlignment="1"/>
    <xf numFmtId="0" fontId="0" fillId="0" borderId="0" xfId="0" applyFill="1" applyBorder="1" applyAlignment="1"/>
    <xf numFmtId="14" fontId="6" fillId="5" borderId="0" xfId="0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0" fillId="6" borderId="0" xfId="0" applyFill="1"/>
    <xf numFmtId="44" fontId="0" fillId="6" borderId="0" xfId="1" applyFont="1" applyFill="1"/>
    <xf numFmtId="0" fontId="5" fillId="3" borderId="0" xfId="3" applyFill="1" applyAlignment="1"/>
    <xf numFmtId="14" fontId="6" fillId="3" borderId="0" xfId="0" applyNumberFormat="1" applyFont="1" applyFill="1"/>
    <xf numFmtId="0" fontId="5" fillId="3" borderId="0" xfId="3" applyFill="1"/>
    <xf numFmtId="0" fontId="5" fillId="6" borderId="0" xfId="3" applyFill="1"/>
    <xf numFmtId="14" fontId="6" fillId="6" borderId="0" xfId="0" applyNumberFormat="1" applyFont="1" applyFill="1"/>
    <xf numFmtId="0" fontId="0" fillId="6" borderId="0" xfId="0" applyFill="1" applyAlignment="1"/>
    <xf numFmtId="0" fontId="0" fillId="5" borderId="0" xfId="0" applyFill="1" applyAlignment="1"/>
    <xf numFmtId="0" fontId="0" fillId="0" borderId="0" xfId="0"/>
    <xf numFmtId="0" fontId="0" fillId="5" borderId="0" xfId="0" applyFill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/>
    <xf numFmtId="0" fontId="5" fillId="3" borderId="0" xfId="3" applyFill="1"/>
    <xf numFmtId="44" fontId="0" fillId="3" borderId="0" xfId="1" applyFont="1" applyFill="1"/>
    <xf numFmtId="8" fontId="6" fillId="5" borderId="0" xfId="0" applyNumberFormat="1" applyFont="1" applyFill="1" applyBorder="1" applyAlignment="1">
      <alignment horizontal="center"/>
    </xf>
    <xf numFmtId="8" fontId="0" fillId="5" borderId="0" xfId="1" applyNumberFormat="1" applyFont="1" applyFill="1"/>
    <xf numFmtId="14" fontId="6" fillId="6" borderId="0" xfId="0" applyNumberFormat="1" applyFont="1" applyFill="1" applyBorder="1" applyAlignment="1">
      <alignment horizontal="center"/>
    </xf>
    <xf numFmtId="8" fontId="6" fillId="6" borderId="0" xfId="0" applyNumberFormat="1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44" fontId="7" fillId="6" borderId="0" xfId="1" applyFont="1" applyFill="1" applyBorder="1"/>
    <xf numFmtId="14" fontId="6" fillId="3" borderId="0" xfId="0" applyNumberFormat="1" applyFont="1" applyFill="1" applyBorder="1" applyAlignment="1">
      <alignment horizontal="center"/>
    </xf>
    <xf numFmtId="8" fontId="6" fillId="3" borderId="0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44" fontId="7" fillId="3" borderId="0" xfId="1" applyFont="1" applyFill="1" applyBorder="1"/>
    <xf numFmtId="0" fontId="0" fillId="0" borderId="0" xfId="0"/>
    <xf numFmtId="0" fontId="0" fillId="0" borderId="0" xfId="0"/>
    <xf numFmtId="0" fontId="0" fillId="0" borderId="0" xfId="0"/>
    <xf numFmtId="44" fontId="6" fillId="5" borderId="0" xfId="1" applyFont="1" applyFill="1"/>
    <xf numFmtId="0" fontId="0" fillId="0" borderId="0" xfId="0"/>
    <xf numFmtId="0" fontId="2" fillId="3" borderId="0" xfId="0" quotePrefix="1" applyFont="1" applyFill="1" applyAlignment="1">
      <alignment horizontal="right"/>
    </xf>
    <xf numFmtId="0" fontId="2" fillId="3" borderId="0" xfId="0" applyFont="1" applyFill="1"/>
    <xf numFmtId="44" fontId="2" fillId="3" borderId="0" xfId="0" applyNumberFormat="1" applyFont="1" applyFill="1"/>
    <xf numFmtId="44" fontId="3" fillId="3" borderId="0" xfId="0" applyNumberFormat="1" applyFont="1" applyFill="1"/>
    <xf numFmtId="44" fontId="6" fillId="5" borderId="0" xfId="1" applyFont="1" applyFill="1" applyBorder="1"/>
    <xf numFmtId="0" fontId="0" fillId="0" borderId="0" xfId="0"/>
    <xf numFmtId="0" fontId="5" fillId="0" borderId="0" xfId="3" applyFill="1"/>
    <xf numFmtId="44" fontId="0" fillId="0" borderId="0" xfId="1" applyFont="1" applyFill="1"/>
    <xf numFmtId="0" fontId="0" fillId="5" borderId="0" xfId="0" applyFont="1" applyFill="1"/>
    <xf numFmtId="44" fontId="0" fillId="5" borderId="0" xfId="0" applyNumberFormat="1" applyFill="1"/>
    <xf numFmtId="0" fontId="14" fillId="5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0" fillId="0" borderId="0" xfId="0"/>
    <xf numFmtId="0" fontId="0" fillId="0" borderId="0" xfId="0"/>
    <xf numFmtId="44" fontId="0" fillId="0" borderId="0" xfId="0" applyNumberFormat="1"/>
    <xf numFmtId="14" fontId="6" fillId="0" borderId="0" xfId="0" applyNumberFormat="1" applyFont="1" applyFill="1" applyBorder="1" applyAlignment="1">
      <alignment horizontal="center"/>
    </xf>
    <xf numFmtId="44" fontId="2" fillId="2" borderId="0" xfId="0" applyNumberFormat="1" applyFont="1" applyFill="1"/>
    <xf numFmtId="44" fontId="2" fillId="0" borderId="0" xfId="0" applyNumberFormat="1" applyFont="1" applyFill="1"/>
    <xf numFmtId="14" fontId="6" fillId="0" borderId="0" xfId="0" applyNumberFormat="1" applyFont="1" applyBorder="1" applyAlignment="1">
      <alignment horizontal="center"/>
    </xf>
    <xf numFmtId="44" fontId="2" fillId="6" borderId="0" xfId="0" applyNumberFormat="1" applyFont="1" applyFill="1"/>
    <xf numFmtId="0" fontId="0" fillId="0" borderId="0" xfId="0"/>
    <xf numFmtId="0" fontId="0" fillId="5" borderId="0" xfId="0" applyFill="1"/>
    <xf numFmtId="44" fontId="0" fillId="5" borderId="0" xfId="1" applyFont="1" applyFill="1"/>
    <xf numFmtId="0" fontId="5" fillId="5" borderId="0" xfId="3" applyFill="1"/>
    <xf numFmtId="14" fontId="6" fillId="5" borderId="0" xfId="0" applyNumberFormat="1" applyFont="1" applyFill="1"/>
    <xf numFmtId="0" fontId="0" fillId="0" borderId="0" xfId="0"/>
    <xf numFmtId="0" fontId="0" fillId="5" borderId="0" xfId="0" applyFill="1"/>
    <xf numFmtId="44" fontId="0" fillId="5" borderId="0" xfId="1" applyFont="1" applyFill="1"/>
    <xf numFmtId="0" fontId="5" fillId="5" borderId="0" xfId="3" applyFill="1"/>
    <xf numFmtId="14" fontId="6" fillId="5" borderId="0" xfId="0" applyNumberFormat="1" applyFont="1" applyFill="1"/>
    <xf numFmtId="0" fontId="15" fillId="6" borderId="0" xfId="0" applyFont="1" applyFill="1"/>
    <xf numFmtId="0" fontId="16" fillId="5" borderId="0" xfId="0" applyFont="1" applyFill="1"/>
  </cellXfs>
  <cellStyles count="4">
    <cellStyle name="Comma" xfId="2" builtinId="3"/>
    <cellStyle name="Currency" xfId="1" builtinId="4"/>
    <cellStyle name="Hyperlink" xfId="3" builtinId="8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depot.com/p/Southwire-500-ft-12-2-Black-Stranded-CU-Low-Voltage-Landscape-Lighting-Wire-55213445/202316307" TargetMode="External"/><Relationship Id="rId13" Type="http://schemas.openxmlformats.org/officeDocument/2006/relationships/hyperlink" Target="https://www.lowes.com/pd/Kichler-4-Watt-Olde-Bronze-Low-Voltage-Hardwired-Integrated-LED-Step-Light/1000378931" TargetMode="External"/><Relationship Id="rId3" Type="http://schemas.openxmlformats.org/officeDocument/2006/relationships/hyperlink" Target="https://www.homedepot.com/p/Southwire-75-ft-12-2-Black-Stranded-CU-Low-Voltage-Landscape-Lighting-Wire-55213446/308403406" TargetMode="External"/><Relationship Id="rId7" Type="http://schemas.openxmlformats.org/officeDocument/2006/relationships/hyperlink" Target="https://www.lowes.com/pd/Kichler-3-Watt-Olde-Bronze-Low-Voltage-Hardwired-LED-Path-Light/1000191807" TargetMode="External"/><Relationship Id="rId12" Type="http://schemas.openxmlformats.org/officeDocument/2006/relationships/hyperlink" Target="https://www.lowes.com/pd/Kichler-3-Watt-Olde-Bronze-Low-Voltage-Hardwired-LED-Path-Light/1000191807" TargetMode="External"/><Relationship Id="rId2" Type="http://schemas.openxmlformats.org/officeDocument/2006/relationships/hyperlink" Target="https://www.lowes.com/pd/Kichler-3-Watt-Olde-Bronze-Low-Voltage-Hardwired-LED-Path-Light/1000191807" TargetMode="External"/><Relationship Id="rId1" Type="http://schemas.openxmlformats.org/officeDocument/2006/relationships/hyperlink" Target="https://www.amazon.com/dp/B06X1D267N/" TargetMode="External"/><Relationship Id="rId6" Type="http://schemas.openxmlformats.org/officeDocument/2006/relationships/hyperlink" Target="https://www.lowes.com/pd/Kichler-3-Watt-Olde-Bronze-Low-Voltage-Hardwired-LED-Path-Light/1000191807" TargetMode="External"/><Relationship Id="rId11" Type="http://schemas.openxmlformats.org/officeDocument/2006/relationships/hyperlink" Target="https://www.lowes.com/pd/Kichler-3-Watt-Olde-Bronze-Low-Voltage-Hardwired-LED-Path-Light/1000191807" TargetMode="External"/><Relationship Id="rId5" Type="http://schemas.openxmlformats.org/officeDocument/2006/relationships/hyperlink" Target="https://www.homedepot.com/p/Southwire-500-ft-12-2-Black-Stranded-CU-Low-Voltage-Landscape-Lighting-Wire-55213445/202316307" TargetMode="External"/><Relationship Id="rId10" Type="http://schemas.openxmlformats.org/officeDocument/2006/relationships/hyperlink" Target="https://www.lowes.com/pd/Kichler-3-Watt-Olde-Bronze-Low-Voltage-Hardwired-LED-Path-Light/1000191807" TargetMode="External"/><Relationship Id="rId4" Type="http://schemas.openxmlformats.org/officeDocument/2006/relationships/hyperlink" Target="https://www.lowes.com/pd/Portfolio-2-Watt-Specialty-Textured-Bronze-Low-Voltage-Low-Voltage-LED-Step-Light/999928462" TargetMode="External"/><Relationship Id="rId9" Type="http://schemas.openxmlformats.org/officeDocument/2006/relationships/hyperlink" Target="https://www.homedepot.com/p/1-1-4-in-x-10-ft-PVC-Sch-40-DWV-Plain-End-Pipe-1586/100147742" TargetMode="External"/><Relationship Id="rId1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depot.com/p/1-in-x-2-in-x-48-in-Grade-Stakes-12-Pieces-462633/202090640" TargetMode="External"/><Relationship Id="rId13" Type="http://schemas.openxmlformats.org/officeDocument/2006/relationships/hyperlink" Target="https://www.homedepot.com/p/NDS-12-in-x-12-in-Drainage-Catch-Basin-2-Opening-Kit-1200BKIT/100377423" TargetMode="External"/><Relationship Id="rId18" Type="http://schemas.openxmlformats.org/officeDocument/2006/relationships/hyperlink" Target="https://www.homedepot.com/p/Fernco-3-in-x-3-in-PVC-DWV-Mechanical-Flexible-Coupling-P1056-33/100372296" TargetMode="External"/><Relationship Id="rId26" Type="http://schemas.openxmlformats.org/officeDocument/2006/relationships/hyperlink" Target="https://www.homedepot.com/p/Amerimax-Home-Products-2-in-x-3-in-White-Vinyl-Downspout-A-B-Elbow-37066/202091110" TargetMode="External"/><Relationship Id="rId3" Type="http://schemas.openxmlformats.org/officeDocument/2006/relationships/hyperlink" Target="https://www.homedepot.com/p/DAP-Alex-Plus-10-1-oz-White-Acrylic-Latex-Caulk-Plus-Silicone-18103/100097524" TargetMode="External"/><Relationship Id="rId21" Type="http://schemas.openxmlformats.org/officeDocument/2006/relationships/hyperlink" Target="https://www.homedepot.com/p/Advanced-Drainage-Systems-3-in-x-10-ft-Corrugated-Pipes-Drain-Pipe-Solid-03540010/202522641" TargetMode="External"/><Relationship Id="rId7" Type="http://schemas.openxmlformats.org/officeDocument/2006/relationships/hyperlink" Target="https://drainageproducts.us/3-pvc-sch-40-mitered-drain-w-brown-hdpe-grate/" TargetMode="External"/><Relationship Id="rId12" Type="http://schemas.openxmlformats.org/officeDocument/2006/relationships/hyperlink" Target="https://www.homedepot.com/p/Advanced-Drainage-Systems-3-in-x-10-ft-Corrugated-Pipes-Drain-Pipe-Solid-03540010/202522641" TargetMode="External"/><Relationship Id="rId17" Type="http://schemas.openxmlformats.org/officeDocument/2006/relationships/hyperlink" Target="https://www.homedepot.com/p/Advanced-Drainage-Systems-3-in-x-10-ft-Corrugated-Pipes-Drain-Pipe-Solid-03540010/202522641" TargetMode="External"/><Relationship Id="rId25" Type="http://schemas.openxmlformats.org/officeDocument/2006/relationships/hyperlink" Target="https://www.homedepot.com/p/Gibraltar-Building-Products-2-in-x-3-in-White-Steel-75-Degree-B-Style-Downspout-Elbow-CE23WH-B75/203288976" TargetMode="External"/><Relationship Id="rId2" Type="http://schemas.openxmlformats.org/officeDocument/2006/relationships/hyperlink" Target="https://www.homedepot.com/p/NDS-3-in-x-10-ft-EZ-Drain-Prefabricated-French-Drain-with-Pipe-EZ-0702F/203477913" TargetMode="External"/><Relationship Id="rId16" Type="http://schemas.openxmlformats.org/officeDocument/2006/relationships/hyperlink" Target="https://www.homedepot.com/p/Advanced-Drainage-Systems-3-in-Polyethylene-Slip-Wye-0322AA/100562986" TargetMode="External"/><Relationship Id="rId20" Type="http://schemas.openxmlformats.org/officeDocument/2006/relationships/hyperlink" Target="https://www.homedepot.com/p/HDX-3-ft-x-100-ft-Silt-Fence-14987/202521468" TargetMode="External"/><Relationship Id="rId1" Type="http://schemas.openxmlformats.org/officeDocument/2006/relationships/hyperlink" Target="https://www.homedepot.com/p/NDS-3-in-x-10-ft-EZ-Drain-Prefabricated-French-Drain-with-Pipe-EZ-0702F/203477913" TargetMode="External"/><Relationship Id="rId6" Type="http://schemas.openxmlformats.org/officeDocument/2006/relationships/hyperlink" Target="https://www.homedepot.com/p/Advanced-Drainage-Systems-3-in-x-10-ft-Corrugated-Pipes-Drain-Pipe-Solid-03540010/202522641?keyword=096942631877&amp;semanticToken=300300r001221000_1bc6c7683957fd31643c49a77cb5b8e9_1593357360283+300300r001221000+%3E++cnn%3A%7B14%3A0%7D+cnr%3A%7B7%3A0%7D+cnp%3A%7B10%3A0%7D+cnd%3A%7B4%3A0%7D+cne%3A%7B8%3A0%7D+cnb%3A%7B0%3A0%7D+cns%3A%7B5%3A0%7D+cnx%3A%7B3%3A0%7D+cnq%3A%7B0%3A0%7D+cnw%3A%7B0%3A0%7D+cnv%3A%7B0%3A0%7D+st%3A%7B096942631877%7D%3Ast+oos%3A%7B0%3A1%7D+tgr%3A%7BNo+stage+info%7D+smf%3A%7Bca%2Cbr%7D%3Asmf+nf%3A%7B1%7D%3Anf+qu%3A%7B096942631877%7D%3Aqu" TargetMode="External"/><Relationship Id="rId11" Type="http://schemas.openxmlformats.org/officeDocument/2006/relationships/hyperlink" Target="https://www.homedepot.com/p/NDS-3-in-x-10-ft-EZ-Drain-Prefabricated-French-Drain-with-Pipe-EZ-0702F/203477913" TargetMode="External"/><Relationship Id="rId24" Type="http://schemas.openxmlformats.org/officeDocument/2006/relationships/hyperlink" Target="https://www.homedepot.com/p/Gibraltar-Building-Products-2-in-x-3-in-White-Steel-75-Degree-A-Style-Downspout-Elbow-CE23WH-A75/203288960" TargetMode="External"/><Relationship Id="rId5" Type="http://schemas.openxmlformats.org/officeDocument/2006/relationships/hyperlink" Target="https://www.homedepot.com/p/Advanced-Drainage-Systems-3-in-Polyethylene-Slip-External-Snap-Coupler-0312AA/100568058" TargetMode="External"/><Relationship Id="rId15" Type="http://schemas.openxmlformats.org/officeDocument/2006/relationships/hyperlink" Target="https://www.homedepot.com/p/Advanced-Drainage-Systems-3-in-Solid-Snap-End-Cap-0332AA/100541009" TargetMode="External"/><Relationship Id="rId23" Type="http://schemas.openxmlformats.org/officeDocument/2006/relationships/hyperlink" Target="https://www.homedepot.com/p/Gibraltar-Building-Products-2-in-x-3-in-White-Steel-75-Degree-B-Style-Downspout-Elbow-CE23WH-B75/203288976" TargetMode="External"/><Relationship Id="rId10" Type="http://schemas.openxmlformats.org/officeDocument/2006/relationships/hyperlink" Target="https://www.homedepot.com/p/NIBCO-3-in-ABS-DWV-Hub-Cap-C5817HD3/204700370" TargetMode="External"/><Relationship Id="rId19" Type="http://schemas.openxmlformats.org/officeDocument/2006/relationships/hyperlink" Target="https://www.homedepot.com/p/Empire-3-in-x-500-ft-Reinforced-Caution-Tape-76-0600/100653634" TargetMode="External"/><Relationship Id="rId4" Type="http://schemas.openxmlformats.org/officeDocument/2006/relationships/hyperlink" Target="https://www.homedepot.com/p/NDS-4-in-PVC-Sewer-and-Drain-Cap-4P06/100172701" TargetMode="External"/><Relationship Id="rId9" Type="http://schemas.openxmlformats.org/officeDocument/2006/relationships/hyperlink" Target="https://www.amazon.com/gp/product/B000BOB7O8" TargetMode="External"/><Relationship Id="rId14" Type="http://schemas.openxmlformats.org/officeDocument/2006/relationships/hyperlink" Target="https://www.homedepot.com/p/VPC-Pump-A-Way-Manual-Non-Submersible-Hand-Pump-9136/202277592" TargetMode="External"/><Relationship Id="rId22" Type="http://schemas.openxmlformats.org/officeDocument/2006/relationships/hyperlink" Target="https://www.homedepot.com/p/Amerimax-Home-Products-2-in-x-3-in-White-Vinyl-A-Elbow-M0627/100093114" TargetMode="External"/><Relationship Id="rId27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01HWQAI6/" TargetMode="External"/><Relationship Id="rId13" Type="http://schemas.openxmlformats.org/officeDocument/2006/relationships/hyperlink" Target="https://www.amazon.com/Bosch-DB1041C-Premium-Segmented-Circular/dp/B000N6KW86" TargetMode="External"/><Relationship Id="rId3" Type="http://schemas.openxmlformats.org/officeDocument/2006/relationships/hyperlink" Target="https://www.amazon.com/DEWALT-Stand-Capacity-10-Inch-D36000S/dp/B08526D2PK/ref=sr_1_1?crid=14XJH4XCF1ASW&amp;dchild=1&amp;keywords=dewalt+36000s+tile+saw&amp;qid=1600779878&amp;sprefix=dewalt+36000%2Caps%2C189&amp;sr=8-1" TargetMode="External"/><Relationship Id="rId7" Type="http://schemas.openxmlformats.org/officeDocument/2006/relationships/hyperlink" Target="https://www.homedepot.com/p/DEWALT-MAXFIT-Screwdriving-Set-60-Piece-DWAMF60/308249340" TargetMode="External"/><Relationship Id="rId12" Type="http://schemas.openxmlformats.org/officeDocument/2006/relationships/hyperlink" Target="https://www.homedepot.com/p/True-Temper-SuperFlex-25-Tine-Lawn-Rake-1789000/202057229" TargetMode="External"/><Relationship Id="rId2" Type="http://schemas.openxmlformats.org/officeDocument/2006/relationships/hyperlink" Target="https://www.homedepot.com/p/DEWALT-20-Volt-MAX-XR-Lithium-Ion-Brushless-Cordless-1-2-in-Drill-Driver-with-5-Ah-Battery-Charger-and-Tool-Bag-DCD791P1/312119566" TargetMode="External"/><Relationship Id="rId16" Type="http://schemas.openxmlformats.org/officeDocument/2006/relationships/printerSettings" Target="../printerSettings/printerSettings13.bin"/><Relationship Id="rId1" Type="http://schemas.openxmlformats.org/officeDocument/2006/relationships/hyperlink" Target="https://www.amazon.com/gp/product/B00V6IEVXM/ref=ppx_yo_dt_b_asin_title_o00_s00?ie=UTF8&amp;psc=1" TargetMode="External"/><Relationship Id="rId6" Type="http://schemas.openxmlformats.org/officeDocument/2006/relationships/hyperlink" Target="https://www.lowes.com/pd/Igloo-5-Gallon-Beverage-Cooler/999949202" TargetMode="External"/><Relationship Id="rId11" Type="http://schemas.openxmlformats.org/officeDocument/2006/relationships/hyperlink" Target="https://www.homedepot.com/p/Razor-Back-36-in-Aluminum-Landscape-Rake-2916500/204476252" TargetMode="External"/><Relationship Id="rId5" Type="http://schemas.openxmlformats.org/officeDocument/2006/relationships/hyperlink" Target="https://www.homedepot.com/p/Empire-True-Blue-12-in-Magnetic-Tool-Box-Level-EM81-12/100081706" TargetMode="External"/><Relationship Id="rId15" Type="http://schemas.openxmlformats.org/officeDocument/2006/relationships/hyperlink" Target="https://www.amazon.com/gp/product/B07ZSRTFJH/ref=ppx_yo_dt_b_asin_title_o01_s00" TargetMode="External"/><Relationship Id="rId10" Type="http://schemas.openxmlformats.org/officeDocument/2006/relationships/hyperlink" Target="https://www.homedepot.com/p/Milwaukee-SHOCKWAVE-IMPACT-DUTY-Titanium-Drill-Bit-Set-23-Piece-48-89-4631/205879024" TargetMode="External"/><Relationship Id="rId4" Type="http://schemas.openxmlformats.org/officeDocument/2006/relationships/hyperlink" Target="https://www.homedepot.com/p/Jackson-6-cu-ft-Heavy-Gauge-Seamless-Steel-Wheelbarrow-with-Total-Control-Handles-M6TC14/206205191" TargetMode="External"/><Relationship Id="rId9" Type="http://schemas.openxmlformats.org/officeDocument/2006/relationships/hyperlink" Target="https://www.homedepot.com/p/Milwaukee-Hole-Dozer-General-Purpose-Bi-Metal-Hole-Saw-Set-13-Piece-49-22-4025/202327772" TargetMode="External"/><Relationship Id="rId14" Type="http://schemas.openxmlformats.org/officeDocument/2006/relationships/hyperlink" Target="https://www.homedepot.com/p/Husky-14-in-x-4-in-Pro-Finishing-Trowel-57496/300976862?keyword=820909574965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depot.com/p/BELL-2-Gang-Weatherproof-Box-with-Three-3-4-in-Outlets-5341-0B/204208020" TargetMode="External"/><Relationship Id="rId13" Type="http://schemas.openxmlformats.org/officeDocument/2006/relationships/hyperlink" Target="https://www.homedepot.com/p/JM-eagle-3-4-in-x-10-ft-PVC-Schedule-40-Conduit-67454/100129197" TargetMode="External"/><Relationship Id="rId18" Type="http://schemas.openxmlformats.org/officeDocument/2006/relationships/hyperlink" Target="https://www.homedepot.com/p/Charlotte-Pipe-1-1-2-in-PVC-Sch-40-S-x-S-Coupling-PVC021001400HD/203811389" TargetMode="External"/><Relationship Id="rId26" Type="http://schemas.openxmlformats.org/officeDocument/2006/relationships/hyperlink" Target="https://www.homedepot.com/p/3-4-in-Male-Terminal-Adapter-R5140104/202043511" TargetMode="External"/><Relationship Id="rId3" Type="http://schemas.openxmlformats.org/officeDocument/2006/relationships/hyperlink" Target="https://www.youtube.com/watch?v=YD_JobNn8kc" TargetMode="External"/><Relationship Id="rId21" Type="http://schemas.openxmlformats.org/officeDocument/2006/relationships/hyperlink" Target="https://www.homedepot.com/p/JM-eagle-1-1-2-in-x-10-ft-PVC-Schedule-40-Conduit-67488/100140678" TargetMode="External"/><Relationship Id="rId34" Type="http://schemas.openxmlformats.org/officeDocument/2006/relationships/printerSettings" Target="../printerSettings/printerSettings14.bin"/><Relationship Id="rId7" Type="http://schemas.openxmlformats.org/officeDocument/2006/relationships/hyperlink" Target="https://www.homedepot.com/p/Leviton-15-Amp-125-Volt-Duplex-Self-Test-Tamper-Resistant-Weather-Resistant-GFCI-Outlet-White-R92-GFWT1-0KW/205996792" TargetMode="External"/><Relationship Id="rId12" Type="http://schemas.openxmlformats.org/officeDocument/2006/relationships/hyperlink" Target="https://www.homedepot.com/p/Carlon-3-4-in-90-Degree-Schedule-40-PVC-Belled-End-Standard-Radius-Elbow-UA9AEB-CTN/202304074" TargetMode="External"/><Relationship Id="rId17" Type="http://schemas.openxmlformats.org/officeDocument/2006/relationships/hyperlink" Target="https://www.homedepot.com/p/Charlotte-Pipe-1-1-4-in-x-3-4-in-PVC-Sch-40-SPG-x-S-Reducer-Bushing-PVC021070950HD/203811453" TargetMode="External"/><Relationship Id="rId25" Type="http://schemas.openxmlformats.org/officeDocument/2006/relationships/hyperlink" Target="https://www.homedepot.com/p/Commercial-Electric-Standard-Wire-Connectors-Red-30-Pack-778124/302686275" TargetMode="External"/><Relationship Id="rId33" Type="http://schemas.openxmlformats.org/officeDocument/2006/relationships/hyperlink" Target="https://www.amazon.com/gp/product/B005GDFZ92/" TargetMode="External"/><Relationship Id="rId2" Type="http://schemas.openxmlformats.org/officeDocument/2006/relationships/hyperlink" Target="https://www.homedepot.com/p/Southwire-250-ft-12-3-Gray-Solid-CU-UF-B-W-G-Wire-13058355/202316479" TargetMode="External"/><Relationship Id="rId16" Type="http://schemas.openxmlformats.org/officeDocument/2006/relationships/hyperlink" Target="https://www.homedepot.com/p/16-oz-PVC-Electrical-Solvent-Cement-Gray-31041/206751903" TargetMode="External"/><Relationship Id="rId20" Type="http://schemas.openxmlformats.org/officeDocument/2006/relationships/hyperlink" Target="https://www.homedepot.com/p/Carlon-1-1-2-in-90-Degree-Schedule-40-PVC-Belled-End-Standard-Radius-Elbow-UA9AHB-CTN/100404165" TargetMode="External"/><Relationship Id="rId29" Type="http://schemas.openxmlformats.org/officeDocument/2006/relationships/hyperlink" Target="https://www.homedepot.com/p/JM-eagle-3-4-in-x-10-ft-PVC-Schedule-40-Conduit-67454/100129197" TargetMode="External"/><Relationship Id="rId1" Type="http://schemas.openxmlformats.org/officeDocument/2006/relationships/hyperlink" Target="https://www.cablewholesale.com/products/network-phone/cat-6-cable-bulk/product-10x8-622nh.php" TargetMode="External"/><Relationship Id="rId6" Type="http://schemas.openxmlformats.org/officeDocument/2006/relationships/hyperlink" Target="https://www.homedepot.com/p/Leviton-15-Amp-Self-Test-SmartlockPro-Slim-Duplex-GFCI-Outlet-White-R72-GFNT1-0RW/205996720" TargetMode="External"/><Relationship Id="rId11" Type="http://schemas.openxmlformats.org/officeDocument/2006/relationships/hyperlink" Target="https://www.homedepot.com/p/HDX-6-ft-13-Amp-3-Prong-Grey-Appliance-Replacement-Cord-HD-588-547/100672804" TargetMode="External"/><Relationship Id="rId24" Type="http://schemas.openxmlformats.org/officeDocument/2006/relationships/hyperlink" Target="https://www.homedepot.com/p/Commercial-Electric-Standard-Wire-Connectors-Yellow-30-Pack-778123/302686279" TargetMode="External"/><Relationship Id="rId32" Type="http://schemas.openxmlformats.org/officeDocument/2006/relationships/hyperlink" Target="https://www.amazon.com/gp/product/B00UVQI8B6/ref=ppx_yo_dt_b_asin_title_o01_s00?ie=UTF8&amp;psc=1" TargetMode="External"/><Relationship Id="rId5" Type="http://schemas.openxmlformats.org/officeDocument/2006/relationships/hyperlink" Target="https://www.amazon.com/gp/product/B083G9KT4C/" TargetMode="External"/><Relationship Id="rId15" Type="http://schemas.openxmlformats.org/officeDocument/2006/relationships/hyperlink" Target="https://www.homedepot.com/p/DIABLO-4-in-x-6-TPI-Fast-and-Wood-Bi-Metal-Jigsaw-Blade-5-Pack-DJT101DF5/313114938" TargetMode="External"/><Relationship Id="rId23" Type="http://schemas.openxmlformats.org/officeDocument/2006/relationships/hyperlink" Target="https://www.homedepot.com/p/2-Gang-Weatherproof-Box-with-Five-3-4-in-Outlets-5345-0B/204208021" TargetMode="External"/><Relationship Id="rId28" Type="http://schemas.openxmlformats.org/officeDocument/2006/relationships/hyperlink" Target="https://www.homedepot.com/p/BELL-1-Gang-Blank-Plastic-Cover-Gray-PBC100GYB/204125641" TargetMode="External"/><Relationship Id="rId10" Type="http://schemas.openxmlformats.org/officeDocument/2006/relationships/hyperlink" Target="https://www.homedepot.com/p/Carlon-3-4-in-90-Degree-Schedule-40-PVC-Belled-End-Standard-Radius-Elbow-UA9AEB-CTN/202304074" TargetMode="External"/><Relationship Id="rId19" Type="http://schemas.openxmlformats.org/officeDocument/2006/relationships/hyperlink" Target="https://www.homedepot.com/p/Carlon-1-1-2-in-45-Degree-Schedule-40-PVC-Belled-End-Standard-Radius-Elbow-UA7AHB-CAR/100404155" TargetMode="External"/><Relationship Id="rId31" Type="http://schemas.openxmlformats.org/officeDocument/2006/relationships/hyperlink" Target="https://www.homedepot.com/p/Carlon-3-4-in-90-Degree-Schedule-40-PVC-Belled-End-Standard-Radius-Elbow-UA9AEB-CTN/202304074" TargetMode="External"/><Relationship Id="rId4" Type="http://schemas.openxmlformats.org/officeDocument/2006/relationships/hyperlink" Target="https://www.homedepot.com/p/JM-eagle-3-4-in-x-10-ft-PVC-Schedule-40-Conduit-67454/100129197" TargetMode="External"/><Relationship Id="rId9" Type="http://schemas.openxmlformats.org/officeDocument/2006/relationships/hyperlink" Target="https://www.homedepot.com/p/JM-eagle-1-1-4-in-x-10-ft-PVC-Schedule-40-Conduit-67470/100196693" TargetMode="External"/><Relationship Id="rId14" Type="http://schemas.openxmlformats.org/officeDocument/2006/relationships/hyperlink" Target="https://www.homedepot.com/p/Commercial-Electric-2-Port-Decor-Data-Wall-Plate-Insert-White-5152-WH/206427829" TargetMode="External"/><Relationship Id="rId22" Type="http://schemas.openxmlformats.org/officeDocument/2006/relationships/hyperlink" Target="https://www.homedepot.com/p/Carlon-18-cu-in-Type-FSC-Gray-PVC-Electrical-Box-for-3-4-Conduit-E982EFN-CTN/100404109" TargetMode="External"/><Relationship Id="rId27" Type="http://schemas.openxmlformats.org/officeDocument/2006/relationships/hyperlink" Target="https://www.homedepot.com/p/Carlon-3-4-in-90-Degree-Schedule-40-PVC-Belled-End-Standard-Radius-Elbow-UA9AEB-CTN/202304074" TargetMode="External"/><Relationship Id="rId30" Type="http://schemas.openxmlformats.org/officeDocument/2006/relationships/hyperlink" Target="https://www.homedepot.com/p/JM-eagle-3-4-in-x-10-ft-PVC-Schedule-40-Conduit-67454/100129197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omedepot.com/p/3-4-in-Schedule-40-PVC-Cap-C447-007/100345011" TargetMode="External"/><Relationship Id="rId18" Type="http://schemas.openxmlformats.org/officeDocument/2006/relationships/hyperlink" Target="https://www.homedepot.com/p/VPC-3-4-in-x-18-in-Galvanized-Steel-Schedule-40-Cut-Pipe-22-727518/304751933" TargetMode="External"/><Relationship Id="rId26" Type="http://schemas.openxmlformats.org/officeDocument/2006/relationships/hyperlink" Target="https://www.homedepot.com/p/Everbilt-3-4-in-FHT-x-3-4-in-FIP-Brass-Adapter-Fitting-801749/300096258" TargetMode="External"/><Relationship Id="rId39" Type="http://schemas.openxmlformats.org/officeDocument/2006/relationships/hyperlink" Target="https://www.homedepot.com/p/COL-MET-8-ft-x-14-Gauge-x-4-in-Brown-Steel-Landscape-Edging-814B/100137006" TargetMode="External"/><Relationship Id="rId21" Type="http://schemas.openxmlformats.org/officeDocument/2006/relationships/hyperlink" Target="https://www.homedepot.com/p/NDS-10-in-Circular-Valve-Box-111BC/100037622" TargetMode="External"/><Relationship Id="rId34" Type="http://schemas.openxmlformats.org/officeDocument/2006/relationships/hyperlink" Target="https://www.amazon.com/gp/product/B07D538F86" TargetMode="External"/><Relationship Id="rId42" Type="http://schemas.openxmlformats.org/officeDocument/2006/relationships/hyperlink" Target="https://www.homedepot.com/p/Charlotte-Pipe-1-in-PVC-Schedule-40-Coupling-S-x-S-25-Pack-PVC-02100-1025HD/307851996" TargetMode="External"/><Relationship Id="rId47" Type="http://schemas.openxmlformats.org/officeDocument/2006/relationships/hyperlink" Target="https://www.homedepot.com/p/1-in-x-1-in-x-1-2-in-Schedule-40-PVC-Reducing-Tee-C402-130/100343647?keyword=049081147662" TargetMode="External"/><Relationship Id="rId50" Type="http://schemas.openxmlformats.org/officeDocument/2006/relationships/hyperlink" Target="https://www.homedepot.com/p/1-in-x-1-2-in-Schedule-40-PVC-90-Degree-Reducing-Elbow-C406-130/100344389" TargetMode="External"/><Relationship Id="rId55" Type="http://schemas.openxmlformats.org/officeDocument/2006/relationships/hyperlink" Target="https://www.lowes.com/pd/Rain-Bird-1800-Professional-Series-8-ft-15-ft-Pop-up-Spray-Head-Sprinkler/1000408315" TargetMode="External"/><Relationship Id="rId7" Type="http://schemas.openxmlformats.org/officeDocument/2006/relationships/hyperlink" Target="https://www.homedepot.com/p/Charlotte-Pipe-3-4-in-PVC-Coupling-Socket-x-Socket-50-Pack-PVC-02100-0850HD/307851979" TargetMode="External"/><Relationship Id="rId2" Type="http://schemas.openxmlformats.org/officeDocument/2006/relationships/hyperlink" Target="https://www.homedepot.com/p/Homewerks-Worldwide-3-4-in-PVC-Sch-40-Slip-x-Slip-Ball-Valve-VBVP40E4B/202370032" TargetMode="External"/><Relationship Id="rId16" Type="http://schemas.openxmlformats.org/officeDocument/2006/relationships/hyperlink" Target="https://www.homedepot.com/p/LDR-Industries-3-4-in-Galvanized-Iron-Tee-313-T-34/100560785" TargetMode="External"/><Relationship Id="rId20" Type="http://schemas.openxmlformats.org/officeDocument/2006/relationships/hyperlink" Target="https://sprinklersupplystore.com/products/100-hv-npt-rainbird-1-26-34-fxf-valve" TargetMode="External"/><Relationship Id="rId29" Type="http://schemas.openxmlformats.org/officeDocument/2006/relationships/hyperlink" Target="https://www.homedepot.com/p/1-in-x-10-ft-PVC-Schedule-40-Plain-End-Pipe-531194/202280936" TargetMode="External"/><Relationship Id="rId41" Type="http://schemas.openxmlformats.org/officeDocument/2006/relationships/hyperlink" Target="https://www.homedepot.com/p/Charlotte-Pipe-1-in-PVC-Sch-40-90-Degree-Elbow-15-Pack-PVC023001015HD/311317449" TargetMode="External"/><Relationship Id="rId54" Type="http://schemas.openxmlformats.org/officeDocument/2006/relationships/hyperlink" Target="https://www.homedepot.com/p/1-in-x-10-ft-PVC-Schedule-40-Plain-End-Pipe-531194/202280936" TargetMode="External"/><Relationship Id="rId1" Type="http://schemas.openxmlformats.org/officeDocument/2006/relationships/hyperlink" Target="https://www.homedepot.com/p/Charlotte-Pipe-3-4-in-PVC-Sch-40-S-x-S-Tee-PVC024000800HD/203812197" TargetMode="External"/><Relationship Id="rId6" Type="http://schemas.openxmlformats.org/officeDocument/2006/relationships/hyperlink" Target="https://www.homedepot.com/p/Oatey-8-oz-PVC-Handy-Pack-Purple-Primer-and-Solvent-Cement-302483/100151579?keyword=038753302485&amp;semanticToken=d00300r011221000_51e3b4cfae674eb36b6f28079ba35b1b_1593355676733+d00300r011221000+%3E++cnn%3A%7B14%3A0%7D+cnr%3A%7B7%3A0%7D+cnp%3A%7B10%3A0%7D+cnd%3A%7B4%3A0%7D+cne%3A%7B8%3A0%7D+cnb%3A%7B0%3A0%7D+cns%3A%7B5%3A0%7D+cnx%3A%7B3%3A0%7D+cnq%3A%7B0%3A0%7D+cnw%3A%7B0%3A0%7D+cnv%3A%7B0%3A0%7D+st%3A%7B038753302485%7D%3Ast+oos%3A%7B0%3A1%7D+tgr%3A%7BNo+stage+info%7D+smf%3A%7Bca%2Cbr%7D%3Asmf+nf%3A%7B1%7D%3Anf+qu%3A%7B038753302485%7D%3Aqu" TargetMode="External"/><Relationship Id="rId11" Type="http://schemas.openxmlformats.org/officeDocument/2006/relationships/hyperlink" Target="https://www.homedepot.com/p/Charlotte-Pipe-3-4-in-PVC-Sch-40-S-x-S-x-S-x-S-Cross-PVC024100600HD/203812455" TargetMode="External"/><Relationship Id="rId24" Type="http://schemas.openxmlformats.org/officeDocument/2006/relationships/hyperlink" Target="https://www.homedepot.com/p/Apollo-1-in-Lead-Free-Brass-FNPT-x-FNPT-Full-Port-Ball-Valve-94ALF10501A/305975196" TargetMode="External"/><Relationship Id="rId32" Type="http://schemas.openxmlformats.org/officeDocument/2006/relationships/hyperlink" Target="https://www.homedepot.com/p/Southwire-500-ft-18-10-Black-Solid-UL-Burial-Sprinkler-System-Wire-49270245/202316416" TargetMode="External"/><Relationship Id="rId37" Type="http://schemas.openxmlformats.org/officeDocument/2006/relationships/hyperlink" Target="https://www.homedepot.com/p/13-in-x-20-in-x-6-in-Jumbo-Extension-with-Overlapping-ICV-Cover-in-Black-Green-119/100178890" TargetMode="External"/><Relationship Id="rId40" Type="http://schemas.openxmlformats.org/officeDocument/2006/relationships/hyperlink" Target="https://www.homedepot.com/p/Pavestone-Taverna-Rec-12-in-x-8-in-x-2-in-Winter-Blend-Concrete-Paver-25387/303540922" TargetMode="External"/><Relationship Id="rId45" Type="http://schemas.openxmlformats.org/officeDocument/2006/relationships/hyperlink" Target="https://www.homedepot.com/p/Oatey-8-oz-Purple-CPVC-and-PVC-Primer-and-Regular-Clear-PVC-Pipe-Cement-Combo-Pack-302483/100151579" TargetMode="External"/><Relationship Id="rId53" Type="http://schemas.openxmlformats.org/officeDocument/2006/relationships/hyperlink" Target="https://www.homedepot.com/p/1-in-Schedule-40-PVC-Male-Adapter-C436-010/100344011?keyword=049081131784" TargetMode="External"/><Relationship Id="rId58" Type="http://schemas.openxmlformats.org/officeDocument/2006/relationships/hyperlink" Target="https://www.homedepot.com/p/Pavestone-Taverna-Rec-12-in-x-8-in-x-2-in-Winter-Blend-Concrete-Paver-25387/303540922" TargetMode="External"/><Relationship Id="rId5" Type="http://schemas.openxmlformats.org/officeDocument/2006/relationships/hyperlink" Target="https://www.homedepot.com/p/Everbilt-3-4-in-Lead-Free-Brass-Threaded-FPT-x-FPT-Ball-Valve-116-2-34-EB/205816051?keyword=820633959687&amp;semanticToken=300300r001221000_d7ef2063de8c33113ab95bdcb906d8d8_1593355588523+300300r001221000+%3E++cnn%3A%7B14%3A0%7D+cnr%3A%7B7%3A0%7D+cnp%3A%7B10%3A0%7D+cnd%3A%7B4%3A0%7D+cne%3A%7B8%3A0%7D+cnb%3A%7B0%3A0%7D+cns%3A%7B5%3A0%7D+cnx%3A%7B3%3A0%7D+cnq%3A%7B0%3A0%7D+cnw%3A%7B0%3A0%7D+cnv%3A%7B0%3A0%7D+st%3A%7B820633959687%7D%3Ast+oos%3A%7B0%3A1%7D+tgr%3A%7BNo+stage+info%7D+smf%3A%7Bca%2Cbr%7D%3Asmf+nf%3A%7B1%7D%3Anf+qu%3A%7B820633959687%7D%3Aqu" TargetMode="External"/><Relationship Id="rId15" Type="http://schemas.openxmlformats.org/officeDocument/2006/relationships/hyperlink" Target="https://www.homedepot.com/p/Everbilt-3-4-in-Lead-Free-Brass-Threaded-FPT-x-FPT-Ball-Valve-116-2-34-EB/205816051" TargetMode="External"/><Relationship Id="rId23" Type="http://schemas.openxmlformats.org/officeDocument/2006/relationships/hyperlink" Target="https://www.homedepot.com/p/1-in-x-10-ft-PVC-Schedule-40-Plain-End-Pipe-531194/202280936" TargetMode="External"/><Relationship Id="rId28" Type="http://schemas.openxmlformats.org/officeDocument/2006/relationships/hyperlink" Target="https://sprinklersupplystore.com/products/dura-010-manifold-tee" TargetMode="External"/><Relationship Id="rId36" Type="http://schemas.openxmlformats.org/officeDocument/2006/relationships/hyperlink" Target="https://www.homedepot.com/p/Rust-Oleum-Stops-Rust-12-oz-Protective-Enamel-Satin-Dark-Brown-Spray-Paint-241239/100670389" TargetMode="External"/><Relationship Id="rId49" Type="http://schemas.openxmlformats.org/officeDocument/2006/relationships/hyperlink" Target="https://www.homedepot.com/p/1-in-Schedule-40-PVC-Cap-C447-010/100347518?keyword=049081136826" TargetMode="External"/><Relationship Id="rId57" Type="http://schemas.openxmlformats.org/officeDocument/2006/relationships/hyperlink" Target="http://www.thesodguy.com/" TargetMode="External"/><Relationship Id="rId61" Type="http://schemas.openxmlformats.org/officeDocument/2006/relationships/comments" Target="../comments1.xml"/><Relationship Id="rId10" Type="http://schemas.openxmlformats.org/officeDocument/2006/relationships/hyperlink" Target="https://www.homedepot.com/p/Charlotte-Pipe-3-4-in-x-10-ft-PVC-Schedule-40-Plain-End-DWV-Pipe-PVC-04007-0600/100348472" TargetMode="External"/><Relationship Id="rId19" Type="http://schemas.openxmlformats.org/officeDocument/2006/relationships/hyperlink" Target="https://www.homedepot.com/p/Watts-3-4-in-Plastic-Water-Pressure-Test-Gauge-DP-IWTG/100175467" TargetMode="External"/><Relationship Id="rId31" Type="http://schemas.openxmlformats.org/officeDocument/2006/relationships/hyperlink" Target="https://www.homedepot.com/p/Oatey-8-oz-PVC-Handy-Pack-Purple-Primer-and-Solvent-Cement-302483/100151579" TargetMode="External"/><Relationship Id="rId44" Type="http://schemas.openxmlformats.org/officeDocument/2006/relationships/hyperlink" Target="https://www.homedepot.com/p/The-Home-Depot-5-Gal-Homer-Bucket-05GLHD2/100087613" TargetMode="External"/><Relationship Id="rId52" Type="http://schemas.openxmlformats.org/officeDocument/2006/relationships/hyperlink" Target="https://www.homedepot.com/p/Oatey-8-oz-Purple-CPVC-and-PVC-Primer-and-Regular-Clear-PVC-Pipe-Cement-Combo-Pack-302483/100151579" TargetMode="External"/><Relationship Id="rId60" Type="http://schemas.openxmlformats.org/officeDocument/2006/relationships/vmlDrawing" Target="../drawings/vmlDrawing1.vml"/><Relationship Id="rId4" Type="http://schemas.openxmlformats.org/officeDocument/2006/relationships/hyperlink" Target="https://www.homedepot.com/p/Everbilt-3-4-in-MHT-x-3-4-in-FIP-Brass-Adapter-Fitting-801759/300096107?keyword=887480017595&amp;semanticToken=300300r001221000_25333d11eda3fbdb193fa117022b22de_1593355542104+300300r001221000+%3E++cnn%3A%7B14%3A0%7D+cnr%3A%7B7%3A0%7D+cnp%3A%7B10%3A0%7D+cnd%3A%7B4%3A0%7D+cne%3A%7B8%3A0%7D+cnb%3A%7B0%3A0%7D+cns%3A%7B5%3A0%7D+cnx%3A%7B3%3A0%7D+cnq%3A%7B0%3A0%7D+cnw%3A%7B0%3A0%7D+cnv%3A%7B0%3A0%7D+st%3A%7B887480017595%7D%3Ast+oos%3A%7B0%3A1%7D+tgr%3A%7BNo+stage+info%7D+smf%3A%7Bca%2Cbr%7D%3Asmf+nf%3A%7B1%7D%3Anf+qu%3A%7B887480017595%7D%3Aqu" TargetMode="External"/><Relationship Id="rId9" Type="http://schemas.openxmlformats.org/officeDocument/2006/relationships/hyperlink" Target="https://www.homedepot.com/p/Charlotte-Pipe-3-4-in-PVC-Elbow-SxS-20-Pack-PVC-02309-0820HD/307852172" TargetMode="External"/><Relationship Id="rId14" Type="http://schemas.openxmlformats.org/officeDocument/2006/relationships/hyperlink" Target="https://www.homedepot.com/p/3-4-in-Schedule-40-PVC-90-Degree-Elbow-C410-007/100344758?keyword=049081141684&amp;semanticToken=300300r001221000_762b7395285015eeff5597ae80a5521a_1593361216779+300300r001221000+%3E++cnn%3A%7B14%3A0%7D+cnr%3A%7B7%3A0%7D+cnp%3A%7B10%3A0%7D+cnd%3A%7B4%3A0%7D+cne%3A%7B8%3A0%7D+cnb%3A%7B0%3A0%7D+cns%3A%7B5%3A0%7D+cnx%3A%7B3%3A0%7D+cnq%3A%7B0%3A0%7D+cnw%3A%7B0%3A0%7D+cnv%3A%7B0%3A0%7D+st%3A%7B049081141684%7D%3Ast+oos%3A%7B0%3A1%7D+tgr%3A%7BNo+stage+info%7D+smf%3A%7Bca%2Cbr%7D%3Asmf+nf%3A%7B1%7D%3Anf+qu%3A%7B049081141684%7D%3Aqu" TargetMode="External"/><Relationship Id="rId22" Type="http://schemas.openxmlformats.org/officeDocument/2006/relationships/hyperlink" Target="https://www.homedepot.com/p/NDS-13-in-x-20-in-Standard-Jumbo-Valve-Box-with-ICV-Overlapping-Cover-117BC/100377391" TargetMode="External"/><Relationship Id="rId27" Type="http://schemas.openxmlformats.org/officeDocument/2006/relationships/hyperlink" Target="https://www.homedepot.com/p/Rain-Bird-1800-Series-4-in-Pressure-Regulated-High-Efficiency-Spray-1804HEVNPR/206617992" TargetMode="External"/><Relationship Id="rId30" Type="http://schemas.openxmlformats.org/officeDocument/2006/relationships/hyperlink" Target="https://www.homedepot.com/p/Apollo-1-in-Lead-Free-Brass-FNPT-x-FNPT-Full-Port-Ball-Valve-94ALF10501A/305975196" TargetMode="External"/><Relationship Id="rId35" Type="http://schemas.openxmlformats.org/officeDocument/2006/relationships/hyperlink" Target="https://www.homedepot.com/p/Vigoro-4-in-Weed-Barrier-Landscape-Fabric-Garden-Staples-500-Pack-8500RV/302720136" TargetMode="External"/><Relationship Id="rId43" Type="http://schemas.openxmlformats.org/officeDocument/2006/relationships/hyperlink" Target="https://www.homedepot.com/p/COL-MET-8-in-x-14-Gauge-Brown-Steel-Corner-Edging-Stake-14CSB10/100135484" TargetMode="External"/><Relationship Id="rId48" Type="http://schemas.openxmlformats.org/officeDocument/2006/relationships/hyperlink" Target="https://www.homedepot.com/p/1-in-Schedule-40-PVC-45-Degree-Elbow-C417-010/100345015?keyword=049081140267" TargetMode="External"/><Relationship Id="rId56" Type="http://schemas.openxmlformats.org/officeDocument/2006/relationships/hyperlink" Target="https://www.lowes.com/pd/GE-Silicone-2-10-1-oz-Clear-Silicone-Caulk/3084963" TargetMode="External"/><Relationship Id="rId8" Type="http://schemas.openxmlformats.org/officeDocument/2006/relationships/hyperlink" Target="https://www.homedepot.com/p/Charlotte-Pipe-3-4-in-PVC-90-Degree-Elbow-Socket-x-Socket-35-Pack-PVC-02300-0835HD/307852036" TargetMode="External"/><Relationship Id="rId51" Type="http://schemas.openxmlformats.org/officeDocument/2006/relationships/hyperlink" Target="https://www.homedepot.com/p/Charlotte-Pipe-1-in-PVC-Schedule-40-FPT-Cap-PVC021171200HD/203811724" TargetMode="External"/><Relationship Id="rId3" Type="http://schemas.openxmlformats.org/officeDocument/2006/relationships/hyperlink" Target="https://www.homedepot.com/p/3-4-in-Schedule-40-PVC-Male-Adapter-C436-007/100348150" TargetMode="External"/><Relationship Id="rId12" Type="http://schemas.openxmlformats.org/officeDocument/2006/relationships/hyperlink" Target="https://www.homedepot.com/p/3-4-in-Schedule-40-PVC-Cap-C448-007/100345647" TargetMode="External"/><Relationship Id="rId17" Type="http://schemas.openxmlformats.org/officeDocument/2006/relationships/hyperlink" Target="https://www.homedepot.com/p/Everbilt-3-4-in-Brass-FHT-x-MHT-Garden-Valve-VGRBNOB4EB/205812113" TargetMode="External"/><Relationship Id="rId25" Type="http://schemas.openxmlformats.org/officeDocument/2006/relationships/hyperlink" Target="https://www.amazon.com/gp/product/B000VHE8RS/" TargetMode="External"/><Relationship Id="rId33" Type="http://schemas.openxmlformats.org/officeDocument/2006/relationships/hyperlink" Target="https://www.amazon.com/gp/product/B07RM8W33F/" TargetMode="External"/><Relationship Id="rId38" Type="http://schemas.openxmlformats.org/officeDocument/2006/relationships/hyperlink" Target="https://www.homedepot.com/p/Rain-Bird-6-in-x-1-2-in-x-1-2-in-Swing-Assembly-SA5S/100141993" TargetMode="External"/><Relationship Id="rId46" Type="http://schemas.openxmlformats.org/officeDocument/2006/relationships/hyperlink" Target="https://www.homedepot.com/p/1-in-x-1-2-in-Schedule-40-PVC-90-Degree-Reducing-Elbow-C407-130/100348401" TargetMode="External"/><Relationship Id="rId5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depot.com/p/VPC-3-4-in-x-60-in-Black-Steel-Schedule-40-Cut-Pipe-21-707560/304751763" TargetMode="External"/><Relationship Id="rId13" Type="http://schemas.openxmlformats.org/officeDocument/2006/relationships/hyperlink" Target="https://www.homedepot.com/p/rental/Wacker-Neuson-Sales-Americas-Vibratory-Plate-Compactor-20-0008708/309007064" TargetMode="External"/><Relationship Id="rId3" Type="http://schemas.openxmlformats.org/officeDocument/2006/relationships/hyperlink" Target="https://unilock.com/product/beacon-hill-smooth-chicago/" TargetMode="External"/><Relationship Id="rId7" Type="http://schemas.openxmlformats.org/officeDocument/2006/relationships/hyperlink" Target="https://www.homedepot.com/p/Grade-Stakes-Pine-12-Pack-Common-1-in-x-2-in-x-2-ft-Actual-562-in-x-1-375-in-x-23-5-in-461487/203316911" TargetMode="External"/><Relationship Id="rId12" Type="http://schemas.openxmlformats.org/officeDocument/2006/relationships/hyperlink" Target="https://www.homedepot.com/p/NIBCO-3-in-PVC-DWV-Hub-Cap-C4817HD3/205799562" TargetMode="External"/><Relationship Id="rId2" Type="http://schemas.openxmlformats.org/officeDocument/2006/relationships/hyperlink" Target="https://www.pavestone.com/" TargetMode="External"/><Relationship Id="rId1" Type="http://schemas.openxmlformats.org/officeDocument/2006/relationships/hyperlink" Target="https://www.homedepot.com/s/1002-846-787?NCNI-5" TargetMode="External"/><Relationship Id="rId6" Type="http://schemas.openxmlformats.org/officeDocument/2006/relationships/hyperlink" Target="https://www.homedepot.com/p/Charlotte-Pipe-3-in-PVC-DWV-90-Degree-Street-Elbow-Fitting-PVC003021200HD/203393468" TargetMode="External"/><Relationship Id="rId11" Type="http://schemas.openxmlformats.org/officeDocument/2006/relationships/hyperlink" Target="https://www.homedepot.com/p/Southland-3-4-in-x-10-ft-Black-Steel-Pipe-584-1200HC/100540481" TargetMode="External"/><Relationship Id="rId5" Type="http://schemas.openxmlformats.org/officeDocument/2006/relationships/hyperlink" Target="https://www.homedepot.com/p/NIBCO-3-in-PVC-DWV-All-Hub-Sanitary-Tee-C4811HD3/100345158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s://www.homedepot.com/p/1-in-x-10-ft-Black-Steel-Pipe-585-1200HC/100535170" TargetMode="External"/><Relationship Id="rId4" Type="http://schemas.openxmlformats.org/officeDocument/2006/relationships/hyperlink" Target="https://www.homedepot.com/p/Kelleher-3-16-in-x-48-in-Wood-Round-Dowel-IM6403U-60/308659601" TargetMode="External"/><Relationship Id="rId9" Type="http://schemas.openxmlformats.org/officeDocument/2006/relationships/hyperlink" Target="https://www.homedepot.com/p/VPC-1-in-x-60-in-Black-Steel-Schedule-40-Cut-Pipe-21-701060/304751778?" TargetMode="External"/><Relationship Id="rId14" Type="http://schemas.openxmlformats.org/officeDocument/2006/relationships/hyperlink" Target="https://www.homedepot.com/p/rental/Wacker-Neuson-Sales-Americas-Vibratory-Plate-Compactor-20-0008708/30900706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depot.com/p/2-in-x-12-in-x-8-ft-Premium-2-and-Better-Douglas-Fir-Lumber-707195/202094201" TargetMode="External"/><Relationship Id="rId2" Type="http://schemas.openxmlformats.org/officeDocument/2006/relationships/hyperlink" Target="https://www.homedepot.com/p/Tapcon-3-16-in-x-5-1-2-in-Carbide-Tipped-Masonery-Drill-Bit-11362/100166555" TargetMode="External"/><Relationship Id="rId1" Type="http://schemas.openxmlformats.org/officeDocument/2006/relationships/hyperlink" Target="https://www.homedepot.com/p/Tapcon-1-4-in-x-2-3-4-in-Hex-Washer-Head-Concrete-Anchors-25-Pack-24230/100114651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homedepot.com/p/Wooster-3-in-Pro-Nylon-Polyester-Flat-Brush-0H21450030/206858511?keyword=071497184191" TargetMode="External"/><Relationship Id="rId4" Type="http://schemas.openxmlformats.org/officeDocument/2006/relationships/hyperlink" Target="https://www.homedepot.com/p/Pavestone-Taverna-Rec-12-in-x-8-in-x-2-in-Eddington-Blend-Concrete-Paver-25329/30354093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1"/>
  <sheetViews>
    <sheetView tabSelected="1" workbookViewId="0">
      <selection activeCell="I11" sqref="I11"/>
    </sheetView>
  </sheetViews>
  <sheetFormatPr defaultRowHeight="15" x14ac:dyDescent="0.25"/>
  <cols>
    <col min="2" max="2" width="9.140625" style="1"/>
    <col min="3" max="3" width="40.28515625" bestFit="1" customWidth="1"/>
    <col min="4" max="4" width="27.140625" style="10" bestFit="1" customWidth="1"/>
    <col min="5" max="5" width="5.5703125" style="21" customWidth="1"/>
    <col min="6" max="6" width="28.140625" customWidth="1"/>
    <col min="7" max="8" width="25.42578125" bestFit="1" customWidth="1"/>
    <col min="9" max="9" width="36.5703125" bestFit="1" customWidth="1"/>
    <col min="10" max="10" width="17.7109375" bestFit="1" customWidth="1"/>
    <col min="11" max="11" width="10.42578125" hidden="1" customWidth="1"/>
    <col min="12" max="12" width="1.42578125" bestFit="1" customWidth="1"/>
  </cols>
  <sheetData>
    <row r="1" spans="2:14" s="10" customFormat="1" ht="7.5" customHeight="1" thickBot="1" x14ac:dyDescent="0.55000000000000004">
      <c r="C1" s="19"/>
      <c r="D1" s="19"/>
      <c r="E1" s="22"/>
      <c r="F1" s="19"/>
    </row>
    <row r="2" spans="2:14" ht="32.25" thickBot="1" x14ac:dyDescent="0.55000000000000004">
      <c r="D2" s="19" t="s">
        <v>32</v>
      </c>
      <c r="F2" s="19" t="s">
        <v>34</v>
      </c>
      <c r="H2" s="19" t="s">
        <v>1</v>
      </c>
      <c r="I2" s="7">
        <f>400+4728.66+9924.15+4156.53+15.3+1459.74+521.85</f>
        <v>21206.23</v>
      </c>
    </row>
    <row r="3" spans="2:14" s="1" customFormat="1" ht="31.5" x14ac:dyDescent="0.5">
      <c r="B3" s="44" t="s">
        <v>22</v>
      </c>
      <c r="C3" s="45" t="s">
        <v>26</v>
      </c>
      <c r="D3" s="46">
        <f>'0_Software'!C9</f>
        <v>400</v>
      </c>
      <c r="E3" s="45"/>
      <c r="F3" s="47">
        <f>'0_Software'!G9</f>
        <v>400</v>
      </c>
    </row>
    <row r="4" spans="2:14" s="1" customFormat="1" ht="31.5" x14ac:dyDescent="0.5">
      <c r="B4" s="44" t="s">
        <v>4</v>
      </c>
      <c r="C4" s="45" t="s">
        <v>21</v>
      </c>
      <c r="D4" s="46">
        <f>'1_Consulting'!D9</f>
        <v>0</v>
      </c>
      <c r="E4" s="45"/>
      <c r="F4" s="47">
        <f>'1_Consulting'!H9</f>
        <v>0</v>
      </c>
      <c r="H4" s="10"/>
      <c r="L4" s="29" t="s">
        <v>109</v>
      </c>
    </row>
    <row r="5" spans="2:14" ht="31.5" x14ac:dyDescent="0.5">
      <c r="B5" s="6" t="s">
        <v>5</v>
      </c>
      <c r="C5" s="2" t="s">
        <v>3</v>
      </c>
      <c r="D5" s="20">
        <f>'2_Grass_and_sprinkler'!E99</f>
        <v>4527.3600000000006</v>
      </c>
      <c r="E5" s="23"/>
      <c r="F5" s="47">
        <f>'2_Grass_and_sprinkler'!I99</f>
        <v>3927.36</v>
      </c>
      <c r="G5" s="132">
        <f>D5-F5</f>
        <v>600.00000000000045</v>
      </c>
      <c r="H5" s="17"/>
      <c r="I5" s="43"/>
      <c r="J5" s="80"/>
      <c r="L5" s="29" t="s">
        <v>109</v>
      </c>
      <c r="M5" s="14"/>
      <c r="N5" s="14"/>
    </row>
    <row r="6" spans="2:14" ht="31.5" x14ac:dyDescent="0.5">
      <c r="B6" s="6" t="s">
        <v>6</v>
      </c>
      <c r="C6" s="2" t="s">
        <v>14</v>
      </c>
      <c r="D6" s="20">
        <f>'3_Mulch'!D12</f>
        <v>2190</v>
      </c>
      <c r="E6" s="23"/>
      <c r="F6" s="3">
        <f>'3_Mulch'!H12</f>
        <v>0</v>
      </c>
      <c r="G6" s="20">
        <f>D6-F6</f>
        <v>2190</v>
      </c>
      <c r="L6" s="29" t="s">
        <v>109</v>
      </c>
      <c r="M6" s="14"/>
      <c r="N6" s="14"/>
    </row>
    <row r="7" spans="2:14" ht="31.5" x14ac:dyDescent="0.5">
      <c r="B7" s="6" t="s">
        <v>7</v>
      </c>
      <c r="C7" s="2" t="s">
        <v>15</v>
      </c>
      <c r="D7" s="20">
        <f>'4_Paver_Patio'!E29</f>
        <v>8241</v>
      </c>
      <c r="E7" s="23"/>
      <c r="F7" s="47">
        <f>'4_Paver_Patio'!I29</f>
        <v>8153.2</v>
      </c>
      <c r="G7" s="131">
        <f>D7-F7</f>
        <v>87.800000000000182</v>
      </c>
      <c r="H7" s="17"/>
      <c r="I7" s="80"/>
      <c r="J7" s="80"/>
      <c r="L7" s="29" t="s">
        <v>109</v>
      </c>
      <c r="M7" s="14"/>
      <c r="N7" s="14"/>
    </row>
    <row r="8" spans="2:14" ht="31.5" x14ac:dyDescent="0.5">
      <c r="B8" s="44" t="s">
        <v>8</v>
      </c>
      <c r="C8" s="45" t="s">
        <v>110</v>
      </c>
      <c r="D8" s="46">
        <f>'5_mother-in-law_Patio'!E16</f>
        <v>319</v>
      </c>
      <c r="E8" s="45"/>
      <c r="F8" s="47">
        <f>'5_mother-in-law_Patio'!I16</f>
        <v>319</v>
      </c>
      <c r="G8" s="20">
        <f>D8-F8</f>
        <v>0</v>
      </c>
      <c r="H8" s="2"/>
      <c r="L8" s="29" t="s">
        <v>109</v>
      </c>
      <c r="M8" s="14"/>
      <c r="N8" s="14"/>
    </row>
    <row r="9" spans="2:14" ht="31.5" x14ac:dyDescent="0.5">
      <c r="B9" s="115" t="s">
        <v>9</v>
      </c>
      <c r="C9" s="116" t="s">
        <v>16</v>
      </c>
      <c r="D9" s="117">
        <f>'6_walkway_side_yard'!E12</f>
        <v>0</v>
      </c>
      <c r="E9" s="116"/>
      <c r="F9" s="118">
        <f>'6_walkway_side_yard'!I12</f>
        <v>0</v>
      </c>
      <c r="G9" s="20">
        <f t="shared" ref="G9:G16" si="0">D9-F9</f>
        <v>0</v>
      </c>
      <c r="H9" s="2"/>
      <c r="M9" s="14"/>
      <c r="N9" s="14"/>
    </row>
    <row r="10" spans="2:14" ht="31.5" x14ac:dyDescent="0.5">
      <c r="B10" s="115" t="s">
        <v>10</v>
      </c>
      <c r="C10" s="116" t="s">
        <v>17</v>
      </c>
      <c r="D10" s="117">
        <f>'7_walkway_back_yard'!E12</f>
        <v>0</v>
      </c>
      <c r="E10" s="116"/>
      <c r="F10" s="118">
        <f>'7_walkway_back_yard'!I12</f>
        <v>0</v>
      </c>
      <c r="G10" s="20">
        <f t="shared" si="0"/>
        <v>0</v>
      </c>
      <c r="H10" s="2"/>
      <c r="I10" s="36"/>
      <c r="M10" s="14"/>
      <c r="N10" s="14"/>
    </row>
    <row r="11" spans="2:14" ht="31.5" x14ac:dyDescent="0.5">
      <c r="B11" s="6" t="s">
        <v>13</v>
      </c>
      <c r="C11" s="2" t="s">
        <v>475</v>
      </c>
      <c r="D11" s="20">
        <f>'8_Gate'!D8</f>
        <v>2044</v>
      </c>
      <c r="E11" s="23"/>
      <c r="F11" s="3">
        <f>'8_Gate'!H8</f>
        <v>2044</v>
      </c>
      <c r="G11" s="131">
        <f t="shared" si="0"/>
        <v>0</v>
      </c>
      <c r="H11" s="2"/>
      <c r="L11" s="29" t="s">
        <v>109</v>
      </c>
      <c r="M11" s="14"/>
      <c r="N11" s="14"/>
    </row>
    <row r="12" spans="2:14" ht="31.5" x14ac:dyDescent="0.5">
      <c r="B12" s="44" t="s">
        <v>11</v>
      </c>
      <c r="C12" s="45" t="s">
        <v>18</v>
      </c>
      <c r="D12" s="46">
        <f>'9_lighting'!D24</f>
        <v>1747</v>
      </c>
      <c r="E12" s="45"/>
      <c r="F12" s="47">
        <f>'9_lighting'!H24</f>
        <v>1597</v>
      </c>
      <c r="G12" s="131">
        <f t="shared" si="0"/>
        <v>150</v>
      </c>
      <c r="H12" s="2"/>
      <c r="M12" s="14"/>
      <c r="N12" s="14"/>
    </row>
    <row r="13" spans="2:14" ht="31.5" x14ac:dyDescent="0.5">
      <c r="B13" s="44" t="s">
        <v>12</v>
      </c>
      <c r="C13" s="45" t="s">
        <v>19</v>
      </c>
      <c r="D13" s="46">
        <f>'10. Drainage'!D41</f>
        <v>1252</v>
      </c>
      <c r="E13" s="45"/>
      <c r="F13" s="47">
        <f>'10. Drainage'!H41</f>
        <v>1252</v>
      </c>
      <c r="G13" s="20">
        <f t="shared" si="0"/>
        <v>0</v>
      </c>
      <c r="H13" s="2"/>
      <c r="I13" s="14"/>
      <c r="M13" s="14"/>
      <c r="N13" s="14"/>
    </row>
    <row r="14" spans="2:14" ht="31.5" x14ac:dyDescent="0.5">
      <c r="B14" s="6" t="s">
        <v>23</v>
      </c>
      <c r="C14" s="2" t="s">
        <v>20</v>
      </c>
      <c r="D14" s="20">
        <f>'11. Tools'!D37</f>
        <v>2977</v>
      </c>
      <c r="E14" s="23"/>
      <c r="F14" s="47">
        <f>'11. Tools'!H37</f>
        <v>2799</v>
      </c>
      <c r="G14" s="131">
        <f t="shared" si="0"/>
        <v>178</v>
      </c>
      <c r="H14" s="2"/>
      <c r="I14" s="1"/>
      <c r="J14" s="1"/>
      <c r="M14" s="14"/>
      <c r="N14" s="14"/>
    </row>
    <row r="15" spans="2:14" s="1" customFormat="1" ht="31.5" x14ac:dyDescent="0.5">
      <c r="B15" s="44" t="s">
        <v>24</v>
      </c>
      <c r="C15" s="45" t="s">
        <v>188</v>
      </c>
      <c r="D15" s="46">
        <f>'12. Ethernet'!D41</f>
        <v>891</v>
      </c>
      <c r="E15" s="45"/>
      <c r="F15" s="47">
        <f>'12. Ethernet'!H41</f>
        <v>891</v>
      </c>
      <c r="G15" s="20">
        <f t="shared" si="0"/>
        <v>0</v>
      </c>
      <c r="H15" s="2"/>
    </row>
    <row r="16" spans="2:14" s="1" customFormat="1" ht="31.5" x14ac:dyDescent="0.5">
      <c r="B16" s="6" t="s">
        <v>87</v>
      </c>
      <c r="C16" s="2" t="s">
        <v>25</v>
      </c>
      <c r="D16" s="20">
        <f>'13. Kid Labor'!D25</f>
        <v>1000</v>
      </c>
      <c r="E16" s="23"/>
      <c r="F16" s="47">
        <f>'13. Kid Labor'!H25</f>
        <v>680</v>
      </c>
      <c r="G16" s="131">
        <f t="shared" si="0"/>
        <v>320</v>
      </c>
      <c r="H16" s="2"/>
      <c r="I16"/>
      <c r="J16"/>
    </row>
    <row r="17" spans="3:10" ht="31.5" x14ac:dyDescent="0.5">
      <c r="C17" s="2"/>
      <c r="D17" s="17"/>
      <c r="E17" s="23"/>
      <c r="F17" s="2"/>
      <c r="G17" s="2"/>
      <c r="H17" s="20"/>
      <c r="I17" s="14"/>
      <c r="J17" s="14"/>
    </row>
    <row r="18" spans="3:10" ht="32.25" thickBot="1" x14ac:dyDescent="0.55000000000000004">
      <c r="C18" s="4" t="s">
        <v>0</v>
      </c>
      <c r="D18" s="18">
        <f>SUM(D3:D17)</f>
        <v>25588.36</v>
      </c>
      <c r="E18" s="22"/>
      <c r="F18" s="3">
        <f>SUM(F3:F17)</f>
        <v>22062.560000000001</v>
      </c>
      <c r="G18" s="2"/>
      <c r="H18" s="134">
        <v>-856.33</v>
      </c>
      <c r="I18" s="14">
        <f>H18-F19</f>
        <v>1.7053025658242404E-12</v>
      </c>
      <c r="J18" s="14"/>
    </row>
    <row r="19" spans="3:10" ht="32.25" thickBot="1" x14ac:dyDescent="0.55000000000000004">
      <c r="C19" s="4" t="s">
        <v>2</v>
      </c>
      <c r="D19" s="26">
        <f>I2-D18</f>
        <v>-4382.130000000001</v>
      </c>
      <c r="E19" s="22"/>
      <c r="F19" s="8">
        <f>I2-F18</f>
        <v>-856.33000000000175</v>
      </c>
      <c r="G19" s="2"/>
      <c r="H19" s="2"/>
      <c r="I19" s="15"/>
      <c r="J19" s="15"/>
    </row>
    <row r="20" spans="3:10" ht="31.5" x14ac:dyDescent="0.5">
      <c r="C20" s="4"/>
      <c r="D20" s="19"/>
      <c r="E20" s="22"/>
      <c r="F20" s="5"/>
      <c r="G20" s="2"/>
      <c r="H20" s="20"/>
      <c r="I20" s="15"/>
    </row>
    <row r="21" spans="3:10" ht="31.5" x14ac:dyDescent="0.5">
      <c r="C21" s="2"/>
      <c r="D21" s="17"/>
      <c r="E21" s="23"/>
    </row>
  </sheetData>
  <conditionalFormatting sqref="F19">
    <cfRule type="expression" dxfId="5" priority="4">
      <formula>$F$19=0</formula>
    </cfRule>
    <cfRule type="expression" dxfId="4" priority="5">
      <formula>$F$19&gt;0</formula>
    </cfRule>
    <cfRule type="expression" dxfId="3" priority="6">
      <formula>$F$19&lt;0</formula>
    </cfRule>
  </conditionalFormatting>
  <conditionalFormatting sqref="D19">
    <cfRule type="expression" dxfId="2" priority="1">
      <formula>$D$19&gt;0</formula>
    </cfRule>
    <cfRule type="expression" dxfId="1" priority="2">
      <formula>$D$19=0</formula>
    </cfRule>
    <cfRule type="expression" dxfId="0" priority="3">
      <formula>$D$19&lt;0</formula>
    </cfRule>
  </conditionalFormatting>
  <pageMargins left="0.7" right="0.7" top="0.75" bottom="0.75" header="0.3" footer="0.3"/>
  <pageSetup scale="66" orientation="landscape" horizontalDpi="4294967293" verticalDpi="4294967293" r:id="rId1"/>
  <ignoredErrors>
    <ignoredError sqref="B3:B16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9"/>
  <sheetViews>
    <sheetView workbookViewId="0">
      <selection activeCell="D8" sqref="D8"/>
    </sheetView>
  </sheetViews>
  <sheetFormatPr defaultRowHeight="15" x14ac:dyDescent="0.25"/>
  <cols>
    <col min="1" max="1" width="9.140625" style="10"/>
    <col min="2" max="2" width="51.5703125" style="10" bestFit="1" customWidth="1"/>
    <col min="3" max="3" width="12.42578125" style="10" customWidth="1"/>
    <col min="4" max="4" width="20.140625" style="10" bestFit="1" customWidth="1"/>
    <col min="5" max="5" width="15.140625" style="10" bestFit="1" customWidth="1"/>
    <col min="6" max="6" width="10.5703125" style="10" bestFit="1" customWidth="1"/>
    <col min="7" max="7" width="1.42578125" style="10" customWidth="1"/>
    <col min="8" max="8" width="28" style="10" bestFit="1" customWidth="1"/>
    <col min="9" max="10" width="9.140625" style="10"/>
    <col min="11" max="11" width="12.140625" style="10" bestFit="1" customWidth="1"/>
    <col min="12" max="12" width="9.28515625" style="10" bestFit="1" customWidth="1"/>
    <col min="13" max="16384" width="9.140625" style="10"/>
  </cols>
  <sheetData>
    <row r="1" spans="2:8" ht="15.75" thickBot="1" x14ac:dyDescent="0.3"/>
    <row r="2" spans="2:8" ht="32.25" thickBot="1" x14ac:dyDescent="0.55000000000000004">
      <c r="B2" s="9" t="s">
        <v>88</v>
      </c>
    </row>
    <row r="5" spans="2:8" ht="21.75" thickBot="1" x14ac:dyDescent="0.4">
      <c r="B5" s="11" t="s">
        <v>27</v>
      </c>
      <c r="C5" s="11" t="s">
        <v>64</v>
      </c>
      <c r="D5" s="11" t="s">
        <v>32</v>
      </c>
      <c r="E5" s="12" t="s">
        <v>28</v>
      </c>
      <c r="F5" s="12" t="s">
        <v>29</v>
      </c>
      <c r="G5" s="12"/>
      <c r="H5" s="16" t="s">
        <v>30</v>
      </c>
    </row>
    <row r="6" spans="2:8" ht="21" x14ac:dyDescent="0.35">
      <c r="B6" s="10" t="s">
        <v>478</v>
      </c>
      <c r="D6" s="14">
        <v>2044</v>
      </c>
      <c r="E6" s="133">
        <v>44117</v>
      </c>
      <c r="F6" s="40">
        <v>2044</v>
      </c>
      <c r="G6" s="40"/>
      <c r="H6" s="42">
        <f>ROUNDUP(F6,0)</f>
        <v>2044</v>
      </c>
    </row>
    <row r="7" spans="2:8" ht="15.75" thickBot="1" x14ac:dyDescent="0.3">
      <c r="D7" s="14"/>
    </row>
    <row r="8" spans="2:8" ht="27" thickBot="1" x14ac:dyDescent="0.45">
      <c r="D8" s="25">
        <f>SUM(D6:D7)</f>
        <v>2044</v>
      </c>
      <c r="F8" s="28" t="s">
        <v>0</v>
      </c>
      <c r="G8" s="15"/>
      <c r="H8" s="24">
        <f>SUM(H6:H7)</f>
        <v>2044</v>
      </c>
    </row>
    <row r="9" spans="2:8" x14ac:dyDescent="0.25">
      <c r="F9" s="14"/>
      <c r="G9" s="14"/>
    </row>
  </sheetData>
  <pageMargins left="0.7" right="0.7" top="0.75" bottom="0.75" header="0.3" footer="0.3"/>
  <pageSetup scale="85" orientation="landscape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25"/>
  <sheetViews>
    <sheetView workbookViewId="0">
      <selection activeCell="B21" sqref="B21"/>
    </sheetView>
  </sheetViews>
  <sheetFormatPr defaultRowHeight="15" x14ac:dyDescent="0.25"/>
  <cols>
    <col min="1" max="1" width="9.140625" style="10"/>
    <col min="2" max="2" width="51.5703125" style="10" bestFit="1" customWidth="1"/>
    <col min="3" max="3" width="12.42578125" style="10" customWidth="1"/>
    <col min="4" max="4" width="20.140625" style="10" bestFit="1" customWidth="1"/>
    <col min="5" max="5" width="13.7109375" style="10" bestFit="1" customWidth="1"/>
    <col min="6" max="6" width="10.85546875" style="10" bestFit="1" customWidth="1"/>
    <col min="7" max="7" width="1.42578125" style="10" customWidth="1"/>
    <col min="8" max="8" width="28" style="10" bestFit="1" customWidth="1"/>
    <col min="9" max="10" width="9.140625" style="10"/>
    <col min="11" max="11" width="19" style="10" bestFit="1" customWidth="1"/>
    <col min="12" max="12" width="9.42578125" style="10" bestFit="1" customWidth="1"/>
    <col min="13" max="13" width="12.140625" style="10" bestFit="1" customWidth="1"/>
    <col min="14" max="14" width="9.28515625" style="10" bestFit="1" customWidth="1"/>
    <col min="15" max="16384" width="9.140625" style="10"/>
  </cols>
  <sheetData>
    <row r="1" spans="2:16" ht="15.75" thickBot="1" x14ac:dyDescent="0.3"/>
    <row r="2" spans="2:16" ht="32.25" thickBot="1" x14ac:dyDescent="0.55000000000000004">
      <c r="B2" s="9" t="s">
        <v>89</v>
      </c>
      <c r="K2" s="30" t="s">
        <v>38</v>
      </c>
    </row>
    <row r="3" spans="2:16" ht="15.75" thickBot="1" x14ac:dyDescent="0.3">
      <c r="K3" s="29" t="s">
        <v>39</v>
      </c>
      <c r="L3" s="10" t="s">
        <v>136</v>
      </c>
    </row>
    <row r="4" spans="2:16" ht="16.5" thickBot="1" x14ac:dyDescent="0.3">
      <c r="K4" s="10" t="s">
        <v>135</v>
      </c>
      <c r="L4" s="62">
        <v>250</v>
      </c>
    </row>
    <row r="5" spans="2:16" ht="21.75" thickBot="1" x14ac:dyDescent="0.4">
      <c r="B5" s="11" t="s">
        <v>27</v>
      </c>
      <c r="C5" s="11" t="s">
        <v>64</v>
      </c>
      <c r="D5" s="11" t="s">
        <v>32</v>
      </c>
      <c r="E5" s="12" t="s">
        <v>28</v>
      </c>
      <c r="F5" s="12" t="s">
        <v>29</v>
      </c>
      <c r="G5" s="12"/>
      <c r="H5" s="16" t="s">
        <v>30</v>
      </c>
      <c r="K5" s="10" t="s">
        <v>137</v>
      </c>
      <c r="L5" s="10">
        <v>100</v>
      </c>
    </row>
    <row r="6" spans="2:16" ht="18.75" x14ac:dyDescent="0.3">
      <c r="B6" s="49" t="s">
        <v>116</v>
      </c>
      <c r="C6" s="59"/>
      <c r="D6" s="60">
        <f>H6</f>
        <v>11</v>
      </c>
      <c r="E6" s="56">
        <v>43981</v>
      </c>
      <c r="F6" s="61">
        <v>11</v>
      </c>
      <c r="G6" s="53"/>
      <c r="H6" s="50">
        <f t="shared" ref="H6:H20" si="0">ROUNDUP(F6,0)</f>
        <v>11</v>
      </c>
      <c r="K6" s="32" t="s">
        <v>119</v>
      </c>
      <c r="L6" s="10">
        <v>156</v>
      </c>
    </row>
    <row r="7" spans="2:16" ht="18.75" x14ac:dyDescent="0.3">
      <c r="B7" s="55" t="s">
        <v>90</v>
      </c>
      <c r="C7" s="58" t="s">
        <v>134</v>
      </c>
      <c r="D7" s="60">
        <f t="shared" ref="D7:D16" si="1">H7</f>
        <v>118</v>
      </c>
      <c r="E7" s="56">
        <v>43996</v>
      </c>
      <c r="F7" s="61">
        <v>117.69</v>
      </c>
      <c r="G7" s="53"/>
      <c r="H7" s="50">
        <f t="shared" si="0"/>
        <v>118</v>
      </c>
      <c r="K7" s="32" t="s">
        <v>138</v>
      </c>
      <c r="L7" s="32">
        <v>95</v>
      </c>
    </row>
    <row r="8" spans="2:16" ht="18.75" x14ac:dyDescent="0.3">
      <c r="B8" s="55" t="s">
        <v>171</v>
      </c>
      <c r="C8" s="58" t="s">
        <v>170</v>
      </c>
      <c r="D8" s="60">
        <f t="shared" si="1"/>
        <v>47</v>
      </c>
      <c r="E8" s="56">
        <v>43995</v>
      </c>
      <c r="F8" s="61">
        <v>46.96</v>
      </c>
      <c r="G8" s="53"/>
      <c r="H8" s="50">
        <f t="shared" si="0"/>
        <v>47</v>
      </c>
      <c r="O8" s="10">
        <v>3</v>
      </c>
    </row>
    <row r="9" spans="2:16" ht="18.75" x14ac:dyDescent="0.3">
      <c r="B9" s="55" t="s">
        <v>172</v>
      </c>
      <c r="C9" s="58" t="s">
        <v>173</v>
      </c>
      <c r="D9" s="60">
        <f t="shared" si="1"/>
        <v>47</v>
      </c>
      <c r="E9" s="56">
        <v>43996</v>
      </c>
      <c r="F9" s="61">
        <v>46.99</v>
      </c>
      <c r="G9" s="53"/>
      <c r="H9" s="50">
        <f t="shared" si="0"/>
        <v>47</v>
      </c>
      <c r="O9" s="10">
        <v>6</v>
      </c>
      <c r="P9" s="10" t="s">
        <v>279</v>
      </c>
    </row>
    <row r="10" spans="2:16" ht="19.5" thickBot="1" x14ac:dyDescent="0.35">
      <c r="B10" s="55" t="s">
        <v>177</v>
      </c>
      <c r="C10" s="58" t="s">
        <v>178</v>
      </c>
      <c r="D10" s="60">
        <f t="shared" si="1"/>
        <v>19</v>
      </c>
      <c r="E10" s="56">
        <v>43996</v>
      </c>
      <c r="F10" s="61">
        <v>18.34</v>
      </c>
      <c r="G10" s="53"/>
      <c r="H10" s="50">
        <f t="shared" si="0"/>
        <v>19</v>
      </c>
      <c r="O10" s="10">
        <v>1</v>
      </c>
    </row>
    <row r="11" spans="2:16" ht="15.75" customHeight="1" thickBot="1" x14ac:dyDescent="0.35">
      <c r="B11" s="55" t="s">
        <v>191</v>
      </c>
      <c r="C11" s="67" t="s">
        <v>190</v>
      </c>
      <c r="D11" s="60">
        <f t="shared" si="1"/>
        <v>193</v>
      </c>
      <c r="E11" s="56">
        <v>44000</v>
      </c>
      <c r="F11" s="61">
        <v>192.61</v>
      </c>
      <c r="G11" s="53"/>
      <c r="H11" s="50">
        <f t="shared" si="0"/>
        <v>193</v>
      </c>
      <c r="L11" s="31">
        <f>SUM(L4:L10)</f>
        <v>601</v>
      </c>
      <c r="O11" s="10">
        <v>5</v>
      </c>
    </row>
    <row r="12" spans="2:16" ht="18.75" x14ac:dyDescent="0.3">
      <c r="B12" s="55" t="s">
        <v>192</v>
      </c>
      <c r="C12" s="58" t="s">
        <v>170</v>
      </c>
      <c r="D12" s="60">
        <f t="shared" si="1"/>
        <v>235</v>
      </c>
      <c r="E12" s="56">
        <v>44000</v>
      </c>
      <c r="F12" s="61">
        <v>234.79</v>
      </c>
      <c r="G12" s="53"/>
      <c r="H12" s="50">
        <f t="shared" si="0"/>
        <v>235</v>
      </c>
      <c r="J12" s="15"/>
    </row>
    <row r="13" spans="2:16" ht="18.75" x14ac:dyDescent="0.3">
      <c r="B13" s="55" t="s">
        <v>240</v>
      </c>
      <c r="C13" s="58" t="s">
        <v>170</v>
      </c>
      <c r="D13" s="60">
        <f t="shared" si="1"/>
        <v>248</v>
      </c>
      <c r="E13" s="56">
        <v>44006</v>
      </c>
      <c r="F13" s="61">
        <v>247.97</v>
      </c>
      <c r="G13" s="53"/>
      <c r="H13" s="50">
        <f t="shared" si="0"/>
        <v>248</v>
      </c>
    </row>
    <row r="14" spans="2:16" ht="15" customHeight="1" x14ac:dyDescent="0.3">
      <c r="B14" s="49" t="s">
        <v>280</v>
      </c>
      <c r="C14" s="67" t="s">
        <v>190</v>
      </c>
      <c r="D14" s="60">
        <f t="shared" si="1"/>
        <v>193</v>
      </c>
      <c r="E14" s="56">
        <v>44010</v>
      </c>
      <c r="F14" s="61">
        <v>192.61</v>
      </c>
      <c r="G14" s="53"/>
      <c r="H14" s="50">
        <f t="shared" si="0"/>
        <v>193</v>
      </c>
      <c r="O14" s="10">
        <f>SUM(O8:O13)</f>
        <v>15</v>
      </c>
    </row>
    <row r="15" spans="2:16" ht="18.75" x14ac:dyDescent="0.3">
      <c r="B15" s="89" t="s">
        <v>317</v>
      </c>
      <c r="C15" s="67"/>
      <c r="D15" s="60">
        <f t="shared" si="1"/>
        <v>27</v>
      </c>
      <c r="E15" s="56">
        <v>44018</v>
      </c>
      <c r="F15" s="61">
        <v>26.97</v>
      </c>
      <c r="G15" s="53"/>
      <c r="H15" s="50">
        <f t="shared" si="0"/>
        <v>27</v>
      </c>
    </row>
    <row r="16" spans="2:16" s="96" customFormat="1" ht="18.75" x14ac:dyDescent="0.3">
      <c r="B16" s="49" t="s">
        <v>325</v>
      </c>
      <c r="C16" s="52" t="s">
        <v>326</v>
      </c>
      <c r="D16" s="60">
        <f t="shared" si="1"/>
        <v>6</v>
      </c>
      <c r="E16" s="56">
        <v>44020</v>
      </c>
      <c r="F16" s="61">
        <v>5.26</v>
      </c>
      <c r="G16" s="53"/>
      <c r="H16" s="50">
        <f t="shared" si="0"/>
        <v>6</v>
      </c>
    </row>
    <row r="17" spans="2:8" ht="18.75" x14ac:dyDescent="0.3">
      <c r="B17" s="55" t="s">
        <v>396</v>
      </c>
      <c r="C17" s="58" t="s">
        <v>170</v>
      </c>
      <c r="D17" s="50">
        <v>141</v>
      </c>
      <c r="E17" s="56">
        <v>44065</v>
      </c>
      <c r="F17" s="50">
        <v>140.88</v>
      </c>
      <c r="G17" s="50"/>
      <c r="H17" s="50">
        <f>ROUNDUP(F17,0)</f>
        <v>141</v>
      </c>
    </row>
    <row r="18" spans="2:8" ht="18.75" x14ac:dyDescent="0.3">
      <c r="B18" s="55" t="s">
        <v>396</v>
      </c>
      <c r="C18" s="58" t="s">
        <v>170</v>
      </c>
      <c r="D18" s="50">
        <v>141</v>
      </c>
      <c r="E18" s="56">
        <v>44065</v>
      </c>
      <c r="F18" s="50">
        <v>140.88</v>
      </c>
      <c r="G18" s="50"/>
      <c r="H18" s="50">
        <f t="shared" si="0"/>
        <v>141</v>
      </c>
    </row>
    <row r="19" spans="2:8" s="114" customFormat="1" ht="18.75" x14ac:dyDescent="0.3">
      <c r="B19" s="55" t="s">
        <v>396</v>
      </c>
      <c r="C19" s="58" t="s">
        <v>170</v>
      </c>
      <c r="D19" s="50">
        <v>141</v>
      </c>
      <c r="E19" s="56">
        <v>44086</v>
      </c>
      <c r="F19" s="50">
        <v>140.88</v>
      </c>
      <c r="G19" s="50"/>
      <c r="H19" s="50">
        <f t="shared" si="0"/>
        <v>141</v>
      </c>
    </row>
    <row r="20" spans="2:8" s="127" customFormat="1" ht="18.75" x14ac:dyDescent="0.3">
      <c r="B20" s="49" t="s">
        <v>469</v>
      </c>
      <c r="C20" s="52" t="s">
        <v>470</v>
      </c>
      <c r="D20" s="50">
        <v>30</v>
      </c>
      <c r="E20" s="56">
        <v>44100</v>
      </c>
      <c r="F20" s="50">
        <v>29.68</v>
      </c>
      <c r="G20" s="50"/>
      <c r="H20" s="50">
        <f t="shared" si="0"/>
        <v>30</v>
      </c>
    </row>
    <row r="21" spans="2:8" s="128" customFormat="1" ht="18.75" x14ac:dyDescent="0.3">
      <c r="B21" s="21" t="s">
        <v>476</v>
      </c>
      <c r="C21" s="121"/>
      <c r="D21" s="122">
        <v>150</v>
      </c>
      <c r="E21" s="130"/>
      <c r="F21" s="122"/>
      <c r="G21" s="122"/>
      <c r="H21" s="122"/>
    </row>
    <row r="22" spans="2:8" s="128" customFormat="1" ht="18.75" x14ac:dyDescent="0.3">
      <c r="B22" s="21"/>
      <c r="C22" s="121"/>
      <c r="D22" s="122"/>
      <c r="E22" s="130"/>
      <c r="F22" s="122"/>
      <c r="G22" s="122"/>
      <c r="H22" s="122"/>
    </row>
    <row r="23" spans="2:8" ht="15.75" thickBot="1" x14ac:dyDescent="0.3">
      <c r="D23" s="14"/>
    </row>
    <row r="24" spans="2:8" ht="27" thickBot="1" x14ac:dyDescent="0.45">
      <c r="D24" s="25">
        <f>SUM(D6:D23)</f>
        <v>1747</v>
      </c>
      <c r="F24" s="28" t="s">
        <v>0</v>
      </c>
      <c r="G24" s="15"/>
      <c r="H24" s="24">
        <f>SUM(H6:H23)</f>
        <v>1597</v>
      </c>
    </row>
    <row r="25" spans="2:8" x14ac:dyDescent="0.25">
      <c r="F25" s="14"/>
      <c r="G25" s="14"/>
    </row>
  </sheetData>
  <hyperlinks>
    <hyperlink ref="C7" r:id="rId1"/>
    <hyperlink ref="C8" r:id="rId2"/>
    <hyperlink ref="C9" r:id="rId3"/>
    <hyperlink ref="C10" r:id="rId4"/>
    <hyperlink ref="C11" r:id="rId5" display="https://www.homedepot.com/p/Southwire-500-ft-12-2-Black-Stranded-CU-Low-Voltage-Landscape-Lighting-Wire-55213445/202316307"/>
    <hyperlink ref="C12" r:id="rId6"/>
    <hyperlink ref="C13" r:id="rId7"/>
    <hyperlink ref="C14" r:id="rId8" display="https://www.homedepot.com/p/Southwire-500-ft-12-2-Black-Stranded-CU-Low-Voltage-Landscape-Lighting-Wire-55213445/202316307"/>
    <hyperlink ref="C16" r:id="rId9"/>
    <hyperlink ref="C17" r:id="rId10"/>
    <hyperlink ref="C18" r:id="rId11"/>
    <hyperlink ref="C19" r:id="rId12"/>
    <hyperlink ref="C20" r:id="rId13"/>
  </hyperlinks>
  <pageMargins left="0.7" right="0.7" top="0.75" bottom="0.75" header="0.3" footer="0.3"/>
  <pageSetup scale="64" orientation="landscape" horizontalDpi="4294967293" verticalDpi="4294967293" r:id="rId1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topLeftCell="A25" workbookViewId="0">
      <selection activeCell="I39" sqref="I6:I39"/>
    </sheetView>
  </sheetViews>
  <sheetFormatPr defaultRowHeight="15" x14ac:dyDescent="0.25"/>
  <cols>
    <col min="1" max="1" width="9.140625" style="10"/>
    <col min="2" max="2" width="51.5703125" style="10" bestFit="1" customWidth="1"/>
    <col min="3" max="3" width="12.42578125" style="10" customWidth="1"/>
    <col min="4" max="4" width="20.140625" style="10" bestFit="1" customWidth="1"/>
    <col min="5" max="5" width="13.7109375" style="10" bestFit="1" customWidth="1"/>
    <col min="6" max="6" width="12.28515625" style="10" bestFit="1" customWidth="1"/>
    <col min="7" max="7" width="1.42578125" style="10" customWidth="1"/>
    <col min="8" max="8" width="28" style="10" bestFit="1" customWidth="1"/>
    <col min="9" max="10" width="9.140625" style="10"/>
    <col min="11" max="11" width="19" style="10" bestFit="1" customWidth="1"/>
    <col min="12" max="12" width="9.42578125" style="10" bestFit="1" customWidth="1"/>
    <col min="13" max="13" width="12.140625" style="10" bestFit="1" customWidth="1"/>
    <col min="14" max="14" width="9.28515625" style="10" bestFit="1" customWidth="1"/>
    <col min="15" max="16384" width="9.140625" style="10"/>
  </cols>
  <sheetData>
    <row r="1" spans="2:12" ht="15.75" thickBot="1" x14ac:dyDescent="0.3"/>
    <row r="2" spans="2:12" ht="32.25" thickBot="1" x14ac:dyDescent="0.55000000000000004">
      <c r="B2" s="9" t="s">
        <v>91</v>
      </c>
      <c r="K2" s="30" t="s">
        <v>38</v>
      </c>
    </row>
    <row r="3" spans="2:12" ht="15.75" thickBot="1" x14ac:dyDescent="0.3">
      <c r="K3" s="29" t="s">
        <v>39</v>
      </c>
      <c r="L3" s="10" t="s">
        <v>61</v>
      </c>
    </row>
    <row r="4" spans="2:12" ht="19.5" thickBot="1" x14ac:dyDescent="0.35">
      <c r="K4" s="10" t="s">
        <v>66</v>
      </c>
      <c r="L4" s="31">
        <v>77</v>
      </c>
    </row>
    <row r="5" spans="2:12" ht="21.75" thickBot="1" x14ac:dyDescent="0.4">
      <c r="B5" s="11" t="s">
        <v>27</v>
      </c>
      <c r="C5" s="11" t="s">
        <v>64</v>
      </c>
      <c r="D5" s="11" t="s">
        <v>32</v>
      </c>
      <c r="E5" s="12" t="s">
        <v>28</v>
      </c>
      <c r="F5" s="12" t="s">
        <v>29</v>
      </c>
      <c r="G5" s="12"/>
      <c r="H5" s="16" t="s">
        <v>30</v>
      </c>
      <c r="K5" s="10" t="s">
        <v>67</v>
      </c>
      <c r="L5" s="31">
        <v>76</v>
      </c>
    </row>
    <row r="6" spans="2:12" ht="21.75" thickBot="1" x14ac:dyDescent="0.4">
      <c r="B6" s="55" t="s">
        <v>152</v>
      </c>
      <c r="C6" s="52" t="s">
        <v>153</v>
      </c>
      <c r="D6" s="50">
        <v>10</v>
      </c>
      <c r="E6" s="53"/>
      <c r="F6" s="57">
        <v>9.91</v>
      </c>
      <c r="G6" s="53"/>
      <c r="H6" s="54">
        <f t="shared" ref="H6:H39" si="0">ROUNDUP(F6,0)</f>
        <v>10</v>
      </c>
      <c r="I6" s="129"/>
      <c r="K6" s="32" t="s">
        <v>119</v>
      </c>
      <c r="L6" s="31">
        <v>75</v>
      </c>
    </row>
    <row r="7" spans="2:12" ht="21.75" thickBot="1" x14ac:dyDescent="0.4">
      <c r="B7" s="55" t="s">
        <v>156</v>
      </c>
      <c r="C7" s="52" t="s">
        <v>157</v>
      </c>
      <c r="D7" s="50">
        <v>56</v>
      </c>
      <c r="E7" s="53"/>
      <c r="F7" s="57">
        <v>55.47</v>
      </c>
      <c r="G7" s="53"/>
      <c r="H7" s="54">
        <f t="shared" si="0"/>
        <v>56</v>
      </c>
      <c r="I7" s="129"/>
      <c r="K7" s="32" t="s">
        <v>92</v>
      </c>
      <c r="L7" s="31">
        <v>34</v>
      </c>
    </row>
    <row r="8" spans="2:12" ht="21.75" thickBot="1" x14ac:dyDescent="0.4">
      <c r="B8" s="55" t="s">
        <v>156</v>
      </c>
      <c r="C8" s="52" t="s">
        <v>157</v>
      </c>
      <c r="D8" s="50">
        <v>56</v>
      </c>
      <c r="E8" s="53"/>
      <c r="F8" s="57">
        <v>55.47</v>
      </c>
      <c r="G8" s="53"/>
      <c r="H8" s="54">
        <f t="shared" si="0"/>
        <v>56</v>
      </c>
      <c r="I8" s="129"/>
      <c r="K8" s="32" t="s">
        <v>120</v>
      </c>
      <c r="L8" s="31">
        <v>34</v>
      </c>
    </row>
    <row r="9" spans="2:12" ht="21" x14ac:dyDescent="0.35">
      <c r="B9" s="55" t="s">
        <v>159</v>
      </c>
      <c r="C9" s="52" t="s">
        <v>158</v>
      </c>
      <c r="D9" s="50">
        <v>29</v>
      </c>
      <c r="E9" s="53"/>
      <c r="F9" s="57">
        <v>28.31</v>
      </c>
      <c r="G9" s="53"/>
      <c r="H9" s="54">
        <f t="shared" si="0"/>
        <v>29</v>
      </c>
      <c r="I9" s="129"/>
    </row>
    <row r="10" spans="2:12" ht="21.75" thickBot="1" x14ac:dyDescent="0.4">
      <c r="B10" s="55" t="s">
        <v>160</v>
      </c>
      <c r="C10" s="52" t="s">
        <v>94</v>
      </c>
      <c r="D10" s="50">
        <v>54</v>
      </c>
      <c r="E10" s="53"/>
      <c r="F10" s="57">
        <v>53.95</v>
      </c>
      <c r="G10" s="53"/>
      <c r="H10" s="54">
        <f t="shared" si="0"/>
        <v>54</v>
      </c>
      <c r="I10" s="129"/>
    </row>
    <row r="11" spans="2:12" ht="21.75" thickBot="1" x14ac:dyDescent="0.4">
      <c r="B11" s="55" t="s">
        <v>176</v>
      </c>
      <c r="C11" s="52"/>
      <c r="D11" s="50">
        <v>10</v>
      </c>
      <c r="E11" s="53"/>
      <c r="F11" s="57">
        <v>9.36</v>
      </c>
      <c r="G11" s="53"/>
      <c r="H11" s="54">
        <f t="shared" si="0"/>
        <v>10</v>
      </c>
      <c r="I11" s="129"/>
      <c r="K11" s="32" t="s">
        <v>93</v>
      </c>
      <c r="L11" s="31">
        <f>SUM(L4:L10)</f>
        <v>296</v>
      </c>
    </row>
    <row r="12" spans="2:12" ht="21" x14ac:dyDescent="0.35">
      <c r="B12" s="55" t="s">
        <v>156</v>
      </c>
      <c r="C12" s="52" t="s">
        <v>157</v>
      </c>
      <c r="D12" s="50">
        <v>56</v>
      </c>
      <c r="E12" s="56">
        <v>44001</v>
      </c>
      <c r="F12" s="57">
        <v>55.47</v>
      </c>
      <c r="G12" s="53"/>
      <c r="H12" s="54">
        <f t="shared" si="0"/>
        <v>56</v>
      </c>
      <c r="I12" s="129"/>
    </row>
    <row r="13" spans="2:12" ht="21" x14ac:dyDescent="0.35">
      <c r="B13" s="55" t="s">
        <v>201</v>
      </c>
      <c r="C13" s="71" t="s">
        <v>94</v>
      </c>
      <c r="D13" s="50">
        <v>108</v>
      </c>
      <c r="E13" s="56">
        <v>44004</v>
      </c>
      <c r="F13" s="57">
        <v>107.89</v>
      </c>
      <c r="G13" s="53"/>
      <c r="H13" s="54">
        <f t="shared" si="0"/>
        <v>108</v>
      </c>
      <c r="I13" s="129"/>
    </row>
    <row r="14" spans="2:12" ht="24" customHeight="1" x14ac:dyDescent="0.35">
      <c r="B14" s="49" t="s">
        <v>202</v>
      </c>
      <c r="C14" s="71" t="s">
        <v>203</v>
      </c>
      <c r="D14" s="50">
        <v>9</v>
      </c>
      <c r="E14" s="56">
        <v>44004</v>
      </c>
      <c r="F14" s="57">
        <v>8.36</v>
      </c>
      <c r="G14" s="53"/>
      <c r="H14" s="54">
        <f t="shared" si="0"/>
        <v>9</v>
      </c>
      <c r="I14" s="129"/>
      <c r="K14" s="10" t="s">
        <v>121</v>
      </c>
      <c r="L14" s="10">
        <f>ROUNDUP(L11/10,0)</f>
        <v>30</v>
      </c>
    </row>
    <row r="15" spans="2:12" ht="21" x14ac:dyDescent="0.35">
      <c r="B15" s="49" t="s">
        <v>204</v>
      </c>
      <c r="C15" s="52" t="s">
        <v>205</v>
      </c>
      <c r="D15" s="50">
        <v>6</v>
      </c>
      <c r="E15" s="56">
        <v>44004</v>
      </c>
      <c r="F15" s="57">
        <v>5.01</v>
      </c>
      <c r="G15" s="53"/>
      <c r="H15" s="54">
        <f t="shared" si="0"/>
        <v>6</v>
      </c>
      <c r="I15" s="129"/>
    </row>
    <row r="16" spans="2:12" ht="21" x14ac:dyDescent="0.35">
      <c r="B16" s="49" t="s">
        <v>206</v>
      </c>
      <c r="C16" s="52" t="s">
        <v>207</v>
      </c>
      <c r="D16" s="50">
        <v>15</v>
      </c>
      <c r="E16" s="56">
        <v>44004</v>
      </c>
      <c r="F16" s="57">
        <v>14.64</v>
      </c>
      <c r="G16" s="53"/>
      <c r="H16" s="54">
        <f t="shared" si="0"/>
        <v>15</v>
      </c>
      <c r="I16" s="129"/>
    </row>
    <row r="17" spans="2:9" ht="21" x14ac:dyDescent="0.35">
      <c r="B17" s="49" t="s">
        <v>208</v>
      </c>
      <c r="C17" s="52" t="s">
        <v>157</v>
      </c>
      <c r="D17" s="50">
        <v>56</v>
      </c>
      <c r="E17" s="56">
        <v>44004</v>
      </c>
      <c r="F17" s="57">
        <v>55.47</v>
      </c>
      <c r="G17" s="53"/>
      <c r="H17" s="54">
        <f t="shared" si="0"/>
        <v>56</v>
      </c>
      <c r="I17" s="129"/>
    </row>
    <row r="18" spans="2:9" s="72" customFormat="1" ht="21" x14ac:dyDescent="0.35">
      <c r="B18" s="49" t="s">
        <v>233</v>
      </c>
      <c r="C18" s="52" t="s">
        <v>234</v>
      </c>
      <c r="D18" s="50">
        <v>41</v>
      </c>
      <c r="E18" s="56">
        <v>44004</v>
      </c>
      <c r="F18" s="57">
        <v>40.99</v>
      </c>
      <c r="G18" s="53"/>
      <c r="H18" s="54">
        <f t="shared" si="0"/>
        <v>41</v>
      </c>
      <c r="I18" s="129"/>
    </row>
    <row r="19" spans="2:9" s="78" customFormat="1" ht="21" x14ac:dyDescent="0.35">
      <c r="B19" s="49" t="s">
        <v>236</v>
      </c>
      <c r="C19" s="52" t="s">
        <v>237</v>
      </c>
      <c r="D19" s="50">
        <v>139</v>
      </c>
      <c r="E19" s="56">
        <v>44005</v>
      </c>
      <c r="F19" s="57">
        <v>138.58000000000001</v>
      </c>
      <c r="G19" s="53"/>
      <c r="H19" s="54">
        <f t="shared" si="0"/>
        <v>139</v>
      </c>
      <c r="I19" s="129"/>
    </row>
    <row r="20" spans="2:9" s="78" customFormat="1" ht="21" x14ac:dyDescent="0.35">
      <c r="B20" s="49" t="s">
        <v>238</v>
      </c>
      <c r="C20" s="52" t="s">
        <v>239</v>
      </c>
      <c r="D20" s="50">
        <v>17</v>
      </c>
      <c r="E20" s="56">
        <v>44005</v>
      </c>
      <c r="F20" s="57">
        <v>16.63</v>
      </c>
      <c r="G20" s="53"/>
      <c r="H20" s="54">
        <f t="shared" si="0"/>
        <v>17</v>
      </c>
      <c r="I20" s="129"/>
    </row>
    <row r="21" spans="2:9" s="78" customFormat="1" ht="21" x14ac:dyDescent="0.35">
      <c r="B21" s="49" t="s">
        <v>241</v>
      </c>
      <c r="C21" s="71" t="s">
        <v>242</v>
      </c>
      <c r="D21" s="50">
        <v>53</v>
      </c>
      <c r="E21" s="56">
        <v>44007</v>
      </c>
      <c r="F21" s="57">
        <v>52.5</v>
      </c>
      <c r="G21" s="53"/>
      <c r="H21" s="54">
        <f t="shared" si="0"/>
        <v>53</v>
      </c>
      <c r="I21" s="129"/>
    </row>
    <row r="22" spans="2:9" s="78" customFormat="1" ht="21" x14ac:dyDescent="0.35">
      <c r="B22" s="49" t="s">
        <v>243</v>
      </c>
      <c r="C22" s="52" t="s">
        <v>244</v>
      </c>
      <c r="D22" s="50">
        <v>15</v>
      </c>
      <c r="E22" s="56">
        <v>44007</v>
      </c>
      <c r="F22" s="57">
        <v>14.19</v>
      </c>
      <c r="G22" s="53"/>
      <c r="H22" s="54">
        <f t="shared" si="0"/>
        <v>15</v>
      </c>
      <c r="I22" s="129"/>
    </row>
    <row r="23" spans="2:9" s="78" customFormat="1" ht="21" x14ac:dyDescent="0.35">
      <c r="B23" s="49" t="s">
        <v>201</v>
      </c>
      <c r="C23" s="52" t="s">
        <v>94</v>
      </c>
      <c r="D23" s="50">
        <v>108</v>
      </c>
      <c r="E23" s="56">
        <v>44007</v>
      </c>
      <c r="F23" s="57">
        <v>107.89</v>
      </c>
      <c r="G23" s="53"/>
      <c r="H23" s="54">
        <f t="shared" si="0"/>
        <v>108</v>
      </c>
      <c r="I23" s="129"/>
    </row>
    <row r="24" spans="2:9" s="78" customFormat="1" ht="21" x14ac:dyDescent="0.35">
      <c r="B24" s="49" t="s">
        <v>245</v>
      </c>
      <c r="C24" s="52" t="s">
        <v>246</v>
      </c>
      <c r="D24" s="50">
        <v>33</v>
      </c>
      <c r="E24" s="56">
        <v>44007</v>
      </c>
      <c r="F24" s="57">
        <v>32.79</v>
      </c>
      <c r="G24" s="53"/>
      <c r="H24" s="54">
        <f t="shared" si="0"/>
        <v>33</v>
      </c>
      <c r="I24" s="129"/>
    </row>
    <row r="25" spans="2:9" s="79" customFormat="1" ht="21" x14ac:dyDescent="0.35">
      <c r="B25" s="55" t="s">
        <v>156</v>
      </c>
      <c r="C25" s="52" t="s">
        <v>272</v>
      </c>
      <c r="D25" s="50">
        <v>56</v>
      </c>
      <c r="E25" s="56">
        <v>44008</v>
      </c>
      <c r="F25" s="113">
        <v>55.468800000000002</v>
      </c>
      <c r="G25" s="53"/>
      <c r="H25" s="54">
        <f t="shared" si="0"/>
        <v>56</v>
      </c>
      <c r="I25" s="129"/>
    </row>
    <row r="26" spans="2:9" s="79" customFormat="1" ht="21" x14ac:dyDescent="0.35">
      <c r="B26" s="49" t="s">
        <v>273</v>
      </c>
      <c r="C26" s="52" t="s">
        <v>274</v>
      </c>
      <c r="D26" s="50">
        <v>33</v>
      </c>
      <c r="E26" s="56">
        <v>44008</v>
      </c>
      <c r="F26" s="113">
        <v>32.346000000000004</v>
      </c>
      <c r="G26" s="53"/>
      <c r="H26" s="54">
        <f t="shared" si="0"/>
        <v>33</v>
      </c>
      <c r="I26" s="129"/>
    </row>
    <row r="27" spans="2:9" s="79" customFormat="1" ht="21" x14ac:dyDescent="0.35">
      <c r="B27" s="49" t="s">
        <v>275</v>
      </c>
      <c r="C27" s="52" t="s">
        <v>276</v>
      </c>
      <c r="D27" s="50">
        <v>5</v>
      </c>
      <c r="E27" s="56">
        <v>44008</v>
      </c>
      <c r="F27" s="113">
        <v>4.9572000000000003</v>
      </c>
      <c r="G27" s="53"/>
      <c r="H27" s="54">
        <f t="shared" si="0"/>
        <v>5</v>
      </c>
      <c r="I27" s="129"/>
    </row>
    <row r="28" spans="2:9" s="79" customFormat="1" ht="21" x14ac:dyDescent="0.35">
      <c r="B28" s="49" t="s">
        <v>277</v>
      </c>
      <c r="C28" s="52" t="s">
        <v>133</v>
      </c>
      <c r="D28" s="50">
        <v>8</v>
      </c>
      <c r="E28" s="56">
        <v>44008</v>
      </c>
      <c r="F28" s="113">
        <v>7.3224000000000009</v>
      </c>
      <c r="G28" s="53"/>
      <c r="H28" s="54">
        <f t="shared" si="0"/>
        <v>8</v>
      </c>
      <c r="I28" s="129"/>
    </row>
    <row r="29" spans="2:9" s="79" customFormat="1" ht="21" x14ac:dyDescent="0.35">
      <c r="B29" s="49" t="s">
        <v>278</v>
      </c>
      <c r="C29" s="52" t="s">
        <v>246</v>
      </c>
      <c r="D29" s="50">
        <v>82</v>
      </c>
      <c r="E29" s="56">
        <v>44008</v>
      </c>
      <c r="F29" s="113">
        <v>81.972000000000008</v>
      </c>
      <c r="G29" s="53"/>
      <c r="H29" s="54">
        <f t="shared" si="0"/>
        <v>82</v>
      </c>
      <c r="I29" s="129"/>
    </row>
    <row r="30" spans="2:9" s="93" customFormat="1" ht="21" x14ac:dyDescent="0.35">
      <c r="B30" s="49" t="s">
        <v>312</v>
      </c>
      <c r="C30" s="52" t="s">
        <v>313</v>
      </c>
      <c r="D30" s="50">
        <v>8</v>
      </c>
      <c r="E30" s="56">
        <v>44016</v>
      </c>
      <c r="F30" s="113">
        <v>7.32</v>
      </c>
      <c r="G30" s="53"/>
      <c r="H30" s="54">
        <f t="shared" si="0"/>
        <v>8</v>
      </c>
      <c r="I30" s="129"/>
    </row>
    <row r="31" spans="2:9" s="110" customFormat="1" ht="21" x14ac:dyDescent="0.35">
      <c r="B31" s="49" t="s">
        <v>374</v>
      </c>
      <c r="C31" s="52" t="s">
        <v>375</v>
      </c>
      <c r="D31" s="50">
        <v>20</v>
      </c>
      <c r="E31" s="56">
        <v>44051</v>
      </c>
      <c r="F31" s="113">
        <v>19.399999999999999</v>
      </c>
      <c r="G31" s="53"/>
      <c r="H31" s="54">
        <f t="shared" si="0"/>
        <v>20</v>
      </c>
      <c r="I31" s="129"/>
    </row>
    <row r="32" spans="2:9" s="110" customFormat="1" ht="21" x14ac:dyDescent="0.35">
      <c r="B32" s="49" t="s">
        <v>376</v>
      </c>
      <c r="C32" s="52" t="s">
        <v>377</v>
      </c>
      <c r="D32" s="50">
        <v>38</v>
      </c>
      <c r="E32" s="56">
        <v>44051</v>
      </c>
      <c r="F32" s="113">
        <v>37.78</v>
      </c>
      <c r="G32" s="53"/>
      <c r="H32" s="54">
        <f t="shared" si="0"/>
        <v>38</v>
      </c>
      <c r="I32" s="129"/>
    </row>
    <row r="33" spans="2:9" s="110" customFormat="1" ht="21" x14ac:dyDescent="0.35">
      <c r="B33" s="49" t="s">
        <v>378</v>
      </c>
      <c r="C33" s="52" t="s">
        <v>246</v>
      </c>
      <c r="D33" s="50">
        <v>50</v>
      </c>
      <c r="E33" s="56">
        <v>44051</v>
      </c>
      <c r="F33" s="113">
        <v>49.18</v>
      </c>
      <c r="G33" s="53"/>
      <c r="H33" s="54">
        <f t="shared" si="0"/>
        <v>50</v>
      </c>
      <c r="I33" s="129"/>
    </row>
    <row r="34" spans="2:9" s="112" customFormat="1" ht="21" x14ac:dyDescent="0.35">
      <c r="B34" s="49" t="s">
        <v>208</v>
      </c>
      <c r="C34" s="52" t="s">
        <v>157</v>
      </c>
      <c r="D34" s="50">
        <v>56</v>
      </c>
      <c r="E34" s="56">
        <v>44004</v>
      </c>
      <c r="F34" s="57">
        <v>55.47</v>
      </c>
      <c r="G34" s="53"/>
      <c r="H34" s="54">
        <f t="shared" si="0"/>
        <v>56</v>
      </c>
      <c r="I34" s="129"/>
    </row>
    <row r="35" spans="2:9" s="114" customFormat="1" ht="21" x14ac:dyDescent="0.35">
      <c r="B35" s="49" t="s">
        <v>387</v>
      </c>
      <c r="C35" s="52" t="s">
        <v>388</v>
      </c>
      <c r="D35" s="50">
        <v>7</v>
      </c>
      <c r="E35" s="56">
        <v>44058</v>
      </c>
      <c r="F35" s="57">
        <v>6.8</v>
      </c>
      <c r="G35" s="53"/>
      <c r="H35" s="54">
        <f t="shared" si="0"/>
        <v>7</v>
      </c>
      <c r="I35" s="129"/>
    </row>
    <row r="36" spans="2:9" s="114" customFormat="1" ht="21" x14ac:dyDescent="0.35">
      <c r="B36" s="49" t="s">
        <v>389</v>
      </c>
      <c r="C36" s="52" t="s">
        <v>390</v>
      </c>
      <c r="D36" s="50">
        <v>5</v>
      </c>
      <c r="E36" s="56">
        <v>44058</v>
      </c>
      <c r="F36" s="57">
        <v>4.3</v>
      </c>
      <c r="G36" s="53"/>
      <c r="H36" s="54">
        <f t="shared" si="0"/>
        <v>5</v>
      </c>
      <c r="I36" s="129"/>
    </row>
    <row r="37" spans="2:9" s="114" customFormat="1" ht="21" x14ac:dyDescent="0.35">
      <c r="B37" s="49" t="s">
        <v>391</v>
      </c>
      <c r="C37" s="52" t="s">
        <v>392</v>
      </c>
      <c r="D37" s="50">
        <v>5</v>
      </c>
      <c r="E37" s="56">
        <v>44058</v>
      </c>
      <c r="F37" s="57">
        <v>4.3</v>
      </c>
      <c r="G37" s="53"/>
      <c r="H37" s="54">
        <f t="shared" si="0"/>
        <v>5</v>
      </c>
      <c r="I37" s="129"/>
    </row>
    <row r="38" spans="2:9" s="114" customFormat="1" ht="21" x14ac:dyDescent="0.35">
      <c r="B38" s="49" t="s">
        <v>387</v>
      </c>
      <c r="C38" s="52" t="s">
        <v>390</v>
      </c>
      <c r="D38" s="50">
        <v>5</v>
      </c>
      <c r="E38" s="56">
        <v>44065</v>
      </c>
      <c r="F38" s="57">
        <v>4.3</v>
      </c>
      <c r="G38" s="53"/>
      <c r="H38" s="54">
        <f t="shared" si="0"/>
        <v>5</v>
      </c>
      <c r="I38" s="129"/>
    </row>
    <row r="39" spans="2:9" s="114" customFormat="1" ht="21" x14ac:dyDescent="0.35">
      <c r="B39" s="49" t="s">
        <v>395</v>
      </c>
      <c r="C39" s="52" t="s">
        <v>394</v>
      </c>
      <c r="D39" s="50">
        <v>3</v>
      </c>
      <c r="E39" s="56">
        <v>44065</v>
      </c>
      <c r="F39" s="57">
        <v>2.81</v>
      </c>
      <c r="G39" s="53"/>
      <c r="H39" s="54">
        <f t="shared" si="0"/>
        <v>3</v>
      </c>
      <c r="I39" s="129"/>
    </row>
    <row r="40" spans="2:9" ht="15.75" thickBot="1" x14ac:dyDescent="0.3">
      <c r="D40" s="14"/>
    </row>
    <row r="41" spans="2:9" ht="27" thickBot="1" x14ac:dyDescent="0.45">
      <c r="D41" s="25">
        <f>SUM(D6:D39)</f>
        <v>1252</v>
      </c>
      <c r="F41" s="28" t="s">
        <v>0</v>
      </c>
      <c r="G41" s="15"/>
      <c r="H41" s="24">
        <f>SUM(H6:H40)</f>
        <v>1252</v>
      </c>
    </row>
    <row r="42" spans="2:9" x14ac:dyDescent="0.25">
      <c r="F42" s="14"/>
      <c r="G42" s="14"/>
    </row>
  </sheetData>
  <hyperlinks>
    <hyperlink ref="C10" r:id="rId1"/>
    <hyperlink ref="C13" r:id="rId2"/>
    <hyperlink ref="C14" r:id="rId3"/>
    <hyperlink ref="C15" r:id="rId4"/>
    <hyperlink ref="C16" r:id="rId5"/>
    <hyperlink ref="C18" r:id="rId6" display="https://www.homedepot.com/p/Advanced-Drainage-Systems-3-in-x-10-ft-Corrugated-Pipes-Drain-Pipe-Solid-03540010/202522641?keyword=096942631877&amp;semanticToken=300300r001221000_1bc6c7683957fd31643c49a77cb5b8e9_1593357360283+300300r001221000+%3E++cnn%3A%7B14%3A0%7D+cnr%3A%7B7%3A0%7D+cnp%3A%7B10%3A0%7D+cnd%3A%7B4%3A0%7D+cne%3A%7B8%3A0%7D+cnb%3A%7B0%3A0%7D+cns%3A%7B5%3A0%7D+cnx%3A%7B3%3A0%7D+cnq%3A%7B0%3A0%7D+cnw%3A%7B0%3A0%7D+cnv%3A%7B0%3A0%7D+st%3A%7B096942631877%7D%3Ast+oos%3A%7B0%3A1%7D+tgr%3A%7BNo+stage+info%7D+smf%3A%7Bca%2Cbr%7D%3Asmf+nf%3A%7B1%7D%3Anf+qu%3A%7B096942631877%7D%3Aqu"/>
    <hyperlink ref="C19" r:id="rId7"/>
    <hyperlink ref="C20" r:id="rId8"/>
    <hyperlink ref="C21" r:id="rId9" display="https://www.amazon.com/gp/product/B000BOB7O8"/>
    <hyperlink ref="C22" r:id="rId10"/>
    <hyperlink ref="C23" r:id="rId11"/>
    <hyperlink ref="C24" r:id="rId12"/>
    <hyperlink ref="C25" r:id="rId13"/>
    <hyperlink ref="C26" r:id="rId14"/>
    <hyperlink ref="C27" r:id="rId15"/>
    <hyperlink ref="C28" r:id="rId16"/>
    <hyperlink ref="C29" r:id="rId17"/>
    <hyperlink ref="C30" r:id="rId18"/>
    <hyperlink ref="C31" r:id="rId19"/>
    <hyperlink ref="C32" r:id="rId20"/>
    <hyperlink ref="C33" r:id="rId21"/>
    <hyperlink ref="C35" r:id="rId22"/>
    <hyperlink ref="C36" r:id="rId23"/>
    <hyperlink ref="C37" r:id="rId24"/>
    <hyperlink ref="C38" r:id="rId25"/>
    <hyperlink ref="C39" r:id="rId26"/>
  </hyperlinks>
  <pageMargins left="0.7" right="0.7" top="0.75" bottom="0.75" header="0.3" footer="0.3"/>
  <pageSetup scale="64" orientation="landscape" horizontalDpi="4294967293" verticalDpi="4294967293" r:id="rId2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8"/>
  <sheetViews>
    <sheetView topLeftCell="A10" workbookViewId="0">
      <selection activeCell="E32" sqref="E32"/>
    </sheetView>
  </sheetViews>
  <sheetFormatPr defaultRowHeight="15" x14ac:dyDescent="0.25"/>
  <cols>
    <col min="1" max="1" width="9.140625" style="10"/>
    <col min="2" max="2" width="51.5703125" style="10" bestFit="1" customWidth="1"/>
    <col min="3" max="3" width="12.42578125" style="10" customWidth="1"/>
    <col min="4" max="4" width="20.140625" style="10" bestFit="1" customWidth="1"/>
    <col min="5" max="5" width="15.140625" style="10" bestFit="1" customWidth="1"/>
    <col min="6" max="6" width="14.5703125" style="10" bestFit="1" customWidth="1"/>
    <col min="7" max="7" width="1.42578125" style="10" customWidth="1"/>
    <col min="8" max="8" width="28" style="10" bestFit="1" customWidth="1"/>
    <col min="9" max="10" width="9.140625" style="10"/>
    <col min="11" max="11" width="12.140625" style="10" bestFit="1" customWidth="1"/>
    <col min="12" max="12" width="9.28515625" style="10" bestFit="1" customWidth="1"/>
    <col min="13" max="16384" width="9.140625" style="10"/>
  </cols>
  <sheetData>
    <row r="1" spans="2:9" ht="15.75" thickBot="1" x14ac:dyDescent="0.3"/>
    <row r="2" spans="2:9" ht="32.25" thickBot="1" x14ac:dyDescent="0.55000000000000004">
      <c r="B2" s="9" t="s">
        <v>95</v>
      </c>
    </row>
    <row r="5" spans="2:9" ht="21.75" thickBot="1" x14ac:dyDescent="0.4">
      <c r="B5" s="11" t="s">
        <v>27</v>
      </c>
      <c r="C5" s="11" t="s">
        <v>64</v>
      </c>
      <c r="D5" s="11" t="s">
        <v>32</v>
      </c>
      <c r="E5" s="12" t="s">
        <v>28</v>
      </c>
      <c r="F5" s="12" t="s">
        <v>29</v>
      </c>
      <c r="G5" s="12"/>
      <c r="H5" s="16" t="s">
        <v>30</v>
      </c>
    </row>
    <row r="6" spans="2:9" ht="21" x14ac:dyDescent="0.35">
      <c r="B6" s="49" t="s">
        <v>96</v>
      </c>
      <c r="C6" s="52"/>
      <c r="D6" s="50">
        <v>33</v>
      </c>
      <c r="E6" s="56">
        <v>43971</v>
      </c>
      <c r="F6" s="57">
        <v>32.380000000000003</v>
      </c>
      <c r="G6" s="53"/>
      <c r="H6" s="54">
        <f>ROUNDUP(F6,0)</f>
        <v>33</v>
      </c>
      <c r="I6" s="129"/>
    </row>
    <row r="7" spans="2:9" ht="21" x14ac:dyDescent="0.35">
      <c r="B7" s="55" t="s">
        <v>98</v>
      </c>
      <c r="C7" s="55"/>
      <c r="D7" s="50">
        <v>63</v>
      </c>
      <c r="E7" s="56">
        <v>43972</v>
      </c>
      <c r="F7" s="57">
        <v>62.6</v>
      </c>
      <c r="G7" s="53"/>
      <c r="H7" s="54">
        <f t="shared" ref="H7:H35" si="0">ROUNDUP(F7,0)</f>
        <v>63</v>
      </c>
      <c r="I7" s="129"/>
    </row>
    <row r="8" spans="2:9" ht="21" x14ac:dyDescent="0.35">
      <c r="B8" s="55" t="s">
        <v>99</v>
      </c>
      <c r="C8" s="58" t="s">
        <v>100</v>
      </c>
      <c r="D8" s="50">
        <v>142</v>
      </c>
      <c r="E8" s="56">
        <v>43972</v>
      </c>
      <c r="F8" s="57">
        <v>141.22</v>
      </c>
      <c r="G8" s="53"/>
      <c r="H8" s="54">
        <f t="shared" si="0"/>
        <v>142</v>
      </c>
      <c r="I8" s="129"/>
    </row>
    <row r="9" spans="2:9" ht="21" x14ac:dyDescent="0.35">
      <c r="B9" s="55" t="s">
        <v>113</v>
      </c>
      <c r="C9" s="58"/>
      <c r="D9" s="50">
        <v>3</v>
      </c>
      <c r="E9" s="56">
        <v>43974</v>
      </c>
      <c r="F9" s="57">
        <v>2.16</v>
      </c>
      <c r="G9" s="53"/>
      <c r="H9" s="54">
        <f t="shared" si="0"/>
        <v>3</v>
      </c>
      <c r="I9" s="129"/>
    </row>
    <row r="10" spans="2:9" ht="21" x14ac:dyDescent="0.35">
      <c r="B10" s="55" t="s">
        <v>114</v>
      </c>
      <c r="C10" s="58"/>
      <c r="D10" s="50">
        <v>55</v>
      </c>
      <c r="E10" s="56">
        <v>11101</v>
      </c>
      <c r="F10" s="57">
        <v>55</v>
      </c>
      <c r="G10" s="53"/>
      <c r="H10" s="54">
        <f t="shared" si="0"/>
        <v>55</v>
      </c>
      <c r="I10" s="129"/>
    </row>
    <row r="11" spans="2:9" ht="21" x14ac:dyDescent="0.35">
      <c r="B11" s="55" t="s">
        <v>105</v>
      </c>
      <c r="C11" s="52" t="s">
        <v>112</v>
      </c>
      <c r="D11" s="50">
        <v>135</v>
      </c>
      <c r="E11" s="56">
        <v>43974</v>
      </c>
      <c r="F11" s="57">
        <v>135</v>
      </c>
      <c r="G11" s="53"/>
      <c r="H11" s="54">
        <f t="shared" si="0"/>
        <v>135</v>
      </c>
      <c r="I11" s="129"/>
    </row>
    <row r="12" spans="2:9" ht="21" x14ac:dyDescent="0.35">
      <c r="B12" s="55" t="s">
        <v>97</v>
      </c>
      <c r="C12" s="55"/>
      <c r="D12" s="50">
        <v>51</v>
      </c>
      <c r="E12" s="56">
        <v>43981</v>
      </c>
      <c r="F12" s="57">
        <v>50.12</v>
      </c>
      <c r="G12" s="53"/>
      <c r="H12" s="54">
        <f t="shared" ref="H12:H27" si="1">ROUNDUP(F12,0)</f>
        <v>51</v>
      </c>
      <c r="I12" s="129"/>
    </row>
    <row r="13" spans="2:9" ht="21" x14ac:dyDescent="0.35">
      <c r="B13" s="55" t="s">
        <v>129</v>
      </c>
      <c r="C13" s="55"/>
      <c r="D13" s="50">
        <v>23</v>
      </c>
      <c r="E13" s="56">
        <v>43982</v>
      </c>
      <c r="F13" s="57">
        <v>23</v>
      </c>
      <c r="G13" s="53"/>
      <c r="H13" s="54">
        <f t="shared" si="1"/>
        <v>23</v>
      </c>
      <c r="I13" s="129"/>
    </row>
    <row r="14" spans="2:9" ht="21" x14ac:dyDescent="0.35">
      <c r="B14" s="55" t="s">
        <v>130</v>
      </c>
      <c r="C14" s="55"/>
      <c r="D14" s="50">
        <v>18</v>
      </c>
      <c r="E14" s="56">
        <v>43982</v>
      </c>
      <c r="F14" s="57">
        <v>18</v>
      </c>
      <c r="G14" s="53"/>
      <c r="H14" s="54">
        <f t="shared" si="1"/>
        <v>18</v>
      </c>
      <c r="I14" s="129"/>
    </row>
    <row r="15" spans="2:9" ht="21" x14ac:dyDescent="0.35">
      <c r="B15" s="55" t="s">
        <v>132</v>
      </c>
      <c r="C15" s="55"/>
      <c r="D15" s="50">
        <v>54</v>
      </c>
      <c r="E15" s="56">
        <v>43983</v>
      </c>
      <c r="F15" s="57">
        <f>1.08*(19.98+29.98)</f>
        <v>53.956800000000001</v>
      </c>
      <c r="G15" s="53"/>
      <c r="H15" s="54">
        <f t="shared" si="1"/>
        <v>54</v>
      </c>
      <c r="I15" s="129"/>
    </row>
    <row r="16" spans="2:9" ht="21" x14ac:dyDescent="0.35">
      <c r="B16" s="55" t="s">
        <v>154</v>
      </c>
      <c r="C16" s="52" t="s">
        <v>155</v>
      </c>
      <c r="D16" s="50">
        <v>14</v>
      </c>
      <c r="E16" s="56">
        <v>43987</v>
      </c>
      <c r="F16" s="57">
        <v>13.46</v>
      </c>
      <c r="G16" s="53"/>
      <c r="H16" s="54">
        <f t="shared" si="1"/>
        <v>14</v>
      </c>
      <c r="I16" s="129"/>
    </row>
    <row r="17" spans="2:9" ht="21" x14ac:dyDescent="0.35">
      <c r="B17" s="55" t="s">
        <v>102</v>
      </c>
      <c r="C17" s="52" t="s">
        <v>103</v>
      </c>
      <c r="D17" s="50">
        <v>323</v>
      </c>
      <c r="E17" s="56">
        <v>43994</v>
      </c>
      <c r="F17" s="57">
        <v>322.92</v>
      </c>
      <c r="G17" s="53"/>
      <c r="H17" s="54">
        <f t="shared" si="1"/>
        <v>323</v>
      </c>
      <c r="I17" s="129"/>
    </row>
    <row r="18" spans="2:9" ht="21" x14ac:dyDescent="0.35">
      <c r="B18" s="55" t="s">
        <v>168</v>
      </c>
      <c r="C18" s="52" t="s">
        <v>169</v>
      </c>
      <c r="D18" s="50">
        <v>27</v>
      </c>
      <c r="E18" s="56">
        <v>43995</v>
      </c>
      <c r="F18" s="57">
        <v>26.98</v>
      </c>
      <c r="G18" s="53"/>
      <c r="H18" s="54">
        <f t="shared" si="1"/>
        <v>27</v>
      </c>
      <c r="I18" s="129"/>
    </row>
    <row r="19" spans="2:9" ht="21" x14ac:dyDescent="0.35">
      <c r="B19" s="55" t="s">
        <v>174</v>
      </c>
      <c r="C19" s="52" t="s">
        <v>175</v>
      </c>
      <c r="D19" s="50">
        <v>27</v>
      </c>
      <c r="E19" s="56">
        <v>43996</v>
      </c>
      <c r="F19" s="57">
        <v>26.97</v>
      </c>
      <c r="G19" s="53"/>
      <c r="H19" s="54">
        <f t="shared" si="1"/>
        <v>27</v>
      </c>
      <c r="I19" s="129"/>
    </row>
    <row r="20" spans="2:9" ht="21" x14ac:dyDescent="0.35">
      <c r="B20" s="55" t="s">
        <v>186</v>
      </c>
      <c r="C20" s="58" t="s">
        <v>193</v>
      </c>
      <c r="D20" s="50">
        <v>60</v>
      </c>
      <c r="E20" s="56">
        <v>44001</v>
      </c>
      <c r="F20" s="57">
        <v>59.49</v>
      </c>
      <c r="G20" s="53"/>
      <c r="H20" s="54">
        <f t="shared" si="1"/>
        <v>60</v>
      </c>
      <c r="I20" s="129"/>
    </row>
    <row r="21" spans="2:9" s="94" customFormat="1" ht="21" x14ac:dyDescent="0.35">
      <c r="B21" s="49" t="s">
        <v>314</v>
      </c>
      <c r="C21" s="52" t="s">
        <v>315</v>
      </c>
      <c r="D21" s="50">
        <v>92</v>
      </c>
      <c r="E21" s="56">
        <v>44016</v>
      </c>
      <c r="F21" s="57">
        <v>91.77</v>
      </c>
      <c r="G21" s="53"/>
      <c r="H21" s="54">
        <f t="shared" si="1"/>
        <v>92</v>
      </c>
      <c r="I21" s="129"/>
    </row>
    <row r="22" spans="2:9" s="95" customFormat="1" ht="21" x14ac:dyDescent="0.35">
      <c r="B22" s="89" t="s">
        <v>320</v>
      </c>
      <c r="C22" s="52"/>
      <c r="D22" s="50">
        <v>68</v>
      </c>
      <c r="E22" s="56">
        <v>44018</v>
      </c>
      <c r="F22" s="57">
        <v>67.849999999999994</v>
      </c>
      <c r="G22" s="53"/>
      <c r="H22" s="54">
        <f t="shared" si="1"/>
        <v>68</v>
      </c>
      <c r="I22" s="129"/>
    </row>
    <row r="23" spans="2:9" s="111" customFormat="1" ht="21" x14ac:dyDescent="0.35">
      <c r="B23" s="49" t="s">
        <v>379</v>
      </c>
      <c r="C23" s="52" t="s">
        <v>380</v>
      </c>
      <c r="D23" s="50">
        <v>38</v>
      </c>
      <c r="E23" s="56">
        <v>44051</v>
      </c>
      <c r="F23" s="57">
        <v>37.770000000000003</v>
      </c>
      <c r="G23" s="53"/>
      <c r="H23" s="54">
        <f t="shared" si="1"/>
        <v>38</v>
      </c>
      <c r="I23" s="129"/>
    </row>
    <row r="24" spans="2:9" s="114" customFormat="1" ht="21" x14ac:dyDescent="0.35">
      <c r="B24" s="49" t="s">
        <v>398</v>
      </c>
      <c r="C24" s="52" t="s">
        <v>397</v>
      </c>
      <c r="D24" s="50">
        <v>53</v>
      </c>
      <c r="E24" s="56">
        <v>44073</v>
      </c>
      <c r="F24" s="57">
        <f>48.98*1.08</f>
        <v>52.898400000000002</v>
      </c>
      <c r="G24" s="53"/>
      <c r="H24" s="54">
        <f t="shared" si="1"/>
        <v>53</v>
      </c>
      <c r="I24" s="129"/>
    </row>
    <row r="25" spans="2:9" s="114" customFormat="1" ht="21" x14ac:dyDescent="0.35">
      <c r="B25" s="49" t="s">
        <v>400</v>
      </c>
      <c r="C25" s="52" t="s">
        <v>399</v>
      </c>
      <c r="D25" s="50">
        <v>18</v>
      </c>
      <c r="E25" s="56">
        <v>44073</v>
      </c>
      <c r="F25" s="57">
        <f>15.98*1.08</f>
        <v>17.258400000000002</v>
      </c>
      <c r="G25" s="53"/>
      <c r="H25" s="54">
        <f t="shared" si="1"/>
        <v>18</v>
      </c>
      <c r="I25" s="129"/>
    </row>
    <row r="26" spans="2:9" s="114" customFormat="1" ht="21" x14ac:dyDescent="0.35">
      <c r="B26" s="49" t="s">
        <v>402</v>
      </c>
      <c r="C26" s="52"/>
      <c r="D26" s="50">
        <v>33</v>
      </c>
      <c r="E26" s="56">
        <v>44079</v>
      </c>
      <c r="F26" s="57">
        <v>32.340000000000003</v>
      </c>
      <c r="G26" s="53"/>
      <c r="H26" s="54">
        <f t="shared" si="1"/>
        <v>33</v>
      </c>
      <c r="I26" s="129"/>
    </row>
    <row r="27" spans="2:9" ht="21" x14ac:dyDescent="0.35">
      <c r="B27" s="55" t="s">
        <v>405</v>
      </c>
      <c r="C27" s="67">
        <v>45242532698</v>
      </c>
      <c r="D27" s="50">
        <v>27</v>
      </c>
      <c r="E27" s="56">
        <v>44084</v>
      </c>
      <c r="F27" s="57">
        <v>27</v>
      </c>
      <c r="G27" s="53"/>
      <c r="H27" s="54">
        <f t="shared" si="1"/>
        <v>27</v>
      </c>
      <c r="I27" s="129"/>
    </row>
    <row r="28" spans="2:9" ht="21" x14ac:dyDescent="0.35">
      <c r="B28" s="55" t="s">
        <v>104</v>
      </c>
      <c r="C28" s="71" t="s">
        <v>425</v>
      </c>
      <c r="D28" s="50">
        <v>1283</v>
      </c>
      <c r="E28" s="56">
        <v>44110</v>
      </c>
      <c r="F28" s="57">
        <v>1282.93</v>
      </c>
      <c r="G28" s="53"/>
      <c r="H28" s="54">
        <f t="shared" si="0"/>
        <v>1283</v>
      </c>
    </row>
    <row r="29" spans="2:9" ht="21" x14ac:dyDescent="0.35">
      <c r="B29" s="55" t="s">
        <v>423</v>
      </c>
      <c r="C29" s="58" t="s">
        <v>424</v>
      </c>
      <c r="D29" s="50">
        <v>88</v>
      </c>
      <c r="E29" s="56">
        <v>44109</v>
      </c>
      <c r="F29" s="53">
        <v>87.64</v>
      </c>
      <c r="G29" s="53"/>
      <c r="H29" s="54">
        <f t="shared" si="0"/>
        <v>88</v>
      </c>
    </row>
    <row r="30" spans="2:9" s="135" customFormat="1" ht="21" x14ac:dyDescent="0.35">
      <c r="B30" s="141" t="s">
        <v>500</v>
      </c>
      <c r="C30" s="143" t="s">
        <v>501</v>
      </c>
      <c r="D30" s="142">
        <v>26</v>
      </c>
      <c r="E30" s="51">
        <v>44118</v>
      </c>
      <c r="F30" s="53">
        <v>26</v>
      </c>
      <c r="G30" s="53"/>
      <c r="H30" s="54">
        <f t="shared" si="0"/>
        <v>26</v>
      </c>
    </row>
    <row r="31" spans="2:9" s="140" customFormat="1" ht="21" x14ac:dyDescent="0.35">
      <c r="B31" s="141" t="s">
        <v>507</v>
      </c>
      <c r="C31" s="143" t="s">
        <v>506</v>
      </c>
      <c r="D31" s="142">
        <v>23</v>
      </c>
      <c r="E31" s="51"/>
      <c r="F31" s="53">
        <v>23</v>
      </c>
      <c r="G31" s="53"/>
      <c r="H31" s="54">
        <f t="shared" si="0"/>
        <v>23</v>
      </c>
    </row>
    <row r="32" spans="2:9" s="140" customFormat="1" ht="21" x14ac:dyDescent="0.35">
      <c r="B32" s="141" t="s">
        <v>114</v>
      </c>
      <c r="C32" s="143"/>
      <c r="D32" s="142"/>
      <c r="E32" s="56">
        <v>44125</v>
      </c>
      <c r="F32" s="53">
        <v>21.58</v>
      </c>
      <c r="G32" s="53"/>
      <c r="H32" s="54">
        <f t="shared" si="0"/>
        <v>22</v>
      </c>
    </row>
    <row r="33" spans="2:8" ht="21" x14ac:dyDescent="0.35">
      <c r="B33" s="32" t="s">
        <v>101</v>
      </c>
      <c r="C33" s="35"/>
      <c r="D33" s="14">
        <v>200</v>
      </c>
      <c r="E33" s="40"/>
      <c r="F33" s="48"/>
      <c r="G33" s="40"/>
      <c r="H33" s="41">
        <f>ROUNDUP(F33,0)</f>
        <v>0</v>
      </c>
    </row>
    <row r="34" spans="2:8" ht="21" x14ac:dyDescent="0.35">
      <c r="B34" s="32"/>
      <c r="C34" s="32"/>
      <c r="D34" s="14"/>
      <c r="E34" s="40"/>
      <c r="F34" s="40"/>
      <c r="G34" s="40"/>
      <c r="H34" s="41">
        <f t="shared" si="0"/>
        <v>0</v>
      </c>
    </row>
    <row r="35" spans="2:8" ht="21" x14ac:dyDescent="0.35">
      <c r="B35" s="32"/>
      <c r="C35" s="32"/>
      <c r="D35" s="14"/>
      <c r="E35" s="40"/>
      <c r="F35" s="40"/>
      <c r="G35" s="40"/>
      <c r="H35" s="41">
        <f t="shared" si="0"/>
        <v>0</v>
      </c>
    </row>
    <row r="36" spans="2:8" ht="15.75" thickBot="1" x14ac:dyDescent="0.3">
      <c r="D36" s="14"/>
    </row>
    <row r="37" spans="2:8" ht="27" thickBot="1" x14ac:dyDescent="0.45">
      <c r="D37" s="25">
        <f>SUM(D6:D36)</f>
        <v>2977</v>
      </c>
      <c r="F37" s="28" t="s">
        <v>0</v>
      </c>
      <c r="G37" s="15"/>
      <c r="H37" s="24">
        <f>SUM(H6:H36)</f>
        <v>2799</v>
      </c>
    </row>
    <row r="38" spans="2:8" x14ac:dyDescent="0.25">
      <c r="F38" s="14"/>
      <c r="G38" s="14"/>
    </row>
  </sheetData>
  <hyperlinks>
    <hyperlink ref="C8" r:id="rId1"/>
    <hyperlink ref="C17" r:id="rId2"/>
    <hyperlink ref="C28" r:id="rId3" display="https://www.amazon.com/DEWALT-Stand-Capacity-10-Inch-D36000S/dp/B08526D2PK/ref=sr_1_1?crid=14XJH4XCF1ASW&amp;dchild=1&amp;keywords=dewalt+36000s+tile+saw&amp;qid=1600779878&amp;sprefix=dewalt+36000%2Caps%2C189&amp;sr=8-1"/>
    <hyperlink ref="C11" r:id="rId4"/>
    <hyperlink ref="C16" r:id="rId5"/>
    <hyperlink ref="C18" r:id="rId6"/>
    <hyperlink ref="C19" r:id="rId7"/>
    <hyperlink ref="C20" r:id="rId8"/>
    <hyperlink ref="C21" r:id="rId9"/>
    <hyperlink ref="C23" r:id="rId10"/>
    <hyperlink ref="C24" r:id="rId11"/>
    <hyperlink ref="C25" r:id="rId12"/>
    <hyperlink ref="C29" r:id="rId13"/>
    <hyperlink ref="C30" r:id="rId14"/>
    <hyperlink ref="C31" r:id="rId15"/>
  </hyperlinks>
  <pageMargins left="0.7" right="0.7" top="0.75" bottom="0.75" header="0.3" footer="0.3"/>
  <pageSetup scale="85" orientation="landscape" horizontalDpi="4294967293" verticalDpi="4294967293" r:id="rId1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46"/>
  <sheetViews>
    <sheetView topLeftCell="A28" workbookViewId="0">
      <selection activeCell="I4" sqref="I1:L1048576"/>
    </sheetView>
  </sheetViews>
  <sheetFormatPr defaultRowHeight="15" x14ac:dyDescent="0.25"/>
  <cols>
    <col min="1" max="1" width="9.140625" style="10"/>
    <col min="2" max="2" width="51.5703125" style="10" bestFit="1" customWidth="1"/>
    <col min="3" max="3" width="12.42578125" style="10" customWidth="1"/>
    <col min="4" max="4" width="20.140625" style="10" bestFit="1" customWidth="1"/>
    <col min="5" max="5" width="13.7109375" style="10" bestFit="1" customWidth="1"/>
    <col min="6" max="6" width="11.42578125" style="10" bestFit="1" customWidth="1"/>
    <col min="7" max="7" width="1.42578125" style="10" customWidth="1"/>
    <col min="8" max="8" width="28" style="10" bestFit="1" customWidth="1"/>
    <col min="9" max="10" width="9.140625" style="10"/>
    <col min="11" max="11" width="12.140625" style="10" bestFit="1" customWidth="1"/>
    <col min="12" max="12" width="9.28515625" style="10" bestFit="1" customWidth="1"/>
    <col min="13" max="16384" width="9.140625" style="10"/>
  </cols>
  <sheetData>
    <row r="1" spans="2:9" ht="15.75" thickBot="1" x14ac:dyDescent="0.3"/>
    <row r="2" spans="2:9" ht="32.25" thickBot="1" x14ac:dyDescent="0.55000000000000004">
      <c r="B2" s="9" t="s">
        <v>143</v>
      </c>
    </row>
    <row r="5" spans="2:9" ht="21.75" thickBot="1" x14ac:dyDescent="0.4">
      <c r="B5" s="11" t="s">
        <v>27</v>
      </c>
      <c r="C5" s="11" t="s">
        <v>64</v>
      </c>
      <c r="D5" s="11" t="s">
        <v>32</v>
      </c>
      <c r="E5" s="12" t="s">
        <v>28</v>
      </c>
      <c r="F5" s="12" t="s">
        <v>29</v>
      </c>
      <c r="G5" s="12"/>
      <c r="H5" s="16" t="s">
        <v>30</v>
      </c>
    </row>
    <row r="6" spans="2:9" ht="26.25" customHeight="1" x14ac:dyDescent="0.35">
      <c r="B6" s="55" t="s">
        <v>141</v>
      </c>
      <c r="C6" s="58" t="s">
        <v>142</v>
      </c>
      <c r="D6" s="50">
        <v>32</v>
      </c>
      <c r="E6" s="56">
        <v>44001</v>
      </c>
      <c r="F6" s="53">
        <v>31.53</v>
      </c>
      <c r="G6" s="53"/>
      <c r="H6" s="54">
        <f t="shared" ref="H6:H39" si="0">ROUNDUP(F6,0)</f>
        <v>32</v>
      </c>
      <c r="I6" s="15"/>
    </row>
    <row r="7" spans="2:9" ht="26.25" customHeight="1" x14ac:dyDescent="0.35">
      <c r="B7" s="55" t="s">
        <v>194</v>
      </c>
      <c r="C7" s="70" t="s">
        <v>195</v>
      </c>
      <c r="D7" s="50">
        <v>68</v>
      </c>
      <c r="E7" s="56">
        <v>44001</v>
      </c>
      <c r="F7" s="53">
        <v>68</v>
      </c>
      <c r="G7" s="53"/>
      <c r="H7" s="54">
        <f t="shared" si="0"/>
        <v>68</v>
      </c>
      <c r="I7" s="15"/>
    </row>
    <row r="8" spans="2:9" ht="18" customHeight="1" x14ac:dyDescent="0.35">
      <c r="B8" s="55" t="s">
        <v>139</v>
      </c>
      <c r="C8" s="58" t="s">
        <v>140</v>
      </c>
      <c r="D8" s="50">
        <v>167</v>
      </c>
      <c r="E8" s="56">
        <v>44001</v>
      </c>
      <c r="F8" s="53">
        <v>166.48</v>
      </c>
      <c r="G8" s="53"/>
      <c r="H8" s="54">
        <f>ROUNDUP(F8,0)</f>
        <v>167</v>
      </c>
      <c r="I8" s="15"/>
    </row>
    <row r="9" spans="2:9" ht="24.75" customHeight="1" x14ac:dyDescent="0.35">
      <c r="B9" s="49" t="s">
        <v>106</v>
      </c>
      <c r="C9" s="67" t="s">
        <v>196</v>
      </c>
      <c r="D9" s="50">
        <v>250</v>
      </c>
      <c r="E9" s="56">
        <v>44001</v>
      </c>
      <c r="F9" s="53">
        <v>250</v>
      </c>
      <c r="G9" s="53"/>
      <c r="H9" s="54">
        <f t="shared" si="0"/>
        <v>250</v>
      </c>
      <c r="I9" s="15"/>
    </row>
    <row r="10" spans="2:9" ht="24.75" customHeight="1" x14ac:dyDescent="0.35">
      <c r="B10" s="55" t="s">
        <v>198</v>
      </c>
      <c r="C10" s="52" t="s">
        <v>197</v>
      </c>
      <c r="D10" s="50">
        <v>66</v>
      </c>
      <c r="E10" s="56">
        <v>44001</v>
      </c>
      <c r="F10" s="53">
        <v>66</v>
      </c>
      <c r="G10" s="53"/>
      <c r="H10" s="54">
        <f t="shared" si="0"/>
        <v>66</v>
      </c>
      <c r="I10" s="15"/>
    </row>
    <row r="11" spans="2:9" s="21" customFormat="1" ht="24.75" customHeight="1" x14ac:dyDescent="0.35">
      <c r="B11" s="49" t="s">
        <v>209</v>
      </c>
      <c r="C11" s="52" t="s">
        <v>210</v>
      </c>
      <c r="D11" s="50">
        <v>23</v>
      </c>
      <c r="E11" s="56">
        <v>44004</v>
      </c>
      <c r="F11" s="53">
        <v>22.33</v>
      </c>
      <c r="G11" s="53"/>
      <c r="H11" s="54">
        <f t="shared" si="0"/>
        <v>23</v>
      </c>
      <c r="I11" s="15"/>
    </row>
    <row r="12" spans="2:9" s="21" customFormat="1" ht="24.75" customHeight="1" x14ac:dyDescent="0.35">
      <c r="B12" s="49" t="s">
        <v>211</v>
      </c>
      <c r="C12" s="52" t="s">
        <v>212</v>
      </c>
      <c r="D12" s="50">
        <v>18</v>
      </c>
      <c r="E12" s="56">
        <v>44004</v>
      </c>
      <c r="F12" s="53">
        <v>17.02</v>
      </c>
      <c r="G12" s="53"/>
      <c r="H12" s="54">
        <f t="shared" si="0"/>
        <v>18</v>
      </c>
      <c r="I12" s="15"/>
    </row>
    <row r="13" spans="2:9" s="21" customFormat="1" ht="24.75" customHeight="1" x14ac:dyDescent="0.35">
      <c r="B13" s="49" t="s">
        <v>213</v>
      </c>
      <c r="C13" s="52" t="s">
        <v>214</v>
      </c>
      <c r="D13" s="50">
        <v>47</v>
      </c>
      <c r="E13" s="56">
        <v>44004</v>
      </c>
      <c r="F13" s="53">
        <v>46.72</v>
      </c>
      <c r="G13" s="53"/>
      <c r="H13" s="54">
        <f t="shared" si="0"/>
        <v>47</v>
      </c>
      <c r="I13" s="15"/>
    </row>
    <row r="14" spans="2:9" s="21" customFormat="1" ht="24.75" customHeight="1" x14ac:dyDescent="0.35">
      <c r="B14" s="49" t="s">
        <v>304</v>
      </c>
      <c r="C14" s="52" t="s">
        <v>305</v>
      </c>
      <c r="D14" s="50">
        <v>7</v>
      </c>
      <c r="E14" s="56">
        <v>44016</v>
      </c>
      <c r="F14" s="53">
        <v>6.7</v>
      </c>
      <c r="G14" s="53"/>
      <c r="H14" s="54">
        <f t="shared" si="0"/>
        <v>7</v>
      </c>
      <c r="I14" s="15"/>
    </row>
    <row r="15" spans="2:9" s="21" customFormat="1" ht="24.75" customHeight="1" x14ac:dyDescent="0.35">
      <c r="B15" s="49" t="s">
        <v>306</v>
      </c>
      <c r="C15" s="52" t="s">
        <v>307</v>
      </c>
      <c r="D15" s="50">
        <v>2</v>
      </c>
      <c r="E15" s="56">
        <v>44016</v>
      </c>
      <c r="F15" s="53">
        <v>1.02</v>
      </c>
      <c r="G15" s="53"/>
      <c r="H15" s="54">
        <f t="shared" si="0"/>
        <v>2</v>
      </c>
      <c r="I15" s="15"/>
    </row>
    <row r="16" spans="2:9" s="21" customFormat="1" ht="24.75" customHeight="1" x14ac:dyDescent="0.35">
      <c r="B16" s="49" t="s">
        <v>318</v>
      </c>
      <c r="C16" s="52" t="s">
        <v>319</v>
      </c>
      <c r="D16" s="50">
        <v>20</v>
      </c>
      <c r="E16" s="56">
        <v>44018</v>
      </c>
      <c r="F16" s="53">
        <v>19.38</v>
      </c>
      <c r="G16" s="53"/>
      <c r="H16" s="54">
        <f t="shared" si="0"/>
        <v>20</v>
      </c>
      <c r="I16" s="15"/>
    </row>
    <row r="17" spans="2:9" s="21" customFormat="1" ht="24.75" customHeight="1" x14ac:dyDescent="0.35">
      <c r="B17" s="49" t="s">
        <v>327</v>
      </c>
      <c r="C17" s="52" t="s">
        <v>307</v>
      </c>
      <c r="D17" s="50">
        <v>3</v>
      </c>
      <c r="E17" s="56">
        <v>44020</v>
      </c>
      <c r="F17" s="53">
        <v>2.0299999999999998</v>
      </c>
      <c r="G17" s="53"/>
      <c r="H17" s="54">
        <f t="shared" si="0"/>
        <v>3</v>
      </c>
      <c r="I17" s="15"/>
    </row>
    <row r="18" spans="2:9" s="21" customFormat="1" ht="24.75" customHeight="1" x14ac:dyDescent="0.35">
      <c r="B18" s="49" t="s">
        <v>328</v>
      </c>
      <c r="C18" s="52" t="s">
        <v>142</v>
      </c>
      <c r="D18" s="50">
        <v>33</v>
      </c>
      <c r="E18" s="56">
        <v>44020</v>
      </c>
      <c r="F18" s="53">
        <v>32.159999999999997</v>
      </c>
      <c r="G18" s="53"/>
      <c r="H18" s="54">
        <f t="shared" si="0"/>
        <v>33</v>
      </c>
      <c r="I18" s="15"/>
    </row>
    <row r="19" spans="2:9" s="21" customFormat="1" ht="24.75" customHeight="1" x14ac:dyDescent="0.35">
      <c r="B19" s="49" t="s">
        <v>330</v>
      </c>
      <c r="C19" s="52" t="s">
        <v>331</v>
      </c>
      <c r="D19" s="50">
        <v>9</v>
      </c>
      <c r="E19" s="56">
        <v>44023</v>
      </c>
      <c r="F19" s="100">
        <v>8.25</v>
      </c>
      <c r="G19" s="53"/>
      <c r="H19" s="54">
        <f t="shared" si="0"/>
        <v>9</v>
      </c>
      <c r="I19" s="15"/>
    </row>
    <row r="20" spans="2:9" s="21" customFormat="1" ht="24.75" customHeight="1" x14ac:dyDescent="0.35">
      <c r="B20" s="49" t="s">
        <v>332</v>
      </c>
      <c r="C20" s="52" t="s">
        <v>333</v>
      </c>
      <c r="D20" s="50">
        <v>15</v>
      </c>
      <c r="E20" s="56">
        <v>44023</v>
      </c>
      <c r="F20" s="100">
        <v>14.01</v>
      </c>
      <c r="G20" s="53"/>
      <c r="H20" s="54">
        <f t="shared" si="0"/>
        <v>15</v>
      </c>
      <c r="I20" s="15"/>
    </row>
    <row r="21" spans="2:9" s="21" customFormat="1" ht="24.75" customHeight="1" x14ac:dyDescent="0.35">
      <c r="B21" s="49" t="s">
        <v>334</v>
      </c>
      <c r="C21" s="52" t="s">
        <v>335</v>
      </c>
      <c r="D21" s="50">
        <v>8</v>
      </c>
      <c r="E21" s="56">
        <v>44023</v>
      </c>
      <c r="F21" s="100">
        <v>7.41</v>
      </c>
      <c r="G21" s="53"/>
      <c r="H21" s="54">
        <f t="shared" si="0"/>
        <v>8</v>
      </c>
      <c r="I21" s="15"/>
    </row>
    <row r="22" spans="2:9" s="21" customFormat="1" ht="24.75" customHeight="1" x14ac:dyDescent="0.35">
      <c r="B22" s="97" t="s">
        <v>336</v>
      </c>
      <c r="C22" s="98" t="s">
        <v>337</v>
      </c>
      <c r="D22" s="99">
        <v>3</v>
      </c>
      <c r="E22" s="106">
        <v>44023</v>
      </c>
      <c r="F22" s="107">
        <v>2.46</v>
      </c>
      <c r="G22" s="108"/>
      <c r="H22" s="109">
        <f t="shared" si="0"/>
        <v>3</v>
      </c>
      <c r="I22" s="15"/>
    </row>
    <row r="23" spans="2:9" s="21" customFormat="1" ht="24.75" customHeight="1" x14ac:dyDescent="0.35">
      <c r="B23" s="97" t="s">
        <v>338</v>
      </c>
      <c r="C23" s="98" t="s">
        <v>339</v>
      </c>
      <c r="D23" s="99">
        <v>3</v>
      </c>
      <c r="E23" s="106">
        <v>44023</v>
      </c>
      <c r="F23" s="107">
        <v>2.0499999999999998</v>
      </c>
      <c r="G23" s="108"/>
      <c r="H23" s="109">
        <f t="shared" si="0"/>
        <v>3</v>
      </c>
      <c r="I23" s="15"/>
    </row>
    <row r="24" spans="2:9" s="21" customFormat="1" ht="24.75" customHeight="1" x14ac:dyDescent="0.35">
      <c r="B24" s="97" t="s">
        <v>340</v>
      </c>
      <c r="C24" s="98" t="s">
        <v>341</v>
      </c>
      <c r="D24" s="99">
        <v>13</v>
      </c>
      <c r="E24" s="106">
        <v>44023</v>
      </c>
      <c r="F24" s="107">
        <v>12.36</v>
      </c>
      <c r="G24" s="108"/>
      <c r="H24" s="109">
        <f t="shared" si="0"/>
        <v>13</v>
      </c>
      <c r="I24" s="15"/>
    </row>
    <row r="25" spans="2:9" s="21" customFormat="1" ht="24.75" customHeight="1" x14ac:dyDescent="0.35">
      <c r="B25" s="97" t="s">
        <v>342</v>
      </c>
      <c r="C25" s="98" t="s">
        <v>343</v>
      </c>
      <c r="D25" s="99">
        <v>29</v>
      </c>
      <c r="E25" s="106">
        <v>44023</v>
      </c>
      <c r="F25" s="107">
        <v>28.17</v>
      </c>
      <c r="G25" s="108"/>
      <c r="H25" s="109">
        <f t="shared" si="0"/>
        <v>29</v>
      </c>
      <c r="I25" s="15"/>
    </row>
    <row r="26" spans="2:9" s="21" customFormat="1" ht="24.75" customHeight="1" x14ac:dyDescent="0.35">
      <c r="B26" s="97" t="s">
        <v>344</v>
      </c>
      <c r="C26" s="98" t="s">
        <v>345</v>
      </c>
      <c r="D26" s="99">
        <v>138</v>
      </c>
      <c r="E26" s="106">
        <v>44023</v>
      </c>
      <c r="F26" s="107">
        <v>137.84</v>
      </c>
      <c r="G26" s="108"/>
      <c r="H26" s="109">
        <f t="shared" si="0"/>
        <v>138</v>
      </c>
      <c r="I26" s="15"/>
    </row>
    <row r="27" spans="2:9" s="21" customFormat="1" ht="24.75" customHeight="1" x14ac:dyDescent="0.35">
      <c r="B27" s="81" t="s">
        <v>360</v>
      </c>
      <c r="C27" s="86"/>
      <c r="D27" s="82">
        <v>-164</v>
      </c>
      <c r="E27" s="102"/>
      <c r="F27" s="103"/>
      <c r="G27" s="104"/>
      <c r="H27" s="105">
        <v>-164</v>
      </c>
      <c r="I27" s="15"/>
    </row>
    <row r="28" spans="2:9" s="21" customFormat="1" ht="24.75" customHeight="1" x14ac:dyDescent="0.35">
      <c r="B28" s="49" t="s">
        <v>346</v>
      </c>
      <c r="C28" s="52" t="s">
        <v>347</v>
      </c>
      <c r="D28" s="101">
        <v>7</v>
      </c>
      <c r="E28" s="56">
        <v>44024</v>
      </c>
      <c r="F28" s="100">
        <v>7</v>
      </c>
      <c r="G28" s="53"/>
      <c r="H28" s="54">
        <f t="shared" si="0"/>
        <v>7</v>
      </c>
      <c r="I28" s="15"/>
    </row>
    <row r="29" spans="2:9" s="21" customFormat="1" ht="24.75" customHeight="1" x14ac:dyDescent="0.35">
      <c r="B29" s="49" t="s">
        <v>348</v>
      </c>
      <c r="C29" s="52" t="s">
        <v>349</v>
      </c>
      <c r="D29" s="101">
        <v>26</v>
      </c>
      <c r="E29" s="56">
        <v>44024</v>
      </c>
      <c r="F29" s="100">
        <v>26</v>
      </c>
      <c r="G29" s="53"/>
      <c r="H29" s="54">
        <f t="shared" si="0"/>
        <v>26</v>
      </c>
      <c r="I29" s="15"/>
    </row>
    <row r="30" spans="2:9" s="21" customFormat="1" ht="24.75" customHeight="1" x14ac:dyDescent="0.35">
      <c r="B30" s="49" t="s">
        <v>350</v>
      </c>
      <c r="C30" s="52" t="s">
        <v>351</v>
      </c>
      <c r="D30" s="101">
        <v>3</v>
      </c>
      <c r="E30" s="56">
        <v>44024</v>
      </c>
      <c r="F30" s="100">
        <v>3</v>
      </c>
      <c r="G30" s="53"/>
      <c r="H30" s="54">
        <f t="shared" si="0"/>
        <v>3</v>
      </c>
      <c r="I30" s="15"/>
    </row>
    <row r="31" spans="2:9" s="21" customFormat="1" ht="24.75" customHeight="1" x14ac:dyDescent="0.35">
      <c r="B31" s="49" t="s">
        <v>352</v>
      </c>
      <c r="C31" s="52" t="s">
        <v>353</v>
      </c>
      <c r="D31" s="101">
        <v>3</v>
      </c>
      <c r="E31" s="56">
        <v>44024</v>
      </c>
      <c r="F31" s="100">
        <v>3</v>
      </c>
      <c r="G31" s="53"/>
      <c r="H31" s="54">
        <f t="shared" si="0"/>
        <v>3</v>
      </c>
      <c r="I31" s="15"/>
    </row>
    <row r="32" spans="2:9" s="21" customFormat="1" ht="24.75" customHeight="1" x14ac:dyDescent="0.35">
      <c r="B32" s="49" t="s">
        <v>354</v>
      </c>
      <c r="C32" s="52" t="s">
        <v>355</v>
      </c>
      <c r="D32" s="101">
        <v>2</v>
      </c>
      <c r="E32" s="56">
        <v>44024</v>
      </c>
      <c r="F32" s="100">
        <v>2</v>
      </c>
      <c r="G32" s="53"/>
      <c r="H32" s="54">
        <f t="shared" si="0"/>
        <v>2</v>
      </c>
      <c r="I32" s="15"/>
    </row>
    <row r="33" spans="2:9" s="21" customFormat="1" ht="24.75" customHeight="1" x14ac:dyDescent="0.35">
      <c r="B33" s="49" t="s">
        <v>356</v>
      </c>
      <c r="C33" s="52" t="s">
        <v>307</v>
      </c>
      <c r="D33" s="101">
        <v>3</v>
      </c>
      <c r="E33" s="56">
        <v>44024</v>
      </c>
      <c r="F33" s="100">
        <v>3</v>
      </c>
      <c r="G33" s="53"/>
      <c r="H33" s="54">
        <f t="shared" si="0"/>
        <v>3</v>
      </c>
      <c r="I33" s="15"/>
    </row>
    <row r="34" spans="2:9" s="21" customFormat="1" ht="24.75" customHeight="1" x14ac:dyDescent="0.35">
      <c r="B34" s="49" t="s">
        <v>357</v>
      </c>
      <c r="C34" s="52" t="s">
        <v>358</v>
      </c>
      <c r="D34" s="101">
        <v>3</v>
      </c>
      <c r="E34" s="56">
        <v>44024</v>
      </c>
      <c r="F34" s="100">
        <v>3</v>
      </c>
      <c r="G34" s="53"/>
      <c r="H34" s="54">
        <f t="shared" si="0"/>
        <v>3</v>
      </c>
      <c r="I34" s="15"/>
    </row>
    <row r="35" spans="2:9" s="21" customFormat="1" ht="24.75" customHeight="1" x14ac:dyDescent="0.35">
      <c r="B35" s="49" t="s">
        <v>359</v>
      </c>
      <c r="C35" s="52" t="s">
        <v>142</v>
      </c>
      <c r="D35" s="101">
        <v>4</v>
      </c>
      <c r="E35" s="56">
        <v>44024</v>
      </c>
      <c r="F35" s="100">
        <v>4</v>
      </c>
      <c r="G35" s="53"/>
      <c r="H35" s="54">
        <f t="shared" si="0"/>
        <v>4</v>
      </c>
      <c r="I35" s="15"/>
    </row>
    <row r="36" spans="2:9" s="21" customFormat="1" ht="24.75" customHeight="1" x14ac:dyDescent="0.35">
      <c r="B36" s="49" t="s">
        <v>361</v>
      </c>
      <c r="C36" s="52" t="s">
        <v>142</v>
      </c>
      <c r="D36" s="101">
        <v>10</v>
      </c>
      <c r="E36" s="56">
        <v>44030</v>
      </c>
      <c r="F36" s="100">
        <v>9.4600000000000009</v>
      </c>
      <c r="G36" s="53"/>
      <c r="H36" s="54">
        <f t="shared" si="0"/>
        <v>10</v>
      </c>
      <c r="I36" s="15"/>
    </row>
    <row r="37" spans="2:9" ht="21" x14ac:dyDescent="0.35">
      <c r="B37" s="49" t="s">
        <v>362</v>
      </c>
      <c r="C37" s="52" t="s">
        <v>307</v>
      </c>
      <c r="D37" s="101">
        <v>4</v>
      </c>
      <c r="E37" s="56">
        <v>44030</v>
      </c>
      <c r="F37" s="100">
        <v>3.05</v>
      </c>
      <c r="G37" s="53"/>
      <c r="H37" s="54">
        <f t="shared" si="0"/>
        <v>4</v>
      </c>
      <c r="I37" s="15"/>
    </row>
    <row r="38" spans="2:9" s="110" customFormat="1" ht="21" x14ac:dyDescent="0.35">
      <c r="B38" s="49" t="s">
        <v>365</v>
      </c>
      <c r="C38" s="52" t="s">
        <v>366</v>
      </c>
      <c r="D38" s="101">
        <v>23</v>
      </c>
      <c r="E38" s="56">
        <v>44033</v>
      </c>
      <c r="F38" s="100">
        <v>22.7</v>
      </c>
      <c r="G38" s="53"/>
      <c r="H38" s="54">
        <f t="shared" si="0"/>
        <v>23</v>
      </c>
      <c r="I38" s="15"/>
    </row>
    <row r="39" spans="2:9" s="112" customFormat="1" ht="21" x14ac:dyDescent="0.35">
      <c r="B39" s="49" t="s">
        <v>381</v>
      </c>
      <c r="C39" s="52" t="s">
        <v>382</v>
      </c>
      <c r="D39" s="101">
        <v>13</v>
      </c>
      <c r="E39" s="56">
        <v>44054</v>
      </c>
      <c r="F39" s="100">
        <v>12.07</v>
      </c>
      <c r="G39" s="53"/>
      <c r="H39" s="54">
        <f t="shared" si="0"/>
        <v>13</v>
      </c>
      <c r="I39" s="15"/>
    </row>
    <row r="40" spans="2:9" ht="15.75" thickBot="1" x14ac:dyDescent="0.3">
      <c r="D40" s="14"/>
    </row>
    <row r="41" spans="2:9" ht="27" thickBot="1" x14ac:dyDescent="0.45">
      <c r="D41" s="25">
        <f>SUM(D6:D40)</f>
        <v>891</v>
      </c>
      <c r="F41" s="28" t="s">
        <v>0</v>
      </c>
      <c r="G41" s="15"/>
      <c r="H41" s="24">
        <f>SUM(H6:H40)</f>
        <v>891</v>
      </c>
    </row>
    <row r="42" spans="2:9" x14ac:dyDescent="0.25">
      <c r="F42" s="14"/>
      <c r="G42" s="14"/>
    </row>
    <row r="46" spans="2:9" x14ac:dyDescent="0.25">
      <c r="B46" s="36" t="s">
        <v>144</v>
      </c>
    </row>
  </sheetData>
  <hyperlinks>
    <hyperlink ref="C9" r:id="rId1" display="https://www.cablewholesale.com/products/network-phone/cat-6-cable-bulk/product-10x8-622nh.php"/>
    <hyperlink ref="C8" r:id="rId2"/>
    <hyperlink ref="B46" r:id="rId3"/>
    <hyperlink ref="C6" r:id="rId4"/>
    <hyperlink ref="C10" r:id="rId5"/>
    <hyperlink ref="C12" r:id="rId6"/>
    <hyperlink ref="C13" r:id="rId7"/>
    <hyperlink ref="C11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8" r:id="rId22"/>
    <hyperlink ref="C29" r:id="rId23"/>
    <hyperlink ref="C30" r:id="rId24"/>
    <hyperlink ref="C31" r:id="rId25"/>
    <hyperlink ref="C32" r:id="rId26"/>
    <hyperlink ref="C33" r:id="rId27"/>
    <hyperlink ref="C34" r:id="rId28"/>
    <hyperlink ref="C35" r:id="rId29"/>
    <hyperlink ref="C36" r:id="rId30"/>
    <hyperlink ref="C37" r:id="rId31"/>
    <hyperlink ref="C38" r:id="rId32"/>
    <hyperlink ref="C39" r:id="rId33"/>
  </hyperlinks>
  <pageMargins left="0.7" right="0.7" top="0.75" bottom="0.75" header="0.3" footer="0.3"/>
  <pageSetup scale="85" orientation="landscape" horizontalDpi="4294967293" verticalDpi="4294967293" r:id="rId3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6"/>
  <sheetViews>
    <sheetView topLeftCell="A4" workbookViewId="0">
      <selection activeCell="A23" sqref="A23:XFD23"/>
    </sheetView>
  </sheetViews>
  <sheetFormatPr defaultRowHeight="15" x14ac:dyDescent="0.25"/>
  <cols>
    <col min="1" max="1" width="9.140625" style="10"/>
    <col min="2" max="2" width="51.5703125" style="10" bestFit="1" customWidth="1"/>
    <col min="3" max="3" width="12.42578125" style="10" customWidth="1"/>
    <col min="4" max="4" width="20.140625" style="10" bestFit="1" customWidth="1"/>
    <col min="5" max="5" width="9.7109375" style="10" bestFit="1" customWidth="1"/>
    <col min="6" max="6" width="10.5703125" style="10" bestFit="1" customWidth="1"/>
    <col min="7" max="7" width="1.42578125" style="10" customWidth="1"/>
    <col min="8" max="8" width="28" style="10" bestFit="1" customWidth="1"/>
    <col min="9" max="10" width="9.140625" style="10"/>
    <col min="11" max="11" width="12.140625" style="10" bestFit="1" customWidth="1"/>
    <col min="12" max="12" width="9.28515625" style="10" bestFit="1" customWidth="1"/>
    <col min="13" max="16384" width="9.140625" style="10"/>
  </cols>
  <sheetData>
    <row r="1" spans="2:8" ht="15.75" thickBot="1" x14ac:dyDescent="0.3"/>
    <row r="2" spans="2:8" ht="32.25" thickBot="1" x14ac:dyDescent="0.55000000000000004">
      <c r="B2" s="9" t="s">
        <v>107</v>
      </c>
    </row>
    <row r="5" spans="2:8" ht="21.75" thickBot="1" x14ac:dyDescent="0.4">
      <c r="B5" s="11" t="s">
        <v>27</v>
      </c>
      <c r="C5" s="11" t="s">
        <v>64</v>
      </c>
      <c r="D5" s="11" t="s">
        <v>32</v>
      </c>
      <c r="E5" s="12" t="s">
        <v>28</v>
      </c>
      <c r="F5" s="12" t="s">
        <v>29</v>
      </c>
      <c r="G5" s="12"/>
      <c r="H5" s="16" t="s">
        <v>30</v>
      </c>
    </row>
    <row r="6" spans="2:8" ht="21" x14ac:dyDescent="0.35">
      <c r="B6" s="49" t="s">
        <v>108</v>
      </c>
      <c r="C6" s="52"/>
      <c r="D6" s="50"/>
      <c r="E6" s="53"/>
      <c r="F6" s="53">
        <v>60</v>
      </c>
      <c r="G6" s="53"/>
      <c r="H6" s="54">
        <f t="shared" ref="H6:H23" si="0">ROUNDUP(F6,0)</f>
        <v>60</v>
      </c>
    </row>
    <row r="7" spans="2:8" ht="21" x14ac:dyDescent="0.35">
      <c r="B7" s="55" t="s">
        <v>111</v>
      </c>
      <c r="C7" s="52"/>
      <c r="D7" s="50"/>
      <c r="E7" s="53"/>
      <c r="F7" s="53">
        <v>40</v>
      </c>
      <c r="G7" s="53"/>
      <c r="H7" s="54">
        <f t="shared" si="0"/>
        <v>40</v>
      </c>
    </row>
    <row r="8" spans="2:8" ht="21" x14ac:dyDescent="0.35">
      <c r="B8" s="55" t="s">
        <v>118</v>
      </c>
      <c r="C8" s="52"/>
      <c r="D8" s="50"/>
      <c r="E8" s="53"/>
      <c r="F8" s="53">
        <v>10</v>
      </c>
      <c r="G8" s="53"/>
      <c r="H8" s="54">
        <f t="shared" si="0"/>
        <v>10</v>
      </c>
    </row>
    <row r="9" spans="2:8" ht="21" x14ac:dyDescent="0.35">
      <c r="B9" s="55" t="s">
        <v>151</v>
      </c>
      <c r="C9" s="52"/>
      <c r="D9" s="50"/>
      <c r="E9" s="53"/>
      <c r="F9" s="53">
        <v>80</v>
      </c>
      <c r="G9" s="53"/>
      <c r="H9" s="54">
        <f t="shared" si="0"/>
        <v>80</v>
      </c>
    </row>
    <row r="10" spans="2:8" ht="21" x14ac:dyDescent="0.35">
      <c r="B10" s="55" t="s">
        <v>183</v>
      </c>
      <c r="C10" s="52"/>
      <c r="D10" s="50"/>
      <c r="E10" s="53"/>
      <c r="F10" s="53">
        <v>40</v>
      </c>
      <c r="G10" s="53"/>
      <c r="H10" s="54">
        <f t="shared" si="0"/>
        <v>40</v>
      </c>
    </row>
    <row r="11" spans="2:8" ht="21" x14ac:dyDescent="0.35">
      <c r="B11" s="55" t="s">
        <v>183</v>
      </c>
      <c r="C11" s="55"/>
      <c r="D11" s="50"/>
      <c r="E11" s="53"/>
      <c r="F11" s="53">
        <v>50</v>
      </c>
      <c r="G11" s="53"/>
      <c r="H11" s="54">
        <f t="shared" si="0"/>
        <v>50</v>
      </c>
    </row>
    <row r="12" spans="2:8" ht="21" x14ac:dyDescent="0.35">
      <c r="B12" s="55" t="s">
        <v>189</v>
      </c>
      <c r="C12" s="55"/>
      <c r="D12" s="50"/>
      <c r="E12" s="53"/>
      <c r="F12" s="53">
        <v>30</v>
      </c>
      <c r="G12" s="53"/>
      <c r="H12" s="54">
        <f t="shared" si="0"/>
        <v>30</v>
      </c>
    </row>
    <row r="13" spans="2:8" ht="21" x14ac:dyDescent="0.35">
      <c r="B13" s="55" t="s">
        <v>183</v>
      </c>
      <c r="C13" s="55"/>
      <c r="D13" s="50"/>
      <c r="E13" s="53"/>
      <c r="F13" s="53">
        <v>40</v>
      </c>
      <c r="G13" s="53"/>
      <c r="H13" s="54">
        <f t="shared" si="0"/>
        <v>40</v>
      </c>
    </row>
    <row r="14" spans="2:8" ht="21" x14ac:dyDescent="0.35">
      <c r="B14" s="55" t="s">
        <v>199</v>
      </c>
      <c r="C14" s="55"/>
      <c r="D14" s="50"/>
      <c r="E14" s="53"/>
      <c r="F14" s="53">
        <v>20</v>
      </c>
      <c r="G14" s="53"/>
      <c r="H14" s="54">
        <f t="shared" si="0"/>
        <v>20</v>
      </c>
    </row>
    <row r="15" spans="2:8" ht="21" x14ac:dyDescent="0.35">
      <c r="B15" s="55" t="s">
        <v>200</v>
      </c>
      <c r="C15" s="55"/>
      <c r="D15" s="50"/>
      <c r="E15" s="53"/>
      <c r="F15" s="53">
        <v>20</v>
      </c>
      <c r="G15" s="53"/>
      <c r="H15" s="54">
        <f t="shared" si="0"/>
        <v>20</v>
      </c>
    </row>
    <row r="16" spans="2:8" s="80" customFormat="1" ht="21" x14ac:dyDescent="0.35">
      <c r="B16" s="55" t="s">
        <v>199</v>
      </c>
      <c r="C16" s="55"/>
      <c r="D16" s="50"/>
      <c r="E16" s="53"/>
      <c r="F16" s="53">
        <v>40</v>
      </c>
      <c r="G16" s="53"/>
      <c r="H16" s="54">
        <f t="shared" si="0"/>
        <v>40</v>
      </c>
    </row>
    <row r="17" spans="2:8" s="110" customFormat="1" ht="21" x14ac:dyDescent="0.35">
      <c r="B17" s="55" t="s">
        <v>367</v>
      </c>
      <c r="C17" s="55"/>
      <c r="D17" s="50"/>
      <c r="E17" s="53"/>
      <c r="F17" s="53">
        <v>20</v>
      </c>
      <c r="G17" s="53"/>
      <c r="H17" s="54">
        <f t="shared" si="0"/>
        <v>20</v>
      </c>
    </row>
    <row r="18" spans="2:8" s="110" customFormat="1" ht="21" x14ac:dyDescent="0.35">
      <c r="B18" s="55" t="s">
        <v>367</v>
      </c>
      <c r="C18" s="55"/>
      <c r="D18" s="50"/>
      <c r="E18" s="53"/>
      <c r="F18" s="53">
        <v>40</v>
      </c>
      <c r="G18" s="53"/>
      <c r="H18" s="54">
        <f t="shared" si="0"/>
        <v>40</v>
      </c>
    </row>
    <row r="19" spans="2:8" s="110" customFormat="1" ht="21" x14ac:dyDescent="0.35">
      <c r="B19" s="55" t="s">
        <v>373</v>
      </c>
      <c r="C19" s="55"/>
      <c r="D19" s="50"/>
      <c r="E19" s="53"/>
      <c r="F19" s="53">
        <v>20</v>
      </c>
      <c r="G19" s="53"/>
      <c r="H19" s="54">
        <f t="shared" si="0"/>
        <v>20</v>
      </c>
    </row>
    <row r="20" spans="2:8" s="114" customFormat="1" ht="21" x14ac:dyDescent="0.35">
      <c r="B20" s="55" t="s">
        <v>401</v>
      </c>
      <c r="C20" s="55"/>
      <c r="D20" s="50"/>
      <c r="E20" s="53"/>
      <c r="F20" s="53">
        <v>60</v>
      </c>
      <c r="G20" s="53"/>
      <c r="H20" s="54">
        <f t="shared" si="0"/>
        <v>60</v>
      </c>
    </row>
    <row r="21" spans="2:8" s="120" customFormat="1" ht="21" x14ac:dyDescent="0.35">
      <c r="B21" s="55" t="s">
        <v>451</v>
      </c>
      <c r="C21" s="55"/>
      <c r="D21" s="50"/>
      <c r="E21" s="53"/>
      <c r="F21" s="53">
        <v>60</v>
      </c>
      <c r="G21" s="53"/>
      <c r="H21" s="54">
        <f t="shared" si="0"/>
        <v>60</v>
      </c>
    </row>
    <row r="22" spans="2:8" s="128" customFormat="1" ht="21" x14ac:dyDescent="0.35">
      <c r="B22" s="55" t="s">
        <v>477</v>
      </c>
      <c r="C22" s="55"/>
      <c r="D22" s="50"/>
      <c r="E22" s="53"/>
      <c r="F22" s="53">
        <v>50</v>
      </c>
      <c r="G22" s="53">
        <v>5</v>
      </c>
      <c r="H22" s="54">
        <f t="shared" si="0"/>
        <v>50</v>
      </c>
    </row>
    <row r="23" spans="2:8" ht="21" x14ac:dyDescent="0.35">
      <c r="B23" s="32" t="s">
        <v>25</v>
      </c>
      <c r="C23" s="32"/>
      <c r="D23" s="14">
        <v>1000</v>
      </c>
      <c r="E23" s="40"/>
      <c r="F23" s="40"/>
      <c r="G23" s="40"/>
      <c r="H23" s="41">
        <f t="shared" si="0"/>
        <v>0</v>
      </c>
    </row>
    <row r="24" spans="2:8" ht="15.75" thickBot="1" x14ac:dyDescent="0.3">
      <c r="D24" s="14"/>
    </row>
    <row r="25" spans="2:8" ht="27" thickBot="1" x14ac:dyDescent="0.45">
      <c r="D25" s="25">
        <f>SUM(D6:D24)</f>
        <v>1000</v>
      </c>
      <c r="F25" s="28" t="s">
        <v>0</v>
      </c>
      <c r="G25" s="15"/>
      <c r="H25" s="24">
        <f>SUM(H6:H24)</f>
        <v>680</v>
      </c>
    </row>
    <row r="26" spans="2:8" x14ac:dyDescent="0.25">
      <c r="F26" s="14"/>
      <c r="G26" s="14"/>
    </row>
  </sheetData>
  <pageMargins left="0.7" right="0.7" top="0.75" bottom="0.75" header="0.3" footer="0.3"/>
  <pageSetup scale="85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0"/>
  <sheetViews>
    <sheetView workbookViewId="0">
      <selection activeCell="B6" sqref="B6:G6"/>
    </sheetView>
  </sheetViews>
  <sheetFormatPr defaultRowHeight="15" x14ac:dyDescent="0.25"/>
  <cols>
    <col min="2" max="2" width="51.5703125" bestFit="1" customWidth="1"/>
    <col min="3" max="3" width="17" style="10" bestFit="1" customWidth="1"/>
    <col min="4" max="4" width="9.7109375" bestFit="1" customWidth="1"/>
    <col min="5" max="5" width="10.5703125" bestFit="1" customWidth="1"/>
    <col min="6" max="6" width="2.85546875" customWidth="1"/>
    <col min="7" max="7" width="28" bestFit="1" customWidth="1"/>
  </cols>
  <sheetData>
    <row r="1" spans="2:7" s="10" customFormat="1" ht="15.75" thickBot="1" x14ac:dyDescent="0.3"/>
    <row r="2" spans="2:7" s="10" customFormat="1" ht="32.25" thickBot="1" x14ac:dyDescent="0.55000000000000004">
      <c r="B2" s="9" t="s">
        <v>31</v>
      </c>
    </row>
    <row r="5" spans="2:7" ht="21.75" thickBot="1" x14ac:dyDescent="0.4">
      <c r="B5" s="11" t="s">
        <v>27</v>
      </c>
      <c r="C5" s="11" t="s">
        <v>32</v>
      </c>
      <c r="D5" s="12" t="s">
        <v>28</v>
      </c>
      <c r="E5" s="12" t="s">
        <v>29</v>
      </c>
      <c r="F5" s="12"/>
      <c r="G5" s="16" t="s">
        <v>30</v>
      </c>
    </row>
    <row r="6" spans="2:7" x14ac:dyDescent="0.25">
      <c r="B6" s="49" t="s">
        <v>33</v>
      </c>
      <c r="C6" s="50">
        <v>400</v>
      </c>
      <c r="D6" s="51">
        <v>43920</v>
      </c>
      <c r="E6" s="50">
        <v>399.95</v>
      </c>
      <c r="F6" s="50"/>
      <c r="G6" s="50">
        <f>ROUNDUP(E6,0)</f>
        <v>400</v>
      </c>
    </row>
    <row r="8" spans="2:7" ht="15.75" thickBot="1" x14ac:dyDescent="0.3">
      <c r="B8" s="10"/>
      <c r="D8" s="10"/>
      <c r="E8" s="10"/>
      <c r="F8" s="10"/>
      <c r="G8" s="10"/>
    </row>
    <row r="9" spans="2:7" ht="27" thickBot="1" x14ac:dyDescent="0.45">
      <c r="B9" s="10"/>
      <c r="C9" s="25">
        <f>SUM(C6:C8)</f>
        <v>400</v>
      </c>
      <c r="E9" s="28" t="s">
        <v>0</v>
      </c>
      <c r="G9" s="24">
        <f>SUM(G6:G8)</f>
        <v>400</v>
      </c>
    </row>
    <row r="10" spans="2:7" x14ac:dyDescent="0.25">
      <c r="B10" s="10"/>
      <c r="D10" s="10"/>
      <c r="E10" s="14"/>
      <c r="F10" s="14"/>
      <c r="G10" s="10"/>
    </row>
  </sheetData>
  <pageMargins left="0.7" right="0.7" top="0.75" bottom="0.75" header="0.3" footer="0.3"/>
  <pageSetup scale="94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0"/>
  <sheetViews>
    <sheetView workbookViewId="0">
      <selection activeCell="C3" sqref="C3:C8"/>
    </sheetView>
  </sheetViews>
  <sheetFormatPr defaultRowHeight="15" x14ac:dyDescent="0.25"/>
  <cols>
    <col min="1" max="1" width="9.140625" style="10"/>
    <col min="2" max="2" width="51.5703125" style="10" bestFit="1" customWidth="1"/>
    <col min="3" max="3" width="20.85546875" style="10" customWidth="1"/>
    <col min="4" max="4" width="17" style="10" bestFit="1" customWidth="1"/>
    <col min="5" max="5" width="9.7109375" style="10" bestFit="1" customWidth="1"/>
    <col min="6" max="6" width="10.5703125" style="10" bestFit="1" customWidth="1"/>
    <col min="7" max="7" width="1.42578125" style="10" customWidth="1"/>
    <col min="8" max="8" width="28" style="10" bestFit="1" customWidth="1"/>
    <col min="9" max="16384" width="9.140625" style="10"/>
  </cols>
  <sheetData>
    <row r="1" spans="2:8" ht="15.75" thickBot="1" x14ac:dyDescent="0.3"/>
    <row r="2" spans="2:8" ht="32.25" thickBot="1" x14ac:dyDescent="0.55000000000000004">
      <c r="B2" s="9" t="s">
        <v>35</v>
      </c>
    </row>
    <row r="5" spans="2:8" ht="21.75" thickBot="1" x14ac:dyDescent="0.4">
      <c r="B5" s="11" t="s">
        <v>27</v>
      </c>
      <c r="C5" s="11" t="s">
        <v>184</v>
      </c>
      <c r="D5" s="11" t="s">
        <v>32</v>
      </c>
      <c r="E5" s="12" t="s">
        <v>28</v>
      </c>
      <c r="F5" s="12" t="s">
        <v>29</v>
      </c>
      <c r="G5" s="12"/>
      <c r="H5" s="16" t="s">
        <v>30</v>
      </c>
    </row>
    <row r="6" spans="2:8" x14ac:dyDescent="0.25">
      <c r="B6" s="68" t="s">
        <v>36</v>
      </c>
      <c r="C6" s="69">
        <v>250</v>
      </c>
      <c r="D6" s="14">
        <v>0</v>
      </c>
      <c r="E6" s="13"/>
      <c r="F6" s="14"/>
      <c r="G6" s="14"/>
      <c r="H6" s="14">
        <f>ROUNDUP(F6,0)</f>
        <v>0</v>
      </c>
    </row>
    <row r="8" spans="2:8" ht="15.75" thickBot="1" x14ac:dyDescent="0.3"/>
    <row r="9" spans="2:8" ht="27" thickBot="1" x14ac:dyDescent="0.45">
      <c r="D9" s="25">
        <f>SUM(D6:D8)</f>
        <v>0</v>
      </c>
      <c r="F9" s="28" t="s">
        <v>0</v>
      </c>
      <c r="G9" s="15"/>
      <c r="H9" s="24">
        <f>SUM(H6:H8)</f>
        <v>0</v>
      </c>
    </row>
    <row r="10" spans="2:8" x14ac:dyDescent="0.25">
      <c r="F10" s="14"/>
      <c r="G10" s="14"/>
    </row>
  </sheetData>
  <pageMargins left="0.7" right="0.7" top="0.75" bottom="0.75" header="0.3" footer="0.3"/>
  <pageSetup scale="96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103"/>
  <sheetViews>
    <sheetView topLeftCell="A82" zoomScaleNormal="100" workbookViewId="0">
      <selection activeCell="B94" sqref="B94:F94"/>
    </sheetView>
  </sheetViews>
  <sheetFormatPr defaultRowHeight="15" x14ac:dyDescent="0.25"/>
  <cols>
    <col min="1" max="1" width="9.140625" style="10"/>
    <col min="2" max="2" width="51.5703125" style="10" bestFit="1" customWidth="1"/>
    <col min="3" max="3" width="12.42578125" style="73" customWidth="1"/>
    <col min="4" max="4" width="21.140625" style="73" bestFit="1" customWidth="1"/>
    <col min="5" max="5" width="20.140625" style="10" bestFit="1" customWidth="1"/>
    <col min="6" max="6" width="13.7109375" style="10" bestFit="1" customWidth="1"/>
    <col min="7" max="7" width="10.5703125" style="10" bestFit="1" customWidth="1"/>
    <col min="8" max="8" width="1.42578125" style="10" customWidth="1"/>
    <col min="9" max="9" width="28" style="10" bestFit="1" customWidth="1"/>
    <col min="10" max="11" width="9.140625" style="10"/>
    <col min="12" max="12" width="19" style="10" bestFit="1" customWidth="1"/>
    <col min="13" max="13" width="10.140625" style="10" bestFit="1" customWidth="1"/>
    <col min="14" max="14" width="12.140625" style="10" bestFit="1" customWidth="1"/>
    <col min="15" max="15" width="9.28515625" style="10" bestFit="1" customWidth="1"/>
    <col min="16" max="16384" width="9.140625" style="10"/>
  </cols>
  <sheetData>
    <row r="1" spans="2:16" ht="15.75" thickBot="1" x14ac:dyDescent="0.3"/>
    <row r="2" spans="2:16" ht="32.25" thickBot="1" x14ac:dyDescent="0.55000000000000004">
      <c r="B2" s="9" t="s">
        <v>37</v>
      </c>
      <c r="E2" s="15"/>
      <c r="L2" s="30" t="s">
        <v>38</v>
      </c>
    </row>
    <row r="3" spans="2:16" ht="15.75" thickBot="1" x14ac:dyDescent="0.3">
      <c r="L3" s="29" t="s">
        <v>39</v>
      </c>
      <c r="M3" s="10" t="s">
        <v>61</v>
      </c>
      <c r="O3" s="10" t="s">
        <v>62</v>
      </c>
      <c r="P3" s="10" t="s">
        <v>63</v>
      </c>
    </row>
    <row r="4" spans="2:16" ht="19.5" thickBot="1" x14ac:dyDescent="0.35">
      <c r="L4" s="10" t="s">
        <v>40</v>
      </c>
      <c r="M4" s="31">
        <v>715</v>
      </c>
      <c r="O4" s="31">
        <v>352</v>
      </c>
      <c r="P4" s="31">
        <v>150</v>
      </c>
    </row>
    <row r="5" spans="2:16" ht="21.75" thickBot="1" x14ac:dyDescent="0.4">
      <c r="B5" s="11" t="s">
        <v>27</v>
      </c>
      <c r="C5" s="74" t="s">
        <v>64</v>
      </c>
      <c r="D5" s="11" t="s">
        <v>184</v>
      </c>
      <c r="E5" s="11" t="s">
        <v>32</v>
      </c>
      <c r="F5" s="12" t="s">
        <v>28</v>
      </c>
      <c r="G5" s="12" t="s">
        <v>29</v>
      </c>
      <c r="H5" s="12"/>
      <c r="I5" s="16" t="s">
        <v>30</v>
      </c>
    </row>
    <row r="6" spans="2:16" ht="19.5" thickBot="1" x14ac:dyDescent="0.35">
      <c r="B6" s="49" t="s">
        <v>60</v>
      </c>
      <c r="C6" s="89"/>
      <c r="D6" s="89"/>
      <c r="E6" s="50">
        <v>35</v>
      </c>
      <c r="F6" s="77">
        <v>44104</v>
      </c>
      <c r="G6" s="50">
        <v>34.5</v>
      </c>
      <c r="H6" s="50"/>
      <c r="I6" s="50">
        <f>ROUNDUP(G6,0)</f>
        <v>35</v>
      </c>
      <c r="J6" s="129"/>
      <c r="L6" s="10" t="s">
        <v>42</v>
      </c>
      <c r="M6" s="31">
        <v>5</v>
      </c>
    </row>
    <row r="7" spans="2:16" ht="19.5" thickBot="1" x14ac:dyDescent="0.35">
      <c r="B7" s="49" t="str">
        <f>CONCATENATE("Compost Amendment 4 cu yd/1000ft Need ",ROUNDUP(4*(M4)/1000,0)," cubic yards")</f>
        <v>Compost Amendment 4 cu yd/1000ft Need 3 cubic yards</v>
      </c>
      <c r="C7" s="75"/>
      <c r="D7" s="75"/>
      <c r="E7" s="50">
        <v>242</v>
      </c>
      <c r="F7" s="51"/>
      <c r="G7" s="50">
        <v>241.38</v>
      </c>
      <c r="H7" s="50"/>
      <c r="I7" s="50">
        <f>ROUNDUP(G7,0)</f>
        <v>242</v>
      </c>
      <c r="J7" s="129"/>
      <c r="L7" s="32" t="s">
        <v>41</v>
      </c>
      <c r="M7" s="31">
        <v>4</v>
      </c>
    </row>
    <row r="8" spans="2:16" x14ac:dyDescent="0.25">
      <c r="B8" s="55" t="s">
        <v>115</v>
      </c>
      <c r="C8" s="75"/>
      <c r="D8" s="75"/>
      <c r="E8" s="50">
        <v>106</v>
      </c>
      <c r="F8" s="49"/>
      <c r="G8" s="50">
        <v>106</v>
      </c>
      <c r="H8" s="49"/>
      <c r="I8" s="50">
        <f t="shared" ref="I8:I96" si="0">ROUNDUP(G8,0)</f>
        <v>106</v>
      </c>
      <c r="J8" s="129"/>
    </row>
    <row r="9" spans="2:16" ht="15.75" x14ac:dyDescent="0.25">
      <c r="B9" s="55" t="s">
        <v>117</v>
      </c>
      <c r="C9" s="75"/>
      <c r="D9" s="75"/>
      <c r="E9" s="50">
        <v>31</v>
      </c>
      <c r="F9" s="49"/>
      <c r="G9" s="50">
        <v>31</v>
      </c>
      <c r="H9" s="49"/>
      <c r="I9" s="50">
        <f t="shared" si="0"/>
        <v>31</v>
      </c>
      <c r="J9" s="129"/>
      <c r="L9" s="32" t="s">
        <v>43</v>
      </c>
      <c r="M9" s="33" t="s">
        <v>44</v>
      </c>
      <c r="N9" s="27" t="s">
        <v>47</v>
      </c>
      <c r="O9" s="33" t="s">
        <v>48</v>
      </c>
    </row>
    <row r="10" spans="2:16" x14ac:dyDescent="0.25">
      <c r="B10" s="55" t="s">
        <v>131</v>
      </c>
      <c r="C10" s="75"/>
      <c r="D10" s="75"/>
      <c r="E10" s="50">
        <v>54</v>
      </c>
      <c r="F10" s="49"/>
      <c r="G10" s="50">
        <f>49.95*1.08</f>
        <v>53.946000000000005</v>
      </c>
      <c r="H10" s="49"/>
      <c r="I10" s="50">
        <f t="shared" si="0"/>
        <v>54</v>
      </c>
      <c r="J10" s="129"/>
      <c r="L10" s="32" t="s">
        <v>45</v>
      </c>
      <c r="M10" s="10">
        <v>200</v>
      </c>
    </row>
    <row r="11" spans="2:16" ht="18.75" x14ac:dyDescent="0.3">
      <c r="B11" s="68" t="s">
        <v>215</v>
      </c>
      <c r="C11" s="83" t="s">
        <v>216</v>
      </c>
      <c r="D11" s="83"/>
      <c r="E11" s="69">
        <v>4</v>
      </c>
      <c r="F11" s="84">
        <v>44004</v>
      </c>
      <c r="G11" s="69">
        <v>3.9528000000000003</v>
      </c>
      <c r="H11" s="68"/>
      <c r="I11" s="69">
        <f t="shared" si="0"/>
        <v>4</v>
      </c>
      <c r="J11" s="129"/>
      <c r="L11" s="32" t="s">
        <v>46</v>
      </c>
      <c r="N11" s="10">
        <v>116</v>
      </c>
    </row>
    <row r="12" spans="2:16" ht="18.75" x14ac:dyDescent="0.3">
      <c r="B12" s="68" t="s">
        <v>217</v>
      </c>
      <c r="C12" s="83" t="s">
        <v>218</v>
      </c>
      <c r="D12" s="83"/>
      <c r="E12" s="69">
        <v>4</v>
      </c>
      <c r="F12" s="84">
        <v>44004</v>
      </c>
      <c r="G12" s="69">
        <v>3.2184000000000004</v>
      </c>
      <c r="H12" s="68"/>
      <c r="I12" s="69">
        <f t="shared" si="0"/>
        <v>4</v>
      </c>
      <c r="J12" s="129"/>
      <c r="L12" s="32" t="s">
        <v>147</v>
      </c>
      <c r="N12" s="10">
        <v>130</v>
      </c>
    </row>
    <row r="13" spans="2:16" ht="18" customHeight="1" x14ac:dyDescent="0.3">
      <c r="B13" s="68" t="s">
        <v>219</v>
      </c>
      <c r="C13" s="83" t="s">
        <v>220</v>
      </c>
      <c r="D13" s="83"/>
      <c r="E13" s="69">
        <v>4</v>
      </c>
      <c r="F13" s="84">
        <v>44004</v>
      </c>
      <c r="G13" s="69">
        <v>3.9528000000000003</v>
      </c>
      <c r="H13" s="68"/>
      <c r="I13" s="69">
        <f t="shared" si="0"/>
        <v>4</v>
      </c>
      <c r="J13" s="129"/>
      <c r="L13" s="32" t="s">
        <v>49</v>
      </c>
      <c r="N13" s="10">
        <f>23-O13</f>
        <v>23</v>
      </c>
    </row>
    <row r="14" spans="2:16" ht="17.25" customHeight="1" x14ac:dyDescent="0.3">
      <c r="B14" s="68" t="s">
        <v>221</v>
      </c>
      <c r="C14" s="83" t="s">
        <v>222</v>
      </c>
      <c r="D14" s="83"/>
      <c r="E14" s="69">
        <v>6</v>
      </c>
      <c r="F14" s="84">
        <v>44004</v>
      </c>
      <c r="G14" s="69">
        <v>5.5944000000000003</v>
      </c>
      <c r="H14" s="68"/>
      <c r="I14" s="69">
        <f t="shared" si="0"/>
        <v>6</v>
      </c>
      <c r="J14" s="129"/>
      <c r="L14" s="32" t="s">
        <v>50</v>
      </c>
      <c r="N14" s="10">
        <f>55-O14</f>
        <v>55</v>
      </c>
    </row>
    <row r="15" spans="2:16" ht="17.25" customHeight="1" x14ac:dyDescent="0.3">
      <c r="B15" s="68" t="s">
        <v>223</v>
      </c>
      <c r="C15" s="83" t="s">
        <v>224</v>
      </c>
      <c r="D15" s="83"/>
      <c r="E15" s="69">
        <v>34</v>
      </c>
      <c r="F15" s="84">
        <v>44004</v>
      </c>
      <c r="G15" s="69">
        <v>33.048000000000002</v>
      </c>
      <c r="H15" s="68"/>
      <c r="I15" s="69">
        <f t="shared" si="0"/>
        <v>34</v>
      </c>
      <c r="J15" s="129"/>
      <c r="L15" s="32" t="s">
        <v>51</v>
      </c>
      <c r="N15" s="10">
        <v>69</v>
      </c>
    </row>
    <row r="16" spans="2:16" ht="15.75" customHeight="1" x14ac:dyDescent="0.3">
      <c r="B16" s="68" t="s">
        <v>225</v>
      </c>
      <c r="C16" s="83" t="s">
        <v>226</v>
      </c>
      <c r="D16" s="83"/>
      <c r="E16" s="69">
        <v>9</v>
      </c>
      <c r="F16" s="84">
        <v>44004</v>
      </c>
      <c r="G16" s="69">
        <v>8.6075999999999997</v>
      </c>
      <c r="H16" s="68"/>
      <c r="I16" s="69">
        <f t="shared" si="0"/>
        <v>9</v>
      </c>
      <c r="J16" s="129"/>
      <c r="L16" s="32" t="s">
        <v>52</v>
      </c>
      <c r="N16" s="10">
        <v>71</v>
      </c>
    </row>
    <row r="17" spans="2:15" ht="15.75" customHeight="1" x14ac:dyDescent="0.3">
      <c r="B17" s="68" t="s">
        <v>227</v>
      </c>
      <c r="C17" s="83" t="s">
        <v>228</v>
      </c>
      <c r="D17" s="83"/>
      <c r="E17" s="69">
        <v>12</v>
      </c>
      <c r="F17" s="84">
        <v>44004</v>
      </c>
      <c r="G17" s="69">
        <v>11.858400000000001</v>
      </c>
      <c r="H17" s="68"/>
      <c r="I17" s="69">
        <f t="shared" si="0"/>
        <v>12</v>
      </c>
      <c r="J17" s="129"/>
      <c r="L17" s="32" t="s">
        <v>53</v>
      </c>
      <c r="N17" s="10">
        <v>35</v>
      </c>
    </row>
    <row r="18" spans="2:15" ht="15.75" customHeight="1" x14ac:dyDescent="0.3">
      <c r="B18" s="68" t="s">
        <v>229</v>
      </c>
      <c r="C18" s="83" t="s">
        <v>230</v>
      </c>
      <c r="D18" s="83"/>
      <c r="E18" s="69">
        <v>12</v>
      </c>
      <c r="F18" s="84">
        <v>44004</v>
      </c>
      <c r="G18" s="69">
        <v>11.858400000000001</v>
      </c>
      <c r="H18" s="68"/>
      <c r="I18" s="69">
        <f t="shared" si="0"/>
        <v>12</v>
      </c>
      <c r="J18" s="129"/>
      <c r="L18" s="32" t="s">
        <v>54</v>
      </c>
      <c r="N18" s="10">
        <v>46</v>
      </c>
    </row>
    <row r="19" spans="2:15" ht="15.75" customHeight="1" x14ac:dyDescent="0.3">
      <c r="B19" s="68" t="s">
        <v>231</v>
      </c>
      <c r="C19" s="83" t="s">
        <v>232</v>
      </c>
      <c r="D19" s="83"/>
      <c r="E19" s="69">
        <v>12</v>
      </c>
      <c r="F19" s="84">
        <v>44004</v>
      </c>
      <c r="G19" s="69">
        <v>11.858400000000001</v>
      </c>
      <c r="H19" s="68"/>
      <c r="I19" s="69">
        <f t="shared" si="0"/>
        <v>12</v>
      </c>
      <c r="J19" s="129"/>
      <c r="L19" s="32" t="s">
        <v>55</v>
      </c>
      <c r="N19" s="10">
        <v>32</v>
      </c>
    </row>
    <row r="20" spans="2:15" ht="19.5" thickBot="1" x14ac:dyDescent="0.35">
      <c r="B20" s="68" t="s">
        <v>235</v>
      </c>
      <c r="C20" s="85" t="s">
        <v>148</v>
      </c>
      <c r="D20" s="98"/>
      <c r="E20" s="69">
        <v>21</v>
      </c>
      <c r="F20" s="84">
        <v>44004</v>
      </c>
      <c r="G20" s="69">
        <v>20.84</v>
      </c>
      <c r="H20" s="68"/>
      <c r="I20" s="69">
        <f t="shared" si="0"/>
        <v>21</v>
      </c>
      <c r="J20" s="129"/>
      <c r="L20" s="32"/>
    </row>
    <row r="21" spans="2:15" ht="19.5" thickBot="1" x14ac:dyDescent="0.35">
      <c r="B21" s="68" t="s">
        <v>247</v>
      </c>
      <c r="C21" s="85" t="s">
        <v>248</v>
      </c>
      <c r="D21" s="98"/>
      <c r="E21" s="69">
        <v>6</v>
      </c>
      <c r="F21" s="84">
        <v>43987</v>
      </c>
      <c r="G21" s="69">
        <v>5.7671999999999999</v>
      </c>
      <c r="H21" s="68"/>
      <c r="I21" s="69">
        <f t="shared" si="0"/>
        <v>6</v>
      </c>
      <c r="J21" s="129"/>
      <c r="L21" s="32" t="s">
        <v>56</v>
      </c>
      <c r="M21" s="34">
        <f>SUM(M10:M20)</f>
        <v>200</v>
      </c>
      <c r="N21" s="34">
        <f>SUM(N10:N20)</f>
        <v>577</v>
      </c>
      <c r="O21" s="34">
        <f>SUM(O10:O20)</f>
        <v>0</v>
      </c>
    </row>
    <row r="22" spans="2:15" ht="18.75" x14ac:dyDescent="0.3">
      <c r="B22" s="68" t="s">
        <v>249</v>
      </c>
      <c r="C22" s="85" t="s">
        <v>250</v>
      </c>
      <c r="D22" s="98"/>
      <c r="E22" s="69">
        <v>3</v>
      </c>
      <c r="F22" s="84">
        <v>43988</v>
      </c>
      <c r="G22" s="69">
        <v>2.4624000000000001</v>
      </c>
      <c r="H22" s="68"/>
      <c r="I22" s="69">
        <f t="shared" si="0"/>
        <v>3</v>
      </c>
      <c r="J22" s="129"/>
    </row>
    <row r="23" spans="2:15" ht="18.75" x14ac:dyDescent="0.3">
      <c r="B23" s="68" t="s">
        <v>251</v>
      </c>
      <c r="C23" s="85" t="s">
        <v>252</v>
      </c>
      <c r="D23" s="98"/>
      <c r="E23" s="69">
        <v>2</v>
      </c>
      <c r="F23" s="84">
        <v>43989</v>
      </c>
      <c r="G23" s="69">
        <v>1.3824000000000001</v>
      </c>
      <c r="H23" s="68"/>
      <c r="I23" s="69">
        <f t="shared" si="0"/>
        <v>2</v>
      </c>
      <c r="J23" s="129"/>
      <c r="N23" s="10">
        <f>M21+N21</f>
        <v>777</v>
      </c>
    </row>
    <row r="24" spans="2:15" ht="18.75" x14ac:dyDescent="0.3">
      <c r="B24" s="68" t="s">
        <v>253</v>
      </c>
      <c r="C24" s="85" t="s">
        <v>254</v>
      </c>
      <c r="D24" s="98"/>
      <c r="E24" s="69">
        <v>7</v>
      </c>
      <c r="F24" s="84">
        <v>43990</v>
      </c>
      <c r="G24" s="69">
        <v>6.6528000000000009</v>
      </c>
      <c r="H24" s="68"/>
      <c r="I24" s="69">
        <f t="shared" si="0"/>
        <v>7</v>
      </c>
      <c r="J24" s="129"/>
      <c r="L24" s="10" t="s">
        <v>57</v>
      </c>
    </row>
    <row r="25" spans="2:15" ht="19.5" thickBot="1" x14ac:dyDescent="0.35">
      <c r="B25" s="68" t="s">
        <v>255</v>
      </c>
      <c r="C25" s="85" t="s">
        <v>256</v>
      </c>
      <c r="D25" s="98"/>
      <c r="E25" s="69">
        <v>3</v>
      </c>
      <c r="F25" s="84">
        <v>43991</v>
      </c>
      <c r="G25" s="69">
        <v>2.1168</v>
      </c>
      <c r="H25" s="68"/>
      <c r="I25" s="69">
        <f t="shared" si="0"/>
        <v>3</v>
      </c>
      <c r="J25" s="129"/>
    </row>
    <row r="26" spans="2:15" ht="19.5" thickBot="1" x14ac:dyDescent="0.35">
      <c r="B26" s="68" t="s">
        <v>257</v>
      </c>
      <c r="C26" s="85" t="s">
        <v>220</v>
      </c>
      <c r="D26" s="98"/>
      <c r="E26" s="69">
        <v>6</v>
      </c>
      <c r="F26" s="84">
        <v>43992</v>
      </c>
      <c r="G26" s="69">
        <v>5.2704000000000004</v>
      </c>
      <c r="H26" s="68"/>
      <c r="I26" s="69">
        <f t="shared" si="0"/>
        <v>6</v>
      </c>
      <c r="J26" s="129"/>
      <c r="L26" s="10" t="s">
        <v>58</v>
      </c>
      <c r="M26" s="31">
        <v>2</v>
      </c>
    </row>
    <row r="27" spans="2:15" ht="19.5" thickBot="1" x14ac:dyDescent="0.35">
      <c r="B27" s="68" t="s">
        <v>258</v>
      </c>
      <c r="C27" s="85" t="s">
        <v>259</v>
      </c>
      <c r="D27" s="98"/>
      <c r="E27" s="69">
        <v>3</v>
      </c>
      <c r="F27" s="84">
        <v>43993</v>
      </c>
      <c r="G27" s="69">
        <v>2.4624000000000001</v>
      </c>
      <c r="H27" s="68"/>
      <c r="I27" s="69">
        <f t="shared" si="0"/>
        <v>3</v>
      </c>
      <c r="J27" s="129"/>
      <c r="L27" s="10" t="s">
        <v>59</v>
      </c>
      <c r="M27" s="31">
        <v>19</v>
      </c>
    </row>
    <row r="28" spans="2:15" ht="18.75" x14ac:dyDescent="0.3">
      <c r="B28" s="68" t="s">
        <v>260</v>
      </c>
      <c r="C28" s="85" t="s">
        <v>261</v>
      </c>
      <c r="D28" s="98"/>
      <c r="E28" s="69">
        <v>2</v>
      </c>
      <c r="F28" s="84">
        <v>43994</v>
      </c>
      <c r="G28" s="69">
        <v>1.2312000000000001</v>
      </c>
      <c r="H28" s="68"/>
      <c r="I28" s="69">
        <f t="shared" si="0"/>
        <v>2</v>
      </c>
      <c r="J28" s="129"/>
    </row>
    <row r="29" spans="2:15" ht="18.75" x14ac:dyDescent="0.3">
      <c r="B29" s="68" t="s">
        <v>262</v>
      </c>
      <c r="C29" s="85" t="s">
        <v>263</v>
      </c>
      <c r="D29" s="98"/>
      <c r="E29" s="69">
        <v>50</v>
      </c>
      <c r="F29" s="84">
        <v>43995</v>
      </c>
      <c r="G29" s="69">
        <v>49.572000000000003</v>
      </c>
      <c r="H29" s="68"/>
      <c r="I29" s="69">
        <f t="shared" si="0"/>
        <v>50</v>
      </c>
      <c r="J29" s="129"/>
    </row>
    <row r="30" spans="2:15" ht="18.75" x14ac:dyDescent="0.3">
      <c r="B30" s="68" t="s">
        <v>264</v>
      </c>
      <c r="C30" s="85" t="s">
        <v>265</v>
      </c>
      <c r="D30" s="98"/>
      <c r="E30" s="69">
        <v>5</v>
      </c>
      <c r="F30" s="84">
        <v>43996</v>
      </c>
      <c r="G30" s="69">
        <v>4.2768000000000006</v>
      </c>
      <c r="H30" s="68"/>
      <c r="I30" s="69">
        <f t="shared" si="0"/>
        <v>5</v>
      </c>
      <c r="J30" s="129"/>
    </row>
    <row r="31" spans="2:15" ht="18.75" x14ac:dyDescent="0.3">
      <c r="B31" s="68" t="s">
        <v>266</v>
      </c>
      <c r="C31" s="85" t="s">
        <v>267</v>
      </c>
      <c r="D31" s="98"/>
      <c r="E31" s="69">
        <v>13</v>
      </c>
      <c r="F31" s="84">
        <v>43997</v>
      </c>
      <c r="G31" s="69">
        <v>12.582000000000001</v>
      </c>
      <c r="H31" s="68"/>
      <c r="I31" s="69">
        <f t="shared" si="0"/>
        <v>13</v>
      </c>
      <c r="J31" s="129"/>
    </row>
    <row r="32" spans="2:15" ht="18.75" x14ac:dyDescent="0.3">
      <c r="B32" s="68" t="s">
        <v>268</v>
      </c>
      <c r="C32" s="85" t="s">
        <v>269</v>
      </c>
      <c r="D32" s="98"/>
      <c r="E32" s="69">
        <v>11</v>
      </c>
      <c r="F32" s="84">
        <v>43998</v>
      </c>
      <c r="G32" s="69">
        <v>10.551600000000001</v>
      </c>
      <c r="H32" s="68"/>
      <c r="I32" s="69">
        <f t="shared" si="0"/>
        <v>11</v>
      </c>
      <c r="J32" s="129"/>
    </row>
    <row r="33" spans="1:13" ht="18.75" x14ac:dyDescent="0.3">
      <c r="B33" s="68" t="s">
        <v>270</v>
      </c>
      <c r="C33" s="85" t="s">
        <v>271</v>
      </c>
      <c r="D33" s="98"/>
      <c r="E33" s="69">
        <v>11</v>
      </c>
      <c r="F33" s="84">
        <v>43999</v>
      </c>
      <c r="G33" s="69">
        <v>10.778400000000001</v>
      </c>
      <c r="H33" s="68"/>
      <c r="I33" s="69">
        <f t="shared" si="0"/>
        <v>11</v>
      </c>
      <c r="J33" s="129"/>
    </row>
    <row r="34" spans="1:13" s="80" customFormat="1" ht="18.75" x14ac:dyDescent="0.3">
      <c r="B34" s="81" t="s">
        <v>281</v>
      </c>
      <c r="C34" s="86"/>
      <c r="D34" s="86"/>
      <c r="E34" s="82">
        <v>-190</v>
      </c>
      <c r="F34" s="87"/>
      <c r="G34" s="82">
        <v>-189.12</v>
      </c>
      <c r="H34" s="81"/>
      <c r="I34" s="82">
        <f t="shared" si="0"/>
        <v>-190</v>
      </c>
      <c r="J34" s="129"/>
    </row>
    <row r="35" spans="1:13" s="80" customFormat="1" ht="18.75" x14ac:dyDescent="0.3">
      <c r="B35" s="49" t="s">
        <v>282</v>
      </c>
      <c r="C35" s="52" t="s">
        <v>283</v>
      </c>
      <c r="D35" s="52"/>
      <c r="E35" s="50">
        <v>15</v>
      </c>
      <c r="F35" s="77">
        <v>44014</v>
      </c>
      <c r="G35" s="50">
        <v>14.02</v>
      </c>
      <c r="H35" s="49"/>
      <c r="I35" s="50">
        <f t="shared" si="0"/>
        <v>15</v>
      </c>
      <c r="J35" s="129"/>
    </row>
    <row r="36" spans="1:13" s="80" customFormat="1" ht="18.75" x14ac:dyDescent="0.3">
      <c r="B36" s="49" t="s">
        <v>284</v>
      </c>
      <c r="C36" s="52" t="s">
        <v>285</v>
      </c>
      <c r="D36" s="52"/>
      <c r="E36" s="50">
        <v>39</v>
      </c>
      <c r="F36" s="77">
        <v>44014</v>
      </c>
      <c r="G36" s="50">
        <v>38.229999999999997</v>
      </c>
      <c r="H36" s="49"/>
      <c r="I36" s="50">
        <f t="shared" si="0"/>
        <v>39</v>
      </c>
      <c r="J36" s="129"/>
    </row>
    <row r="37" spans="1:13" s="80" customFormat="1" ht="18.75" x14ac:dyDescent="0.3">
      <c r="B37" s="49" t="s">
        <v>286</v>
      </c>
      <c r="C37" s="52" t="s">
        <v>287</v>
      </c>
      <c r="D37" s="52"/>
      <c r="E37" s="50">
        <v>31</v>
      </c>
      <c r="F37" s="77">
        <v>44014</v>
      </c>
      <c r="G37" s="50">
        <v>30.46</v>
      </c>
      <c r="H37" s="49"/>
      <c r="I37" s="50">
        <f t="shared" si="0"/>
        <v>31</v>
      </c>
      <c r="J37" s="129"/>
    </row>
    <row r="38" spans="1:13" s="80" customFormat="1" ht="15.75" customHeight="1" x14ac:dyDescent="0.3">
      <c r="A38" s="90"/>
      <c r="B38" s="89" t="s">
        <v>288</v>
      </c>
      <c r="C38" s="52"/>
      <c r="D38" s="52"/>
      <c r="E38" s="50">
        <v>92</v>
      </c>
      <c r="F38" s="77">
        <v>44014</v>
      </c>
      <c r="G38" s="50">
        <v>91.51</v>
      </c>
      <c r="H38" s="49"/>
      <c r="I38" s="50">
        <f t="shared" si="0"/>
        <v>92</v>
      </c>
      <c r="J38" s="129"/>
    </row>
    <row r="39" spans="1:13" ht="18.75" x14ac:dyDescent="0.3">
      <c r="A39" s="90"/>
      <c r="B39" s="49" t="s">
        <v>289</v>
      </c>
      <c r="C39" s="71" t="s">
        <v>290</v>
      </c>
      <c r="D39" s="71"/>
      <c r="E39" s="50">
        <v>135</v>
      </c>
      <c r="F39" s="77">
        <v>44014</v>
      </c>
      <c r="G39" s="50">
        <v>134.84</v>
      </c>
      <c r="H39" s="49"/>
      <c r="I39" s="50">
        <f t="shared" si="0"/>
        <v>135</v>
      </c>
      <c r="J39" s="129"/>
    </row>
    <row r="40" spans="1:13" ht="18.75" x14ac:dyDescent="0.3">
      <c r="A40" s="90"/>
      <c r="B40" s="89" t="s">
        <v>291</v>
      </c>
      <c r="C40" s="52"/>
      <c r="D40" s="52"/>
      <c r="E40" s="50">
        <v>15</v>
      </c>
      <c r="F40" s="77">
        <v>44014</v>
      </c>
      <c r="G40" s="50">
        <v>14.52</v>
      </c>
      <c r="H40" s="49"/>
      <c r="I40" s="50">
        <f t="shared" si="0"/>
        <v>15</v>
      </c>
      <c r="J40" s="129"/>
      <c r="L40" s="10">
        <f>15*3.73</f>
        <v>55.95</v>
      </c>
    </row>
    <row r="41" spans="1:13" ht="18.75" x14ac:dyDescent="0.3">
      <c r="A41" s="90"/>
      <c r="B41" s="89" t="s">
        <v>293</v>
      </c>
      <c r="C41" s="52" t="s">
        <v>292</v>
      </c>
      <c r="D41" s="52"/>
      <c r="E41" s="50">
        <v>18</v>
      </c>
      <c r="F41" s="77">
        <v>44014</v>
      </c>
      <c r="G41" s="50">
        <v>17.64</v>
      </c>
      <c r="H41" s="49"/>
      <c r="I41" s="50">
        <f t="shared" si="0"/>
        <v>18</v>
      </c>
      <c r="J41" s="129"/>
    </row>
    <row r="42" spans="1:13" ht="18.75" x14ac:dyDescent="0.3">
      <c r="A42" s="80"/>
      <c r="B42" s="88" t="s">
        <v>294</v>
      </c>
      <c r="C42" s="86"/>
      <c r="D42" s="86"/>
      <c r="E42" s="82">
        <v>-6</v>
      </c>
      <c r="F42" s="87">
        <v>44014</v>
      </c>
      <c r="G42" s="82">
        <v>-5.59</v>
      </c>
      <c r="H42" s="81"/>
      <c r="I42" s="82">
        <f t="shared" si="0"/>
        <v>-6</v>
      </c>
      <c r="J42" s="129"/>
      <c r="L42" s="10">
        <v>3.73</v>
      </c>
    </row>
    <row r="43" spans="1:13" s="90" customFormat="1" ht="18.75" x14ac:dyDescent="0.3">
      <c r="B43" s="89" t="s">
        <v>295</v>
      </c>
      <c r="C43" s="52"/>
      <c r="D43" s="52"/>
      <c r="E43" s="50">
        <v>22</v>
      </c>
      <c r="F43" s="77">
        <v>44015</v>
      </c>
      <c r="G43" s="50">
        <v>21.45</v>
      </c>
      <c r="H43" s="49"/>
      <c r="I43" s="50">
        <f t="shared" si="0"/>
        <v>22</v>
      </c>
      <c r="J43" s="129"/>
    </row>
    <row r="44" spans="1:13" s="90" customFormat="1" ht="18.75" x14ac:dyDescent="0.3">
      <c r="B44" s="49" t="s">
        <v>296</v>
      </c>
      <c r="C44" s="52" t="s">
        <v>297</v>
      </c>
      <c r="D44" s="52"/>
      <c r="E44" s="50">
        <v>8</v>
      </c>
      <c r="F44" s="77">
        <v>44015</v>
      </c>
      <c r="G44" s="50">
        <v>7.05</v>
      </c>
      <c r="H44" s="49"/>
      <c r="I44" s="50">
        <f t="shared" si="0"/>
        <v>8</v>
      </c>
      <c r="J44" s="129"/>
    </row>
    <row r="45" spans="1:13" s="90" customFormat="1" ht="18.75" x14ac:dyDescent="0.3">
      <c r="B45" s="89" t="s">
        <v>298</v>
      </c>
      <c r="C45" s="52"/>
      <c r="D45" s="52"/>
      <c r="E45" s="50">
        <v>9</v>
      </c>
      <c r="F45" s="77">
        <v>44015</v>
      </c>
      <c r="G45" s="50">
        <v>8.0399999999999991</v>
      </c>
      <c r="H45" s="49"/>
      <c r="I45" s="50">
        <f t="shared" si="0"/>
        <v>9</v>
      </c>
      <c r="J45" s="129"/>
    </row>
    <row r="46" spans="1:13" ht="18.75" x14ac:dyDescent="0.3">
      <c r="B46" s="89" t="s">
        <v>300</v>
      </c>
      <c r="C46" s="52" t="s">
        <v>299</v>
      </c>
      <c r="D46" s="52"/>
      <c r="E46" s="50">
        <v>9</v>
      </c>
      <c r="F46" s="77">
        <v>44015</v>
      </c>
      <c r="G46" s="50">
        <v>8.61</v>
      </c>
      <c r="H46" s="49"/>
      <c r="I46" s="50">
        <f t="shared" si="0"/>
        <v>9</v>
      </c>
      <c r="J46" s="129"/>
      <c r="L46" s="10">
        <f>L42*0.85</f>
        <v>3.1705000000000001</v>
      </c>
      <c r="M46" s="10">
        <f>L46*15</f>
        <v>47.557500000000005</v>
      </c>
    </row>
    <row r="47" spans="1:13" ht="13.5" customHeight="1" x14ac:dyDescent="0.3">
      <c r="B47" s="89" t="s">
        <v>302</v>
      </c>
      <c r="C47" s="52" t="s">
        <v>301</v>
      </c>
      <c r="D47" s="52"/>
      <c r="E47" s="50">
        <v>60</v>
      </c>
      <c r="F47" s="77">
        <v>44015</v>
      </c>
      <c r="G47" s="50">
        <v>59.54</v>
      </c>
      <c r="H47" s="49"/>
      <c r="I47" s="50">
        <f t="shared" si="0"/>
        <v>60</v>
      </c>
      <c r="J47" s="129"/>
    </row>
    <row r="48" spans="1:13" s="90" customFormat="1" ht="13.5" customHeight="1" x14ac:dyDescent="0.3">
      <c r="B48" s="89" t="s">
        <v>303</v>
      </c>
      <c r="C48" s="52" t="s">
        <v>287</v>
      </c>
      <c r="D48" s="52"/>
      <c r="E48" s="50">
        <v>61</v>
      </c>
      <c r="F48" s="77">
        <v>44016</v>
      </c>
      <c r="G48" s="50">
        <v>60.91</v>
      </c>
      <c r="H48" s="49"/>
      <c r="I48" s="50">
        <f t="shared" si="0"/>
        <v>61</v>
      </c>
      <c r="J48" s="129"/>
    </row>
    <row r="49" spans="2:10" s="92" customFormat="1" ht="13.5" customHeight="1" x14ac:dyDescent="0.3">
      <c r="B49" s="49" t="s">
        <v>308</v>
      </c>
      <c r="C49" s="52" t="s">
        <v>309</v>
      </c>
      <c r="D49" s="52"/>
      <c r="E49" s="50">
        <v>81</v>
      </c>
      <c r="F49" s="77">
        <v>44016</v>
      </c>
      <c r="G49" s="50">
        <v>80.900000000000006</v>
      </c>
      <c r="H49" s="49"/>
      <c r="I49" s="50">
        <f t="shared" si="0"/>
        <v>81</v>
      </c>
      <c r="J49" s="129"/>
    </row>
    <row r="50" spans="2:10" s="92" customFormat="1" ht="13.5" customHeight="1" x14ac:dyDescent="0.3">
      <c r="B50" s="49" t="s">
        <v>310</v>
      </c>
      <c r="C50" s="52" t="s">
        <v>149</v>
      </c>
      <c r="D50" s="52"/>
      <c r="E50" s="50">
        <v>9</v>
      </c>
      <c r="F50" s="77">
        <v>44016</v>
      </c>
      <c r="G50" s="50">
        <v>8.61</v>
      </c>
      <c r="H50" s="49"/>
      <c r="I50" s="50">
        <f t="shared" si="0"/>
        <v>9</v>
      </c>
      <c r="J50" s="129"/>
    </row>
    <row r="51" spans="2:10" s="92" customFormat="1" ht="13.5" customHeight="1" x14ac:dyDescent="0.3">
      <c r="B51" s="91" t="s">
        <v>311</v>
      </c>
      <c r="C51" s="52"/>
      <c r="D51" s="52"/>
      <c r="E51" s="50">
        <v>35</v>
      </c>
      <c r="F51" s="77">
        <v>44016</v>
      </c>
      <c r="G51" s="50">
        <v>34.96</v>
      </c>
      <c r="H51" s="49"/>
      <c r="I51" s="50">
        <f t="shared" si="0"/>
        <v>35</v>
      </c>
      <c r="J51" s="129"/>
    </row>
    <row r="52" spans="2:10" s="95" customFormat="1" ht="13.5" customHeight="1" x14ac:dyDescent="0.3">
      <c r="B52" s="49" t="s">
        <v>321</v>
      </c>
      <c r="C52" s="52" t="s">
        <v>322</v>
      </c>
      <c r="D52" s="52"/>
      <c r="E52" s="50">
        <v>337</v>
      </c>
      <c r="F52" s="77">
        <v>44018</v>
      </c>
      <c r="G52" s="50">
        <v>336.71</v>
      </c>
      <c r="H52" s="49"/>
      <c r="I52" s="50">
        <f t="shared" si="0"/>
        <v>337</v>
      </c>
      <c r="J52" s="129"/>
    </row>
    <row r="53" spans="2:10" s="96" customFormat="1" ht="13.5" customHeight="1" x14ac:dyDescent="0.3">
      <c r="B53" s="49" t="s">
        <v>324</v>
      </c>
      <c r="C53" s="52" t="s">
        <v>323</v>
      </c>
      <c r="D53" s="52"/>
      <c r="E53" s="50">
        <v>347</v>
      </c>
      <c r="F53" s="77">
        <v>44019</v>
      </c>
      <c r="G53" s="50">
        <v>346.4</v>
      </c>
      <c r="H53" s="49"/>
      <c r="I53" s="50">
        <f t="shared" si="0"/>
        <v>347</v>
      </c>
      <c r="J53" s="129"/>
    </row>
    <row r="54" spans="2:10" ht="18.75" x14ac:dyDescent="0.3">
      <c r="B54" s="49" t="s">
        <v>329</v>
      </c>
      <c r="C54" s="52" t="s">
        <v>316</v>
      </c>
      <c r="D54" s="52"/>
      <c r="E54" s="50">
        <v>189</v>
      </c>
      <c r="F54" s="77">
        <v>44022</v>
      </c>
      <c r="G54" s="50">
        <v>188.6</v>
      </c>
      <c r="H54" s="49"/>
      <c r="I54" s="50">
        <f t="shared" si="0"/>
        <v>189</v>
      </c>
      <c r="J54" s="129"/>
    </row>
    <row r="55" spans="2:10" s="110" customFormat="1" ht="18.75" x14ac:dyDescent="0.3">
      <c r="B55" s="49" t="s">
        <v>363</v>
      </c>
      <c r="C55" s="52" t="s">
        <v>364</v>
      </c>
      <c r="D55" s="52"/>
      <c r="E55" s="50">
        <v>71</v>
      </c>
      <c r="F55" s="77">
        <v>44033</v>
      </c>
      <c r="G55" s="50">
        <v>70.180000000000007</v>
      </c>
      <c r="H55" s="49"/>
      <c r="I55" s="50">
        <f t="shared" si="0"/>
        <v>71</v>
      </c>
      <c r="J55" s="129"/>
    </row>
    <row r="56" spans="2:10" s="110" customFormat="1" ht="18.75" x14ac:dyDescent="0.3">
      <c r="B56" s="49" t="s">
        <v>368</v>
      </c>
      <c r="C56" s="71" t="s">
        <v>369</v>
      </c>
      <c r="D56" s="71"/>
      <c r="E56" s="50">
        <v>262</v>
      </c>
      <c r="F56" s="77">
        <v>44036</v>
      </c>
      <c r="G56" s="50">
        <v>261.02999999999997</v>
      </c>
      <c r="H56" s="49"/>
      <c r="I56" s="50">
        <f t="shared" si="0"/>
        <v>262</v>
      </c>
      <c r="J56" s="129"/>
    </row>
    <row r="57" spans="2:10" s="110" customFormat="1" ht="18.75" x14ac:dyDescent="0.3">
      <c r="B57" s="49" t="s">
        <v>372</v>
      </c>
      <c r="C57" s="52" t="s">
        <v>370</v>
      </c>
      <c r="D57" s="52"/>
      <c r="E57" s="50">
        <v>44</v>
      </c>
      <c r="F57" s="77">
        <v>44045</v>
      </c>
      <c r="G57" s="50">
        <v>43.18</v>
      </c>
      <c r="H57" s="49"/>
      <c r="I57" s="50">
        <f t="shared" si="0"/>
        <v>44</v>
      </c>
      <c r="J57" s="129"/>
    </row>
    <row r="58" spans="2:10" s="110" customFormat="1" ht="18.75" x14ac:dyDescent="0.3">
      <c r="B58" s="49" t="s">
        <v>371</v>
      </c>
      <c r="C58" s="52"/>
      <c r="D58" s="52"/>
      <c r="E58" s="50">
        <v>32</v>
      </c>
      <c r="F58" s="77">
        <v>44045</v>
      </c>
      <c r="G58" s="50">
        <v>31.5</v>
      </c>
      <c r="H58" s="49"/>
      <c r="I58" s="50">
        <f t="shared" si="0"/>
        <v>32</v>
      </c>
      <c r="J58" s="129"/>
    </row>
    <row r="59" spans="2:10" s="112" customFormat="1" ht="18.75" x14ac:dyDescent="0.3">
      <c r="B59" s="49" t="s">
        <v>383</v>
      </c>
      <c r="C59" s="52" t="s">
        <v>384</v>
      </c>
      <c r="D59" s="52"/>
      <c r="E59" s="50">
        <v>10</v>
      </c>
      <c r="F59" s="77">
        <v>44058</v>
      </c>
      <c r="G59" s="50">
        <v>9.2200000000000006</v>
      </c>
      <c r="H59" s="49"/>
      <c r="I59" s="50">
        <f t="shared" si="0"/>
        <v>10</v>
      </c>
      <c r="J59" s="129"/>
    </row>
    <row r="60" spans="2:10" s="112" customFormat="1" ht="18.75" x14ac:dyDescent="0.3">
      <c r="B60" s="49" t="s">
        <v>385</v>
      </c>
      <c r="C60" s="52" t="s">
        <v>386</v>
      </c>
      <c r="D60" s="52"/>
      <c r="E60" s="50">
        <v>40</v>
      </c>
      <c r="F60" s="77">
        <v>44058</v>
      </c>
      <c r="G60" s="50">
        <v>39.17</v>
      </c>
      <c r="H60" s="49"/>
      <c r="I60" s="50">
        <f t="shared" si="0"/>
        <v>40</v>
      </c>
      <c r="J60" s="129"/>
    </row>
    <row r="61" spans="2:10" s="21" customFormat="1" ht="18.75" x14ac:dyDescent="0.3">
      <c r="B61" s="49" t="s">
        <v>415</v>
      </c>
      <c r="C61" s="52" t="s">
        <v>412</v>
      </c>
      <c r="D61" s="52"/>
      <c r="E61" s="50">
        <f>I61</f>
        <v>16</v>
      </c>
      <c r="F61" s="77">
        <v>44092</v>
      </c>
      <c r="G61" s="50">
        <v>16</v>
      </c>
      <c r="H61" s="49"/>
      <c r="I61" s="50">
        <f t="shared" si="0"/>
        <v>16</v>
      </c>
      <c r="J61" s="129"/>
    </row>
    <row r="62" spans="2:10" s="21" customFormat="1" ht="18.75" x14ac:dyDescent="0.3">
      <c r="B62" s="49" t="s">
        <v>413</v>
      </c>
      <c r="C62" s="52" t="s">
        <v>414</v>
      </c>
      <c r="D62" s="52"/>
      <c r="E62" s="50">
        <f t="shared" ref="E62:E68" si="1">I62</f>
        <v>10</v>
      </c>
      <c r="F62" s="77">
        <v>44092</v>
      </c>
      <c r="G62" s="50">
        <v>9.69</v>
      </c>
      <c r="H62" s="49"/>
      <c r="I62" s="50">
        <f t="shared" si="0"/>
        <v>10</v>
      </c>
      <c r="J62" s="129"/>
    </row>
    <row r="63" spans="2:10" s="21" customFormat="1" ht="18.75" x14ac:dyDescent="0.3">
      <c r="B63" s="49" t="s">
        <v>416</v>
      </c>
      <c r="C63" s="52"/>
      <c r="D63" s="52"/>
      <c r="E63" s="50">
        <f t="shared" si="1"/>
        <v>3</v>
      </c>
      <c r="F63" s="77">
        <v>44092</v>
      </c>
      <c r="G63" s="50">
        <v>2.54</v>
      </c>
      <c r="H63" s="49"/>
      <c r="I63" s="50">
        <f t="shared" si="0"/>
        <v>3</v>
      </c>
      <c r="J63" s="129"/>
    </row>
    <row r="64" spans="2:10" s="21" customFormat="1" ht="18.75" x14ac:dyDescent="0.3">
      <c r="B64" s="49" t="s">
        <v>417</v>
      </c>
      <c r="C64" s="52"/>
      <c r="D64" s="52"/>
      <c r="E64" s="50">
        <f t="shared" si="1"/>
        <v>74</v>
      </c>
      <c r="F64" s="77">
        <v>44092</v>
      </c>
      <c r="G64" s="50">
        <v>73.069999999999993</v>
      </c>
      <c r="H64" s="49"/>
      <c r="I64" s="50">
        <f t="shared" si="0"/>
        <v>74</v>
      </c>
      <c r="J64" s="129"/>
    </row>
    <row r="65" spans="2:10" s="21" customFormat="1" ht="18.75" x14ac:dyDescent="0.3">
      <c r="B65" s="49" t="s">
        <v>418</v>
      </c>
      <c r="C65" s="52"/>
      <c r="D65" s="52"/>
      <c r="E65" s="50">
        <f t="shared" si="1"/>
        <v>100</v>
      </c>
      <c r="F65" s="77">
        <v>44094</v>
      </c>
      <c r="G65" s="50">
        <v>99.92</v>
      </c>
      <c r="H65" s="49"/>
      <c r="I65" s="50">
        <f t="shared" si="0"/>
        <v>100</v>
      </c>
      <c r="J65" s="129"/>
    </row>
    <row r="66" spans="2:10" s="21" customFormat="1" ht="18.75" x14ac:dyDescent="0.3">
      <c r="B66" s="49" t="s">
        <v>419</v>
      </c>
      <c r="C66" s="52" t="s">
        <v>420</v>
      </c>
      <c r="D66" s="52"/>
      <c r="E66" s="50">
        <f t="shared" si="1"/>
        <v>21</v>
      </c>
      <c r="F66" s="77">
        <v>44096</v>
      </c>
      <c r="G66" s="50">
        <v>20.99</v>
      </c>
      <c r="H66" s="49"/>
      <c r="I66" s="50">
        <f t="shared" si="0"/>
        <v>21</v>
      </c>
      <c r="J66" s="129"/>
    </row>
    <row r="67" spans="2:10" s="21" customFormat="1" ht="18.75" x14ac:dyDescent="0.3">
      <c r="B67" s="49" t="s">
        <v>421</v>
      </c>
      <c r="C67" s="52" t="s">
        <v>287</v>
      </c>
      <c r="D67" s="52"/>
      <c r="E67" s="50">
        <f t="shared" si="1"/>
        <v>67</v>
      </c>
      <c r="F67" s="77">
        <v>44096</v>
      </c>
      <c r="G67" s="50">
        <v>66.739999999999995</v>
      </c>
      <c r="H67" s="49"/>
      <c r="I67" s="50">
        <f t="shared" si="0"/>
        <v>67</v>
      </c>
      <c r="J67" s="129"/>
    </row>
    <row r="68" spans="2:10" s="21" customFormat="1" ht="18.75" x14ac:dyDescent="0.3">
      <c r="B68" s="49" t="s">
        <v>422</v>
      </c>
      <c r="C68" s="52" t="s">
        <v>149</v>
      </c>
      <c r="D68" s="52"/>
      <c r="E68" s="50">
        <f t="shared" si="1"/>
        <v>9</v>
      </c>
      <c r="F68" s="77">
        <v>44096</v>
      </c>
      <c r="G68" s="50">
        <v>8.6</v>
      </c>
      <c r="H68" s="49"/>
      <c r="I68" s="50">
        <f t="shared" si="0"/>
        <v>9</v>
      </c>
      <c r="J68" s="129"/>
    </row>
    <row r="69" spans="2:10" s="21" customFormat="1" ht="18.75" x14ac:dyDescent="0.3">
      <c r="B69" s="123" t="s">
        <v>426</v>
      </c>
      <c r="C69" s="52" t="s">
        <v>427</v>
      </c>
      <c r="D69" s="52"/>
      <c r="E69" s="49">
        <v>257</v>
      </c>
      <c r="F69" s="77">
        <v>44097</v>
      </c>
      <c r="G69" s="124">
        <v>256.61</v>
      </c>
      <c r="H69" s="49"/>
      <c r="I69" s="50">
        <f t="shared" si="0"/>
        <v>257</v>
      </c>
      <c r="J69" s="129"/>
    </row>
    <row r="70" spans="2:10" s="21" customFormat="1" ht="18.75" x14ac:dyDescent="0.3">
      <c r="B70" s="125" t="s">
        <v>428</v>
      </c>
      <c r="C70" s="52" t="s">
        <v>429</v>
      </c>
      <c r="D70" s="52"/>
      <c r="E70" s="49">
        <v>33</v>
      </c>
      <c r="F70" s="77">
        <v>44097</v>
      </c>
      <c r="G70" s="50">
        <v>32.96</v>
      </c>
      <c r="H70" s="49"/>
      <c r="I70" s="50">
        <f t="shared" si="0"/>
        <v>33</v>
      </c>
      <c r="J70" s="129"/>
    </row>
    <row r="71" spans="2:10" s="21" customFormat="1" ht="18.75" x14ac:dyDescent="0.3">
      <c r="B71" s="123" t="s">
        <v>430</v>
      </c>
      <c r="C71" s="52" t="s">
        <v>431</v>
      </c>
      <c r="D71" s="52"/>
      <c r="E71" s="49">
        <v>9</v>
      </c>
      <c r="F71" s="77">
        <v>44097</v>
      </c>
      <c r="G71" s="50">
        <v>8.9</v>
      </c>
      <c r="H71" s="49"/>
      <c r="I71" s="50">
        <f t="shared" si="0"/>
        <v>9</v>
      </c>
      <c r="J71" s="129"/>
    </row>
    <row r="72" spans="2:10" s="21" customFormat="1" ht="18.75" x14ac:dyDescent="0.3">
      <c r="B72" s="123" t="s">
        <v>432</v>
      </c>
      <c r="C72" s="52" t="s">
        <v>433</v>
      </c>
      <c r="D72" s="52"/>
      <c r="E72" s="49">
        <v>10</v>
      </c>
      <c r="F72" s="77">
        <v>44097</v>
      </c>
      <c r="G72" s="50">
        <v>9.9600000000000009</v>
      </c>
      <c r="H72" s="49"/>
      <c r="I72" s="50">
        <f t="shared" si="0"/>
        <v>10</v>
      </c>
      <c r="J72" s="129"/>
    </row>
    <row r="73" spans="2:10" s="21" customFormat="1" ht="18.75" x14ac:dyDescent="0.3">
      <c r="B73" s="123" t="s">
        <v>434</v>
      </c>
      <c r="C73" s="52" t="s">
        <v>435</v>
      </c>
      <c r="D73" s="52"/>
      <c r="E73" s="49">
        <v>26</v>
      </c>
      <c r="F73" s="77">
        <v>44097</v>
      </c>
      <c r="G73" s="50">
        <v>25.81</v>
      </c>
      <c r="H73" s="49"/>
      <c r="I73" s="50">
        <f t="shared" si="0"/>
        <v>26</v>
      </c>
      <c r="J73" s="129"/>
    </row>
    <row r="74" spans="2:10" s="21" customFormat="1" ht="18.75" x14ac:dyDescent="0.3">
      <c r="B74" s="123" t="s">
        <v>436</v>
      </c>
      <c r="C74" s="52" t="s">
        <v>437</v>
      </c>
      <c r="D74" s="52"/>
      <c r="E74" s="49">
        <v>4</v>
      </c>
      <c r="F74" s="77">
        <v>44097</v>
      </c>
      <c r="G74" s="50">
        <v>3.76</v>
      </c>
      <c r="H74" s="49"/>
      <c r="I74" s="50">
        <f t="shared" si="0"/>
        <v>4</v>
      </c>
      <c r="J74" s="129"/>
    </row>
    <row r="75" spans="2:10" s="21" customFormat="1" ht="18.75" x14ac:dyDescent="0.3">
      <c r="B75" s="123" t="s">
        <v>438</v>
      </c>
      <c r="C75" s="52" t="s">
        <v>439</v>
      </c>
      <c r="D75" s="52"/>
      <c r="E75" s="49">
        <v>9</v>
      </c>
      <c r="F75" s="77">
        <v>44097</v>
      </c>
      <c r="G75" s="50">
        <v>8.61</v>
      </c>
      <c r="H75" s="49"/>
      <c r="I75" s="50">
        <f t="shared" si="0"/>
        <v>9</v>
      </c>
      <c r="J75" s="129"/>
    </row>
    <row r="76" spans="2:10" s="21" customFormat="1" ht="18.75" x14ac:dyDescent="0.3">
      <c r="B76" s="123" t="s">
        <v>440</v>
      </c>
      <c r="C76" s="52" t="s">
        <v>441</v>
      </c>
      <c r="D76" s="52"/>
      <c r="E76" s="49">
        <v>24</v>
      </c>
      <c r="F76" s="77">
        <v>44097</v>
      </c>
      <c r="G76" s="50">
        <v>23.13</v>
      </c>
      <c r="H76" s="49"/>
      <c r="I76" s="50">
        <f t="shared" si="0"/>
        <v>24</v>
      </c>
      <c r="J76" s="129"/>
    </row>
    <row r="77" spans="2:10" s="21" customFormat="1" ht="18.75" x14ac:dyDescent="0.3">
      <c r="B77" s="123" t="s">
        <v>442</v>
      </c>
      <c r="C77" s="52" t="s">
        <v>443</v>
      </c>
      <c r="D77" s="52"/>
      <c r="E77" s="49">
        <v>24</v>
      </c>
      <c r="F77" s="77">
        <v>44097</v>
      </c>
      <c r="G77" s="50">
        <v>23.44</v>
      </c>
      <c r="H77" s="49"/>
      <c r="I77" s="50">
        <f t="shared" si="0"/>
        <v>24</v>
      </c>
      <c r="J77" s="129"/>
    </row>
    <row r="78" spans="2:10" s="21" customFormat="1" ht="18.75" x14ac:dyDescent="0.3">
      <c r="B78" s="123" t="s">
        <v>444</v>
      </c>
      <c r="C78" s="52" t="s">
        <v>445</v>
      </c>
      <c r="D78" s="52"/>
      <c r="E78" s="49">
        <v>8</v>
      </c>
      <c r="F78" s="77">
        <v>44097</v>
      </c>
      <c r="G78" s="50">
        <v>7.39</v>
      </c>
      <c r="H78" s="49"/>
      <c r="I78" s="50">
        <f t="shared" si="0"/>
        <v>8</v>
      </c>
      <c r="J78" s="129"/>
    </row>
    <row r="79" spans="2:10" s="21" customFormat="1" ht="18.75" x14ac:dyDescent="0.3">
      <c r="B79" s="123" t="s">
        <v>446</v>
      </c>
      <c r="C79" s="49"/>
      <c r="D79" s="49"/>
      <c r="E79" s="49">
        <v>3</v>
      </c>
      <c r="F79" s="77">
        <v>44097</v>
      </c>
      <c r="G79" s="50">
        <v>2.5499999999999998</v>
      </c>
      <c r="H79" s="49"/>
      <c r="I79" s="50">
        <f t="shared" si="0"/>
        <v>3</v>
      </c>
      <c r="J79" s="129"/>
    </row>
    <row r="80" spans="2:10" s="21" customFormat="1" ht="18.75" x14ac:dyDescent="0.3">
      <c r="B80" s="123" t="s">
        <v>447</v>
      </c>
      <c r="C80" s="52" t="s">
        <v>448</v>
      </c>
      <c r="D80" s="52"/>
      <c r="E80" s="49">
        <v>4</v>
      </c>
      <c r="F80" s="77">
        <v>44097</v>
      </c>
      <c r="G80" s="50">
        <v>3.59</v>
      </c>
      <c r="H80" s="49"/>
      <c r="I80" s="50">
        <f t="shared" si="0"/>
        <v>4</v>
      </c>
      <c r="J80" s="129"/>
    </row>
    <row r="81" spans="2:10" s="21" customFormat="1" ht="18.75" x14ac:dyDescent="0.3">
      <c r="B81" s="123" t="s">
        <v>449</v>
      </c>
      <c r="C81" s="52" t="s">
        <v>450</v>
      </c>
      <c r="D81" s="52"/>
      <c r="E81" s="49">
        <v>2</v>
      </c>
      <c r="F81" s="77">
        <v>44097</v>
      </c>
      <c r="G81" s="50">
        <v>1.23</v>
      </c>
      <c r="H81" s="49"/>
      <c r="I81" s="50">
        <f t="shared" si="0"/>
        <v>2</v>
      </c>
      <c r="J81" s="129"/>
    </row>
    <row r="82" spans="2:10" s="21" customFormat="1" ht="18.75" x14ac:dyDescent="0.3">
      <c r="B82" s="123" t="s">
        <v>452</v>
      </c>
      <c r="C82" s="52" t="s">
        <v>453</v>
      </c>
      <c r="D82" s="52"/>
      <c r="E82" s="50">
        <v>10</v>
      </c>
      <c r="F82" s="77">
        <v>44098</v>
      </c>
      <c r="G82" s="50">
        <v>9.66</v>
      </c>
      <c r="H82" s="49"/>
      <c r="I82" s="50">
        <f t="shared" si="0"/>
        <v>10</v>
      </c>
      <c r="J82" s="129"/>
    </row>
    <row r="83" spans="2:10" s="21" customFormat="1" ht="18.75" x14ac:dyDescent="0.3">
      <c r="B83" s="123" t="s">
        <v>454</v>
      </c>
      <c r="C83" s="52" t="s">
        <v>455</v>
      </c>
      <c r="D83" s="52"/>
      <c r="E83" s="50">
        <v>10</v>
      </c>
      <c r="F83" s="77">
        <v>44098</v>
      </c>
      <c r="G83" s="50">
        <f>9.12*1.08-0.01</f>
        <v>9.8396000000000008</v>
      </c>
      <c r="H83" s="49"/>
      <c r="I83" s="50">
        <v>10</v>
      </c>
      <c r="J83" s="129"/>
    </row>
    <row r="84" spans="2:10" s="21" customFormat="1" ht="18.75" x14ac:dyDescent="0.3">
      <c r="B84" s="123" t="s">
        <v>456</v>
      </c>
      <c r="C84" s="52"/>
      <c r="D84" s="52"/>
      <c r="E84" s="50">
        <v>10</v>
      </c>
      <c r="F84" s="77">
        <v>44098</v>
      </c>
      <c r="G84" s="50">
        <f>9.12*1.08</f>
        <v>9.8496000000000006</v>
      </c>
      <c r="H84" s="49"/>
      <c r="I84" s="50">
        <v>10</v>
      </c>
      <c r="J84" s="129"/>
    </row>
    <row r="85" spans="2:10" s="21" customFormat="1" ht="18.75" x14ac:dyDescent="0.3">
      <c r="B85" s="123" t="s">
        <v>457</v>
      </c>
      <c r="C85" s="52" t="s">
        <v>439</v>
      </c>
      <c r="D85" s="52"/>
      <c r="E85" s="50">
        <v>9</v>
      </c>
      <c r="F85" s="77">
        <v>44099</v>
      </c>
      <c r="G85" s="50">
        <f>7.97*1.08</f>
        <v>8.6075999999999997</v>
      </c>
      <c r="H85" s="49"/>
      <c r="I85" s="50">
        <v>9</v>
      </c>
      <c r="J85" s="129"/>
    </row>
    <row r="86" spans="2:10" s="21" customFormat="1" ht="18.75" x14ac:dyDescent="0.3">
      <c r="B86" s="123" t="s">
        <v>458</v>
      </c>
      <c r="C86" s="52" t="s">
        <v>459</v>
      </c>
      <c r="D86" s="52"/>
      <c r="E86" s="50">
        <v>3</v>
      </c>
      <c r="F86" s="77">
        <v>44099</v>
      </c>
      <c r="G86" s="50">
        <f>2.52*1.08</f>
        <v>2.7216</v>
      </c>
      <c r="H86" s="49"/>
      <c r="I86" s="50">
        <v>3</v>
      </c>
      <c r="J86" s="129"/>
    </row>
    <row r="87" spans="2:10" s="21" customFormat="1" ht="18.75" x14ac:dyDescent="0.3">
      <c r="B87" s="123" t="s">
        <v>460</v>
      </c>
      <c r="C87" s="52" t="s">
        <v>287</v>
      </c>
      <c r="D87" s="52"/>
      <c r="E87" s="50">
        <v>34</v>
      </c>
      <c r="F87" s="77">
        <v>44099</v>
      </c>
      <c r="G87" s="50">
        <f>(38.6-7.7)*1.08</f>
        <v>33.372000000000007</v>
      </c>
      <c r="H87" s="49"/>
      <c r="I87" s="50">
        <v>34</v>
      </c>
      <c r="J87" s="129"/>
    </row>
    <row r="88" spans="2:10" s="21" customFormat="1" ht="18.75" x14ac:dyDescent="0.3">
      <c r="B88" s="123" t="s">
        <v>461</v>
      </c>
      <c r="C88" s="52" t="s">
        <v>462</v>
      </c>
      <c r="D88" s="52"/>
      <c r="E88" s="50">
        <v>15</v>
      </c>
      <c r="F88" s="77">
        <v>44100</v>
      </c>
      <c r="G88" s="50">
        <f>13.4*1.08</f>
        <v>14.472000000000001</v>
      </c>
      <c r="H88" s="49"/>
      <c r="I88" s="50">
        <v>15</v>
      </c>
      <c r="J88" s="129"/>
    </row>
    <row r="89" spans="2:10" s="21" customFormat="1" ht="18.75" x14ac:dyDescent="0.3">
      <c r="B89" s="123" t="s">
        <v>463</v>
      </c>
      <c r="C89" s="52"/>
      <c r="D89" s="52"/>
      <c r="E89" s="50">
        <v>3</v>
      </c>
      <c r="F89" s="77">
        <v>44100</v>
      </c>
      <c r="G89" s="50">
        <f>2.36*1.08</f>
        <v>2.5488</v>
      </c>
      <c r="H89" s="49"/>
      <c r="I89" s="50">
        <v>3</v>
      </c>
      <c r="J89" s="129"/>
    </row>
    <row r="90" spans="2:10" s="21" customFormat="1" ht="18.75" x14ac:dyDescent="0.3">
      <c r="B90" s="123" t="s">
        <v>464</v>
      </c>
      <c r="C90" s="52" t="s">
        <v>412</v>
      </c>
      <c r="D90" s="52"/>
      <c r="E90" s="50">
        <v>6</v>
      </c>
      <c r="F90" s="77">
        <v>44100</v>
      </c>
      <c r="G90" s="50">
        <f>4.94*1.08</f>
        <v>5.3352000000000004</v>
      </c>
      <c r="H90" s="49"/>
      <c r="I90" s="50">
        <v>6</v>
      </c>
      <c r="J90" s="129"/>
    </row>
    <row r="91" spans="2:10" s="21" customFormat="1" ht="18.75" x14ac:dyDescent="0.3">
      <c r="B91" s="49" t="s">
        <v>465</v>
      </c>
      <c r="C91" s="52" t="s">
        <v>466</v>
      </c>
      <c r="D91" s="52"/>
      <c r="E91" s="50">
        <v>26</v>
      </c>
      <c r="F91" s="77">
        <v>44100</v>
      </c>
      <c r="G91" s="50">
        <v>25.86</v>
      </c>
      <c r="H91" s="49"/>
      <c r="I91" s="50">
        <v>26</v>
      </c>
      <c r="J91" s="129"/>
    </row>
    <row r="92" spans="2:10" s="21" customFormat="1" ht="18.75" x14ac:dyDescent="0.3">
      <c r="B92" s="49" t="s">
        <v>467</v>
      </c>
      <c r="C92" s="52" t="s">
        <v>468</v>
      </c>
      <c r="D92" s="52"/>
      <c r="E92" s="50">
        <v>15</v>
      </c>
      <c r="F92" s="77">
        <v>44100</v>
      </c>
      <c r="G92" s="50">
        <v>14.64</v>
      </c>
      <c r="H92" s="49"/>
      <c r="I92" s="50">
        <v>15</v>
      </c>
      <c r="J92" s="129"/>
    </row>
    <row r="93" spans="2:10" s="21" customFormat="1" ht="18.75" x14ac:dyDescent="0.3">
      <c r="B93" s="49" t="s">
        <v>363</v>
      </c>
      <c r="C93" s="52" t="s">
        <v>471</v>
      </c>
      <c r="D93" s="52"/>
      <c r="E93" s="50">
        <v>36</v>
      </c>
      <c r="F93" s="77">
        <v>44100</v>
      </c>
      <c r="G93" s="50">
        <v>35.299999999999997</v>
      </c>
      <c r="H93" s="49"/>
      <c r="I93" s="50">
        <v>36</v>
      </c>
      <c r="J93" s="129"/>
    </row>
    <row r="94" spans="2:10" s="21" customFormat="1" ht="18.75" x14ac:dyDescent="0.3">
      <c r="B94" s="49" t="s">
        <v>474</v>
      </c>
      <c r="C94" s="52" t="s">
        <v>473</v>
      </c>
      <c r="D94" s="52"/>
      <c r="E94" s="50">
        <v>554.36</v>
      </c>
      <c r="F94" s="77">
        <v>44104</v>
      </c>
      <c r="G94" s="50">
        <v>554.36</v>
      </c>
      <c r="H94" s="49"/>
      <c r="I94" s="50">
        <v>554.36</v>
      </c>
      <c r="J94" s="129"/>
    </row>
    <row r="95" spans="2:10" s="21" customFormat="1" ht="18.75" x14ac:dyDescent="0.3">
      <c r="B95" s="126" t="s">
        <v>428</v>
      </c>
      <c r="C95" s="98" t="s">
        <v>429</v>
      </c>
      <c r="D95" s="98"/>
      <c r="E95" s="99">
        <v>600</v>
      </c>
      <c r="F95" s="84"/>
      <c r="G95" s="99"/>
      <c r="H95" s="97"/>
      <c r="I95" s="99"/>
    </row>
    <row r="96" spans="2:10" x14ac:dyDescent="0.25">
      <c r="B96" s="32"/>
      <c r="C96" s="76"/>
      <c r="D96" s="76"/>
      <c r="E96" s="14"/>
      <c r="I96" s="14">
        <f t="shared" si="0"/>
        <v>0</v>
      </c>
    </row>
    <row r="97" spans="2:9" x14ac:dyDescent="0.25">
      <c r="B97" s="32"/>
      <c r="C97" s="76"/>
      <c r="D97" s="76"/>
      <c r="E97" s="14"/>
    </row>
    <row r="98" spans="2:9" ht="15.75" thickBot="1" x14ac:dyDescent="0.3">
      <c r="E98" s="14"/>
    </row>
    <row r="99" spans="2:9" ht="27" thickBot="1" x14ac:dyDescent="0.45">
      <c r="E99" s="25">
        <f>SUM(E6:E95)</f>
        <v>4527.3600000000006</v>
      </c>
      <c r="G99" s="28" t="s">
        <v>0</v>
      </c>
      <c r="H99" s="15"/>
      <c r="I99" s="24">
        <f>SUM(I6:I96)</f>
        <v>3927.36</v>
      </c>
    </row>
    <row r="100" spans="2:9" x14ac:dyDescent="0.25">
      <c r="B100" s="10" t="s">
        <v>146</v>
      </c>
      <c r="G100" s="14"/>
      <c r="H100" s="14"/>
    </row>
    <row r="101" spans="2:9" x14ac:dyDescent="0.25">
      <c r="B101" s="10" t="s">
        <v>145</v>
      </c>
    </row>
    <row r="102" spans="2:9" x14ac:dyDescent="0.25">
      <c r="B102" s="10" t="s">
        <v>150</v>
      </c>
    </row>
    <row r="103" spans="2:9" x14ac:dyDescent="0.25">
      <c r="B103" s="10" t="s">
        <v>187</v>
      </c>
    </row>
  </sheetData>
  <hyperlinks>
    <hyperlink ref="C11" r:id="rId1"/>
    <hyperlink ref="C12" r:id="rId2"/>
    <hyperlink ref="C13" r:id="rId3"/>
    <hyperlink ref="C14" r:id="rId4" display="https://www.homedepot.com/p/Everbilt-3-4-in-MHT-x-3-4-in-FIP-Brass-Adapter-Fitting-801759/300096107?keyword=887480017595&amp;semanticToken=300300r001221000_25333d11eda3fbdb193fa117022b22de_1593355542104+300300r001221000+%3E++cnn%3A%7B14%3A0%7D+cnr%3A%7B7%3A0%7D+cnp%3A%7B10%3A0%7D+cnd%3A%7B4%3A0%7D+cne%3A%7B8%3A0%7D+cnb%3A%7B0%3A0%7D+cns%3A%7B5%3A0%7D+cnx%3A%7B3%3A0%7D+cnq%3A%7B0%3A0%7D+cnw%3A%7B0%3A0%7D+cnv%3A%7B0%3A0%7D+st%3A%7B887480017595%7D%3Ast+oos%3A%7B0%3A1%7D+tgr%3A%7BNo+stage+info%7D+smf%3A%7Bca%2Cbr%7D%3Asmf+nf%3A%7B1%7D%3Anf+qu%3A%7B887480017595%7D%3Aqu"/>
    <hyperlink ref="C15" r:id="rId5" display="https://www.homedepot.com/p/Everbilt-3-4-in-Lead-Free-Brass-Threaded-FPT-x-FPT-Ball-Valve-116-2-34-EB/205816051?keyword=820633959687&amp;semanticToken=300300r001221000_d7ef2063de8c33113ab95bdcb906d8d8_1593355588523+300300r001221000+%3E++cnn%3A%7B14%3A0%7D+cnr%3A%7B7%3A0%7D+cnp%3A%7B10%3A0%7D+cnd%3A%7B4%3A0%7D+cne%3A%7B8%3A0%7D+cnb%3A%7B0%3A0%7D+cns%3A%7B5%3A0%7D+cnx%3A%7B3%3A0%7D+cnq%3A%7B0%3A0%7D+cnw%3A%7B0%3A0%7D+cnv%3A%7B0%3A0%7D+st%3A%7B820633959687%7D%3Ast+oos%3A%7B0%3A1%7D+tgr%3A%7BNo+stage+info%7D+smf%3A%7Bca%2Cbr%7D%3Asmf+nf%3A%7B1%7D%3Anf+qu%3A%7B820633959687%7D%3Aqu"/>
    <hyperlink ref="C16" r:id="rId6" display="https://www.homedepot.com/p/Oatey-8-oz-PVC-Handy-Pack-Purple-Primer-and-Solvent-Cement-302483/100151579?keyword=038753302485&amp;semanticToken=d00300r011221000_51e3b4cfae674eb36b6f28079ba35b1b_1593355676733+d00300r011221000+%3E++cnn%3A%7B14%3A0%7D+cnr%3A%7B7%3A0%7D+cnp%3A%7B10%3A0%7D+cnd%3A%7B4%3A0%7D+cne%3A%7B8%3A0%7D+cnb%3A%7B0%3A0%7D+cns%3A%7B5%3A0%7D+cnx%3A%7B3%3A0%7D+cnq%3A%7B0%3A0%7D+cnw%3A%7B0%3A0%7D+cnv%3A%7B0%3A0%7D+st%3A%7B038753302485%7D%3Ast+oos%3A%7B0%3A1%7D+tgr%3A%7BNo+stage+info%7D+smf%3A%7Bca%2Cbr%7D%3Asmf+nf%3A%7B1%7D%3Anf+qu%3A%7B038753302485%7D%3Aqu"/>
    <hyperlink ref="C17" r:id="rId7"/>
    <hyperlink ref="C18" r:id="rId8"/>
    <hyperlink ref="C19" r:id="rId9"/>
    <hyperlink ref="C20" r:id="rId10"/>
    <hyperlink ref="C21" r:id="rId11"/>
    <hyperlink ref="C27" r:id="rId12"/>
    <hyperlink ref="C23" r:id="rId13"/>
    <hyperlink ref="C28" r:id="rId14" display="https://www.homedepot.com/p/3-4-in-Schedule-40-PVC-90-Degree-Elbow-C410-007/100344758?keyword=049081141684&amp;semanticToken=300300r001221000_762b7395285015eeff5597ae80a5521a_1593361216779+300300r001221000+%3E++cnn%3A%7B14%3A0%7D+cnr%3A%7B7%3A0%7D+cnp%3A%7B10%3A0%7D+cnd%3A%7B4%3A0%7D+cne%3A%7B8%3A0%7D+cnb%3A%7B0%3A0%7D+cns%3A%7B5%3A0%7D+cnx%3A%7B3%3A0%7D+cnq%3A%7B0%3A0%7D+cnw%3A%7B0%3A0%7D+cnv%3A%7B0%3A0%7D+st%3A%7B049081141684%7D%3Ast+oos%3A%7B0%3A1%7D+tgr%3A%7BNo+stage+info%7D+smf%3A%7Bca%2Cbr%7D%3Asmf+nf%3A%7B1%7D%3Anf+qu%3A%7B049081141684%7D%3Aqu"/>
    <hyperlink ref="C29" r:id="rId15"/>
    <hyperlink ref="C30" r:id="rId16"/>
    <hyperlink ref="C31" r:id="rId17"/>
    <hyperlink ref="C32" r:id="rId18"/>
    <hyperlink ref="C33" r:id="rId19"/>
    <hyperlink ref="C54" r:id="rId20"/>
    <hyperlink ref="C35" r:id="rId21"/>
    <hyperlink ref="C36" r:id="rId22"/>
    <hyperlink ref="C37" r:id="rId23"/>
    <hyperlink ref="C39" r:id="rId24"/>
    <hyperlink ref="C41" r:id="rId25"/>
    <hyperlink ref="C44" r:id="rId26"/>
    <hyperlink ref="C46" r:id="rId27"/>
    <hyperlink ref="C47" r:id="rId28"/>
    <hyperlink ref="C48" r:id="rId29"/>
    <hyperlink ref="C49" r:id="rId30"/>
    <hyperlink ref="C50" r:id="rId31"/>
    <hyperlink ref="C52" r:id="rId32"/>
    <hyperlink ref="C53" r:id="rId33"/>
    <hyperlink ref="C55" r:id="rId34"/>
    <hyperlink ref="C57" r:id="rId35"/>
    <hyperlink ref="C59" r:id="rId36"/>
    <hyperlink ref="C60" r:id="rId37"/>
    <hyperlink ref="C61" r:id="rId38"/>
    <hyperlink ref="C69" r:id="rId39"/>
    <hyperlink ref="C70" r:id="rId40"/>
    <hyperlink ref="C71" r:id="rId41"/>
    <hyperlink ref="C72" r:id="rId42"/>
    <hyperlink ref="C73" r:id="rId43"/>
    <hyperlink ref="C74" r:id="rId44"/>
    <hyperlink ref="C75" r:id="rId45"/>
    <hyperlink ref="C76" r:id="rId46"/>
    <hyperlink ref="C77" r:id="rId47"/>
    <hyperlink ref="C78" r:id="rId48"/>
    <hyperlink ref="C80" r:id="rId49"/>
    <hyperlink ref="C81" r:id="rId50"/>
    <hyperlink ref="C82" r:id="rId51"/>
    <hyperlink ref="C85" r:id="rId52"/>
    <hyperlink ref="C86" r:id="rId53"/>
    <hyperlink ref="C87" r:id="rId54"/>
    <hyperlink ref="C91" r:id="rId55"/>
    <hyperlink ref="C92" r:id="rId56"/>
    <hyperlink ref="C94" r:id="rId57"/>
    <hyperlink ref="C95" r:id="rId58"/>
  </hyperlinks>
  <pageMargins left="0.7" right="0.7" top="0.75" bottom="0.75" header="0.3" footer="0.3"/>
  <pageSetup scale="53" orientation="landscape" horizontalDpi="4294967293" verticalDpi="4294967293" r:id="rId59"/>
  <legacyDrawing r:id="rId6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6"/>
  <sheetViews>
    <sheetView workbookViewId="0">
      <selection activeCell="B7" sqref="B7:D9"/>
    </sheetView>
  </sheetViews>
  <sheetFormatPr defaultRowHeight="15" x14ac:dyDescent="0.25"/>
  <cols>
    <col min="1" max="1" width="9.140625" style="10"/>
    <col min="2" max="2" width="51.5703125" style="10" bestFit="1" customWidth="1"/>
    <col min="3" max="3" width="12.42578125" style="10" customWidth="1"/>
    <col min="4" max="4" width="20.140625" style="10" bestFit="1" customWidth="1"/>
    <col min="5" max="5" width="9.7109375" style="10" bestFit="1" customWidth="1"/>
    <col min="6" max="6" width="10.5703125" style="10" bestFit="1" customWidth="1"/>
    <col min="7" max="7" width="1.42578125" style="10" customWidth="1"/>
    <col min="8" max="8" width="28" style="10" bestFit="1" customWidth="1"/>
    <col min="9" max="10" width="9.140625" style="10"/>
    <col min="11" max="11" width="19" style="10" bestFit="1" customWidth="1"/>
    <col min="12" max="12" width="9.42578125" style="10" bestFit="1" customWidth="1"/>
    <col min="13" max="13" width="12.140625" style="10" bestFit="1" customWidth="1"/>
    <col min="14" max="14" width="9.28515625" style="10" bestFit="1" customWidth="1"/>
    <col min="15" max="16384" width="9.140625" style="10"/>
  </cols>
  <sheetData>
    <row r="1" spans="2:12" ht="15.75" thickBot="1" x14ac:dyDescent="0.3"/>
    <row r="2" spans="2:12" ht="32.25" thickBot="1" x14ac:dyDescent="0.55000000000000004">
      <c r="B2" s="9" t="s">
        <v>65</v>
      </c>
      <c r="K2" s="30" t="s">
        <v>38</v>
      </c>
    </row>
    <row r="3" spans="2:12" ht="15.75" thickBot="1" x14ac:dyDescent="0.3">
      <c r="K3" s="29" t="s">
        <v>39</v>
      </c>
      <c r="L3" s="10" t="s">
        <v>61</v>
      </c>
    </row>
    <row r="4" spans="2:12" ht="19.5" thickBot="1" x14ac:dyDescent="0.35">
      <c r="K4" s="10" t="s">
        <v>66</v>
      </c>
      <c r="L4" s="31">
        <v>600</v>
      </c>
    </row>
    <row r="5" spans="2:12" ht="21.75" thickBot="1" x14ac:dyDescent="0.4">
      <c r="B5" s="11" t="s">
        <v>27</v>
      </c>
      <c r="C5" s="11" t="s">
        <v>64</v>
      </c>
      <c r="D5" s="11" t="s">
        <v>32</v>
      </c>
      <c r="E5" s="12" t="s">
        <v>28</v>
      </c>
      <c r="F5" s="12" t="s">
        <v>29</v>
      </c>
      <c r="G5" s="12"/>
      <c r="H5" s="16" t="s">
        <v>30</v>
      </c>
      <c r="K5" s="10" t="s">
        <v>67</v>
      </c>
      <c r="L5" s="31">
        <v>800</v>
      </c>
    </row>
    <row r="6" spans="2:12" ht="19.5" thickBot="1" x14ac:dyDescent="0.35">
      <c r="B6" s="10" t="s">
        <v>14</v>
      </c>
      <c r="D6" s="14">
        <f xml:space="preserve"> 70*1.1*L15+100</f>
        <v>1640</v>
      </c>
      <c r="E6" s="13"/>
      <c r="F6" s="14"/>
      <c r="G6" s="14"/>
      <c r="H6" s="14">
        <f>ROUNDUP(F6,0)</f>
        <v>0</v>
      </c>
      <c r="K6" s="32" t="s">
        <v>68</v>
      </c>
      <c r="L6" s="31">
        <v>350</v>
      </c>
    </row>
    <row r="7" spans="2:12" ht="19.5" thickBot="1" x14ac:dyDescent="0.35">
      <c r="B7" s="32" t="s">
        <v>74</v>
      </c>
      <c r="C7" s="32"/>
      <c r="D7" s="14">
        <v>250</v>
      </c>
      <c r="E7" s="13"/>
      <c r="F7" s="14"/>
      <c r="G7" s="14"/>
      <c r="H7" s="14">
        <f>ROUNDUP(F7,0)</f>
        <v>0</v>
      </c>
      <c r="K7" s="32" t="s">
        <v>69</v>
      </c>
      <c r="L7" s="31">
        <v>30</v>
      </c>
    </row>
    <row r="8" spans="2:12" ht="19.5" thickBot="1" x14ac:dyDescent="0.35">
      <c r="B8" s="32" t="s">
        <v>75</v>
      </c>
      <c r="C8" s="32"/>
      <c r="D8" s="14">
        <v>150</v>
      </c>
      <c r="H8" s="14">
        <f>ROUNDUP(F8,0)</f>
        <v>0</v>
      </c>
      <c r="K8" s="32" t="s">
        <v>70</v>
      </c>
      <c r="L8" s="31">
        <v>110</v>
      </c>
    </row>
    <row r="9" spans="2:12" ht="19.5" thickBot="1" x14ac:dyDescent="0.35">
      <c r="B9" s="32" t="s">
        <v>76</v>
      </c>
      <c r="C9" s="35"/>
      <c r="D9" s="14">
        <f>10*15</f>
        <v>150</v>
      </c>
      <c r="H9" s="14">
        <f>ROUNDUP(F9,0)</f>
        <v>0</v>
      </c>
      <c r="K9" s="32" t="s">
        <v>71</v>
      </c>
      <c r="L9" s="31">
        <v>100</v>
      </c>
    </row>
    <row r="10" spans="2:12" ht="15.75" thickBot="1" x14ac:dyDescent="0.3">
      <c r="B10" s="32"/>
      <c r="C10" s="32"/>
      <c r="D10" s="14"/>
    </row>
    <row r="11" spans="2:12" ht="19.5" thickBot="1" x14ac:dyDescent="0.35">
      <c r="D11" s="14"/>
      <c r="K11" s="32" t="s">
        <v>0</v>
      </c>
      <c r="L11" s="38">
        <f>SUM(L4:L10)</f>
        <v>1990</v>
      </c>
    </row>
    <row r="12" spans="2:12" ht="27" thickBot="1" x14ac:dyDescent="0.45">
      <c r="D12" s="25">
        <f>SUM(D6:D11)</f>
        <v>2190</v>
      </c>
      <c r="F12" s="28" t="s">
        <v>0</v>
      </c>
      <c r="G12" s="15"/>
      <c r="H12" s="24">
        <f>SUM(H6:H11)</f>
        <v>0</v>
      </c>
    </row>
    <row r="13" spans="2:12" ht="18" customHeight="1" x14ac:dyDescent="0.25">
      <c r="F13" s="14"/>
      <c r="G13" s="14"/>
    </row>
    <row r="14" spans="2:12" ht="18" customHeight="1" thickBot="1" x14ac:dyDescent="0.3"/>
    <row r="15" spans="2:12" ht="24" thickBot="1" x14ac:dyDescent="0.4">
      <c r="K15" s="10" t="s">
        <v>72</v>
      </c>
      <c r="L15" s="39">
        <f>ROUNDUP(L11/100,0)</f>
        <v>20</v>
      </c>
    </row>
    <row r="16" spans="2:12" x14ac:dyDescent="0.25">
      <c r="K16" s="10" t="s">
        <v>73</v>
      </c>
    </row>
  </sheetData>
  <pageMargins left="0.7" right="0.7" top="0.75" bottom="0.75" header="0.3" footer="0.3"/>
  <pageSetup scale="64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1"/>
  <sheetViews>
    <sheetView workbookViewId="0">
      <selection activeCell="I27" sqref="I27"/>
    </sheetView>
  </sheetViews>
  <sheetFormatPr defaultRowHeight="15" x14ac:dyDescent="0.25"/>
  <cols>
    <col min="1" max="1" width="9.140625" style="10"/>
    <col min="2" max="2" width="51.5703125" style="10" bestFit="1" customWidth="1"/>
    <col min="3" max="3" width="12.42578125" style="10" customWidth="1"/>
    <col min="4" max="4" width="21.140625" style="10" bestFit="1" customWidth="1"/>
    <col min="5" max="5" width="22.28515625" style="10" bestFit="1" customWidth="1"/>
    <col min="6" max="6" width="15.140625" style="10" bestFit="1" customWidth="1"/>
    <col min="7" max="7" width="10.85546875" style="10" bestFit="1" customWidth="1"/>
    <col min="8" max="8" width="1.42578125" style="10" customWidth="1"/>
    <col min="9" max="9" width="28" style="10" bestFit="1" customWidth="1"/>
    <col min="10" max="11" width="9.140625" style="10"/>
    <col min="12" max="12" width="19" style="10" bestFit="1" customWidth="1"/>
    <col min="13" max="13" width="9.42578125" style="10" bestFit="1" customWidth="1"/>
    <col min="14" max="14" width="12.140625" style="10" bestFit="1" customWidth="1"/>
    <col min="15" max="15" width="9.28515625" style="10" bestFit="1" customWidth="1"/>
    <col min="16" max="16384" width="9.140625" style="10"/>
  </cols>
  <sheetData>
    <row r="1" spans="2:13" ht="15.75" thickBot="1" x14ac:dyDescent="0.3"/>
    <row r="2" spans="2:13" ht="32.25" thickBot="1" x14ac:dyDescent="0.55000000000000004">
      <c r="B2" s="9" t="s">
        <v>83</v>
      </c>
      <c r="L2" s="30" t="s">
        <v>38</v>
      </c>
    </row>
    <row r="3" spans="2:13" ht="15.75" thickBot="1" x14ac:dyDescent="0.3">
      <c r="L3" s="29" t="s">
        <v>39</v>
      </c>
      <c r="M3" s="10" t="s">
        <v>61</v>
      </c>
    </row>
    <row r="4" spans="2:13" ht="19.5" thickBot="1" x14ac:dyDescent="0.35">
      <c r="L4" s="10" t="s">
        <v>77</v>
      </c>
      <c r="M4" s="31">
        <v>300</v>
      </c>
    </row>
    <row r="5" spans="2:13" ht="21.75" thickBot="1" x14ac:dyDescent="0.4">
      <c r="B5" s="11" t="s">
        <v>27</v>
      </c>
      <c r="C5" s="11" t="s">
        <v>64</v>
      </c>
      <c r="D5" s="11" t="s">
        <v>184</v>
      </c>
      <c r="E5" s="11" t="s">
        <v>32</v>
      </c>
      <c r="F5" s="12" t="s">
        <v>28</v>
      </c>
      <c r="G5" s="12" t="s">
        <v>29</v>
      </c>
      <c r="H5" s="12"/>
      <c r="I5" s="16" t="s">
        <v>30</v>
      </c>
    </row>
    <row r="6" spans="2:13" ht="18.75" x14ac:dyDescent="0.3">
      <c r="B6" s="63" t="s">
        <v>128</v>
      </c>
      <c r="C6" s="59"/>
      <c r="D6" s="59"/>
      <c r="E6" s="60">
        <v>29</v>
      </c>
      <c r="F6" s="64"/>
      <c r="G6" s="61">
        <v>29</v>
      </c>
      <c r="H6" s="53"/>
      <c r="I6" s="50">
        <f t="shared" ref="I6:I10" si="0">ROUNDUP(G6,0)</f>
        <v>29</v>
      </c>
    </row>
    <row r="7" spans="2:13" ht="18.75" x14ac:dyDescent="0.3">
      <c r="B7" s="63" t="s">
        <v>161</v>
      </c>
      <c r="C7" s="59"/>
      <c r="D7" s="59"/>
      <c r="E7" s="60">
        <v>57</v>
      </c>
      <c r="F7" s="65">
        <v>43993</v>
      </c>
      <c r="G7" s="61">
        <v>56.43</v>
      </c>
      <c r="H7" s="53"/>
      <c r="I7" s="50">
        <f t="shared" si="0"/>
        <v>57</v>
      </c>
    </row>
    <row r="8" spans="2:13" ht="18.75" x14ac:dyDescent="0.3">
      <c r="B8" s="63" t="s">
        <v>161</v>
      </c>
      <c r="C8" s="59"/>
      <c r="D8" s="59"/>
      <c r="E8" s="60">
        <v>27</v>
      </c>
      <c r="F8" s="65">
        <v>43994</v>
      </c>
      <c r="G8" s="61">
        <v>26.99</v>
      </c>
      <c r="H8" s="53"/>
      <c r="I8" s="50">
        <f t="shared" si="0"/>
        <v>27</v>
      </c>
    </row>
    <row r="9" spans="2:13" ht="18.75" x14ac:dyDescent="0.3">
      <c r="B9" s="63" t="s">
        <v>162</v>
      </c>
      <c r="C9" s="59"/>
      <c r="D9" s="59"/>
      <c r="E9" s="60">
        <v>14</v>
      </c>
      <c r="F9" s="65">
        <v>43994</v>
      </c>
      <c r="G9" s="61">
        <v>13.36</v>
      </c>
      <c r="H9" s="53"/>
      <c r="I9" s="50">
        <f t="shared" si="0"/>
        <v>14</v>
      </c>
    </row>
    <row r="10" spans="2:13" ht="18.75" x14ac:dyDescent="0.3">
      <c r="B10" s="63" t="s">
        <v>167</v>
      </c>
      <c r="C10" s="59"/>
      <c r="D10" s="59"/>
      <c r="E10" s="60">
        <v>5</v>
      </c>
      <c r="F10" s="65">
        <v>43994</v>
      </c>
      <c r="G10" s="61">
        <v>4.18</v>
      </c>
      <c r="H10" s="53"/>
      <c r="I10" s="50">
        <f t="shared" si="0"/>
        <v>5</v>
      </c>
    </row>
    <row r="11" spans="2:13" s="128" customFormat="1" ht="18.75" x14ac:dyDescent="0.3">
      <c r="B11" s="63" t="s">
        <v>472</v>
      </c>
      <c r="C11" s="58" t="s">
        <v>185</v>
      </c>
      <c r="D11" s="59"/>
      <c r="E11" s="60">
        <f>I11</f>
        <v>7288.24</v>
      </c>
      <c r="F11" s="65">
        <v>44103</v>
      </c>
      <c r="G11" s="61">
        <f>3500+3788.24</f>
        <v>7288.24</v>
      </c>
      <c r="H11" s="53"/>
      <c r="I11" s="50">
        <f>G11</f>
        <v>7288.24</v>
      </c>
    </row>
    <row r="12" spans="2:13" s="128" customFormat="1" ht="18.75" x14ac:dyDescent="0.3">
      <c r="B12" s="136" t="s">
        <v>479</v>
      </c>
      <c r="C12" s="138" t="s">
        <v>480</v>
      </c>
      <c r="D12" s="138"/>
      <c r="E12" s="137">
        <v>40</v>
      </c>
      <c r="F12" s="139">
        <v>44118</v>
      </c>
      <c r="G12" s="137">
        <v>40</v>
      </c>
      <c r="H12" s="53"/>
      <c r="I12" s="137">
        <f t="shared" ref="I12:I22" si="1">G12</f>
        <v>40</v>
      </c>
    </row>
    <row r="13" spans="2:13" s="128" customFormat="1" ht="18.75" x14ac:dyDescent="0.3">
      <c r="B13" s="136" t="s">
        <v>481</v>
      </c>
      <c r="C13" s="136"/>
      <c r="D13" s="136"/>
      <c r="E13" s="137">
        <v>12</v>
      </c>
      <c r="F13" s="139">
        <v>44118</v>
      </c>
      <c r="G13" s="137">
        <v>12</v>
      </c>
      <c r="H13" s="53"/>
      <c r="I13" s="137">
        <f t="shared" si="1"/>
        <v>12</v>
      </c>
    </row>
    <row r="14" spans="2:13" s="128" customFormat="1" ht="18.75" x14ac:dyDescent="0.3">
      <c r="B14" s="136" t="s">
        <v>482</v>
      </c>
      <c r="C14" s="138" t="s">
        <v>483</v>
      </c>
      <c r="D14" s="136"/>
      <c r="E14" s="137">
        <v>3</v>
      </c>
      <c r="F14" s="139">
        <v>44118</v>
      </c>
      <c r="G14" s="137">
        <v>3</v>
      </c>
      <c r="H14" s="53"/>
      <c r="I14" s="137">
        <f t="shared" si="1"/>
        <v>3</v>
      </c>
    </row>
    <row r="15" spans="2:13" s="128" customFormat="1" ht="18.75" x14ac:dyDescent="0.3">
      <c r="B15" s="136" t="s">
        <v>484</v>
      </c>
      <c r="C15" s="138" t="s">
        <v>485</v>
      </c>
      <c r="D15" s="136"/>
      <c r="E15" s="137">
        <v>4</v>
      </c>
      <c r="F15" s="139">
        <v>44118</v>
      </c>
      <c r="G15" s="137">
        <v>4</v>
      </c>
      <c r="H15" s="53"/>
      <c r="I15" s="137">
        <f t="shared" si="1"/>
        <v>4</v>
      </c>
    </row>
    <row r="16" spans="2:13" s="128" customFormat="1" ht="18.75" x14ac:dyDescent="0.3">
      <c r="B16" s="136" t="s">
        <v>486</v>
      </c>
      <c r="C16" s="138" t="s">
        <v>487</v>
      </c>
      <c r="D16" s="136"/>
      <c r="E16" s="137">
        <v>9</v>
      </c>
      <c r="F16" s="139">
        <v>44118</v>
      </c>
      <c r="G16" s="137">
        <v>9</v>
      </c>
      <c r="H16" s="53"/>
      <c r="I16" s="137">
        <f t="shared" si="1"/>
        <v>9</v>
      </c>
    </row>
    <row r="17" spans="2:12" s="128" customFormat="1" ht="18.75" x14ac:dyDescent="0.3">
      <c r="B17" s="136" t="s">
        <v>488</v>
      </c>
      <c r="C17" s="138" t="s">
        <v>489</v>
      </c>
      <c r="D17" s="136"/>
      <c r="E17" s="137">
        <v>10</v>
      </c>
      <c r="F17" s="139">
        <v>44118</v>
      </c>
      <c r="G17" s="137">
        <v>10</v>
      </c>
      <c r="H17" s="53"/>
      <c r="I17" s="137">
        <f t="shared" si="1"/>
        <v>10</v>
      </c>
    </row>
    <row r="18" spans="2:12" s="128" customFormat="1" ht="18.75" x14ac:dyDescent="0.3">
      <c r="B18" s="136" t="s">
        <v>490</v>
      </c>
      <c r="C18" s="138" t="s">
        <v>491</v>
      </c>
      <c r="D18" s="136"/>
      <c r="E18" s="137">
        <v>8</v>
      </c>
      <c r="F18" s="139">
        <v>44118</v>
      </c>
      <c r="G18" s="137">
        <v>8</v>
      </c>
      <c r="H18" s="53"/>
      <c r="I18" s="137">
        <f t="shared" si="1"/>
        <v>8</v>
      </c>
    </row>
    <row r="19" spans="2:12" s="128" customFormat="1" ht="18.75" x14ac:dyDescent="0.3">
      <c r="B19" s="136" t="s">
        <v>492</v>
      </c>
      <c r="C19" s="138" t="s">
        <v>493</v>
      </c>
      <c r="D19" s="136"/>
      <c r="E19" s="137">
        <v>37</v>
      </c>
      <c r="F19" s="139">
        <v>44118</v>
      </c>
      <c r="G19" s="137">
        <v>37</v>
      </c>
      <c r="H19" s="53"/>
      <c r="I19" s="137">
        <f t="shared" si="1"/>
        <v>37</v>
      </c>
    </row>
    <row r="20" spans="2:12" s="128" customFormat="1" ht="18.75" x14ac:dyDescent="0.3">
      <c r="B20" s="136" t="s">
        <v>498</v>
      </c>
      <c r="C20" s="138" t="s">
        <v>499</v>
      </c>
      <c r="D20" s="136"/>
      <c r="E20" s="137">
        <v>41</v>
      </c>
      <c r="F20" s="139">
        <v>44118</v>
      </c>
      <c r="G20" s="137">
        <v>41</v>
      </c>
      <c r="H20" s="53"/>
      <c r="I20" s="137">
        <f>G20</f>
        <v>41</v>
      </c>
    </row>
    <row r="21" spans="2:12" s="128" customFormat="1" ht="18.75" x14ac:dyDescent="0.3">
      <c r="B21" s="81" t="s">
        <v>494</v>
      </c>
      <c r="C21" s="86" t="s">
        <v>495</v>
      </c>
      <c r="D21" s="81"/>
      <c r="E21" s="82">
        <v>42</v>
      </c>
      <c r="F21" s="87">
        <v>44118</v>
      </c>
      <c r="G21" s="82">
        <v>42</v>
      </c>
      <c r="H21" s="104"/>
      <c r="I21" s="82">
        <f t="shared" si="1"/>
        <v>42</v>
      </c>
    </row>
    <row r="22" spans="2:12" s="128" customFormat="1" ht="18.75" x14ac:dyDescent="0.3">
      <c r="B22" s="81" t="s">
        <v>496</v>
      </c>
      <c r="C22" s="86" t="s">
        <v>497</v>
      </c>
      <c r="D22" s="81"/>
      <c r="E22" s="82">
        <v>46</v>
      </c>
      <c r="F22" s="87">
        <v>44118</v>
      </c>
      <c r="G22" s="82">
        <v>46</v>
      </c>
      <c r="H22" s="104"/>
      <c r="I22" s="82">
        <f t="shared" si="1"/>
        <v>46</v>
      </c>
    </row>
    <row r="23" spans="2:12" s="140" customFormat="1" ht="18.75" x14ac:dyDescent="0.3">
      <c r="B23" s="145" t="s">
        <v>502</v>
      </c>
      <c r="C23" s="86"/>
      <c r="D23" s="81"/>
      <c r="E23" s="82"/>
      <c r="F23" s="87"/>
      <c r="G23" s="82"/>
      <c r="H23" s="104"/>
      <c r="I23" s="82">
        <f>-(I21+I22)</f>
        <v>-88</v>
      </c>
    </row>
    <row r="24" spans="2:12" s="140" customFormat="1" ht="18.75" x14ac:dyDescent="0.3">
      <c r="B24" s="146" t="s">
        <v>504</v>
      </c>
      <c r="C24" s="143" t="s">
        <v>503</v>
      </c>
      <c r="D24" s="141"/>
      <c r="E24" s="142">
        <v>12</v>
      </c>
      <c r="F24" s="144">
        <v>44121</v>
      </c>
      <c r="G24" s="142">
        <v>12</v>
      </c>
      <c r="H24" s="53"/>
      <c r="I24" s="142">
        <v>12</v>
      </c>
    </row>
    <row r="25" spans="2:12" s="140" customFormat="1" ht="18.75" x14ac:dyDescent="0.3">
      <c r="B25" s="146" t="s">
        <v>505</v>
      </c>
      <c r="C25" s="143"/>
      <c r="D25" s="141"/>
      <c r="E25" s="142">
        <v>37.799999999999997</v>
      </c>
      <c r="F25" s="144">
        <v>44122</v>
      </c>
      <c r="G25" s="142">
        <v>38</v>
      </c>
      <c r="H25" s="53"/>
      <c r="I25" s="142">
        <v>38</v>
      </c>
    </row>
    <row r="26" spans="2:12" s="140" customFormat="1" ht="18.75" x14ac:dyDescent="0.3">
      <c r="B26" s="146" t="s">
        <v>508</v>
      </c>
      <c r="C26" s="143" t="s">
        <v>509</v>
      </c>
      <c r="D26" s="141"/>
      <c r="E26" s="142">
        <v>425</v>
      </c>
      <c r="F26" s="144">
        <v>44127</v>
      </c>
      <c r="G26" s="142">
        <v>424.44</v>
      </c>
      <c r="H26" s="53"/>
      <c r="I26" s="142">
        <f>ROUNDUP(G26,0)</f>
        <v>425</v>
      </c>
    </row>
    <row r="27" spans="2:12" s="140" customFormat="1" ht="18.75" x14ac:dyDescent="0.3">
      <c r="B27" s="146" t="s">
        <v>510</v>
      </c>
      <c r="C27" s="143" t="s">
        <v>509</v>
      </c>
      <c r="D27" s="141"/>
      <c r="E27" s="142">
        <v>93.96</v>
      </c>
      <c r="F27" s="144">
        <v>44154</v>
      </c>
      <c r="G27" s="142">
        <v>93.96</v>
      </c>
      <c r="H27" s="53"/>
      <c r="I27" s="142">
        <v>93.96</v>
      </c>
    </row>
    <row r="28" spans="2:12" ht="15.75" thickBot="1" x14ac:dyDescent="0.3">
      <c r="E28" s="14"/>
    </row>
    <row r="29" spans="2:12" ht="27" thickBot="1" x14ac:dyDescent="0.45">
      <c r="E29" s="25">
        <f>SUM(E6:E28)</f>
        <v>8241</v>
      </c>
      <c r="G29" s="28" t="s">
        <v>0</v>
      </c>
      <c r="H29" s="15"/>
      <c r="I29" s="24">
        <f>SUM(I6:I28)</f>
        <v>8153.2</v>
      </c>
    </row>
    <row r="30" spans="2:12" x14ac:dyDescent="0.25">
      <c r="G30" s="14"/>
      <c r="H30" s="14"/>
    </row>
    <row r="32" spans="2:12" x14ac:dyDescent="0.25">
      <c r="L32" s="36" t="s">
        <v>126</v>
      </c>
    </row>
    <row r="33" spans="12:15" ht="18" customHeight="1" x14ac:dyDescent="0.25">
      <c r="L33" s="10" t="s">
        <v>122</v>
      </c>
      <c r="N33" s="10" t="s">
        <v>124</v>
      </c>
      <c r="O33" s="36" t="s">
        <v>125</v>
      </c>
    </row>
    <row r="34" spans="12:15" x14ac:dyDescent="0.25">
      <c r="L34" s="10">
        <f>12.36*1.08</f>
        <v>13.348800000000001</v>
      </c>
      <c r="N34" s="10">
        <f>2.18*1.08</f>
        <v>2.3544000000000005</v>
      </c>
    </row>
    <row r="35" spans="12:15" x14ac:dyDescent="0.25">
      <c r="L35" s="10">
        <f>2*((16/12)*(16/12))</f>
        <v>3.5555555555555554</v>
      </c>
      <c r="N35" s="10">
        <f>(12/8)*1</f>
        <v>1.5</v>
      </c>
    </row>
    <row r="37" spans="12:15" x14ac:dyDescent="0.25">
      <c r="L37" s="14">
        <f>L34/L35</f>
        <v>3.7543500000000005</v>
      </c>
      <c r="M37" s="10" t="s">
        <v>123</v>
      </c>
      <c r="N37" s="14">
        <f>N34/N35</f>
        <v>1.5696000000000003</v>
      </c>
      <c r="O37" s="10" t="s">
        <v>123</v>
      </c>
    </row>
    <row r="39" spans="12:15" x14ac:dyDescent="0.25">
      <c r="L39" s="10" t="s">
        <v>127</v>
      </c>
    </row>
    <row r="41" spans="12:15" x14ac:dyDescent="0.25">
      <c r="L41" s="10">
        <f>5.56/6.18</f>
        <v>0.89967637540453071</v>
      </c>
    </row>
  </sheetData>
  <hyperlinks>
    <hyperlink ref="O33" r:id="rId1"/>
    <hyperlink ref="L32" r:id="rId2"/>
    <hyperlink ref="C11" r:id="rId3"/>
    <hyperlink ref="C14" r:id="rId4"/>
    <hyperlink ref="C15" r:id="rId5"/>
    <hyperlink ref="C16" r:id="rId6"/>
    <hyperlink ref="C18" r:id="rId7"/>
    <hyperlink ref="C19" r:id="rId8"/>
    <hyperlink ref="C21" r:id="rId9"/>
    <hyperlink ref="C22" r:id="rId10"/>
    <hyperlink ref="C20" r:id="rId11"/>
    <hyperlink ref="C17" r:id="rId12"/>
    <hyperlink ref="C26" r:id="rId13"/>
    <hyperlink ref="C27" r:id="rId14"/>
  </hyperlinks>
  <pageMargins left="0.7" right="0.7" top="0.75" bottom="0.75" header="0.3" footer="0.3"/>
  <pageSetup scale="64" orientation="landscape" horizontalDpi="4294967293" verticalDpi="4294967293" r:id="rId1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3"/>
  <sheetViews>
    <sheetView workbookViewId="0">
      <selection activeCell="A14" sqref="A14:XFD16"/>
    </sheetView>
  </sheetViews>
  <sheetFormatPr defaultRowHeight="15" x14ac:dyDescent="0.25"/>
  <cols>
    <col min="1" max="1" width="9.140625" style="10"/>
    <col min="2" max="2" width="51.5703125" style="10" bestFit="1" customWidth="1"/>
    <col min="3" max="3" width="12.42578125" style="10" customWidth="1"/>
    <col min="4" max="4" width="21.140625" style="10" bestFit="1" customWidth="1"/>
    <col min="5" max="5" width="20.140625" style="10" bestFit="1" customWidth="1"/>
    <col min="6" max="6" width="13.7109375" style="10" bestFit="1" customWidth="1"/>
    <col min="7" max="7" width="10.85546875" style="10" bestFit="1" customWidth="1"/>
    <col min="8" max="8" width="1.42578125" style="10" customWidth="1"/>
    <col min="9" max="9" width="28" style="10" bestFit="1" customWidth="1"/>
    <col min="10" max="11" width="9.140625" style="10"/>
    <col min="12" max="12" width="19" style="10" bestFit="1" customWidth="1"/>
    <col min="13" max="13" width="9.42578125" style="10" bestFit="1" customWidth="1"/>
    <col min="14" max="14" width="12.140625" style="10" bestFit="1" customWidth="1"/>
    <col min="15" max="15" width="9.28515625" style="10" bestFit="1" customWidth="1"/>
    <col min="16" max="16384" width="9.140625" style="10"/>
  </cols>
  <sheetData>
    <row r="1" spans="2:13" ht="15.75" thickBot="1" x14ac:dyDescent="0.3"/>
    <row r="2" spans="2:13" ht="32.25" thickBot="1" x14ac:dyDescent="0.55000000000000004">
      <c r="B2" s="9" t="s">
        <v>84</v>
      </c>
      <c r="L2" s="30" t="s">
        <v>38</v>
      </c>
    </row>
    <row r="3" spans="2:13" ht="15.75" thickBot="1" x14ac:dyDescent="0.3">
      <c r="L3" s="29" t="s">
        <v>39</v>
      </c>
      <c r="M3" s="10" t="s">
        <v>61</v>
      </c>
    </row>
    <row r="4" spans="2:13" ht="19.5" thickBot="1" x14ac:dyDescent="0.35">
      <c r="L4" s="10" t="s">
        <v>77</v>
      </c>
      <c r="M4" s="31">
        <v>110</v>
      </c>
    </row>
    <row r="5" spans="2:13" ht="21.75" thickBot="1" x14ac:dyDescent="0.4">
      <c r="B5" s="11" t="s">
        <v>27</v>
      </c>
      <c r="C5" s="11" t="s">
        <v>64</v>
      </c>
      <c r="D5" s="11" t="s">
        <v>184</v>
      </c>
      <c r="E5" s="11" t="s">
        <v>32</v>
      </c>
      <c r="F5" s="12" t="s">
        <v>28</v>
      </c>
      <c r="G5" s="12" t="s">
        <v>29</v>
      </c>
      <c r="H5" s="12"/>
      <c r="I5" s="16" t="s">
        <v>30</v>
      </c>
    </row>
    <row r="6" spans="2:13" ht="18.75" x14ac:dyDescent="0.3">
      <c r="B6" s="55" t="s">
        <v>163</v>
      </c>
      <c r="C6" s="52" t="s">
        <v>166</v>
      </c>
      <c r="D6" s="52"/>
      <c r="E6" s="119">
        <v>7</v>
      </c>
      <c r="F6" s="56">
        <v>43994</v>
      </c>
      <c r="G6" s="61">
        <v>6.45</v>
      </c>
      <c r="H6" s="53"/>
      <c r="I6" s="50">
        <f t="shared" ref="I6:I9" si="0">ROUNDUP(G6,0)</f>
        <v>7</v>
      </c>
    </row>
    <row r="7" spans="2:13" ht="18.75" x14ac:dyDescent="0.3">
      <c r="B7" s="55" t="s">
        <v>164</v>
      </c>
      <c r="C7" s="52" t="s">
        <v>165</v>
      </c>
      <c r="D7" s="52"/>
      <c r="E7" s="119">
        <v>16</v>
      </c>
      <c r="F7" s="56">
        <v>43994</v>
      </c>
      <c r="G7" s="61">
        <v>15.1</v>
      </c>
      <c r="H7" s="53"/>
      <c r="I7" s="50">
        <f t="shared" si="0"/>
        <v>16</v>
      </c>
    </row>
    <row r="8" spans="2:13" ht="14.25" customHeight="1" x14ac:dyDescent="0.3">
      <c r="B8" s="55" t="s">
        <v>179</v>
      </c>
      <c r="C8" s="67" t="s">
        <v>180</v>
      </c>
      <c r="D8" s="67"/>
      <c r="E8" s="119">
        <v>43</v>
      </c>
      <c r="F8" s="56">
        <v>43996</v>
      </c>
      <c r="G8" s="61">
        <v>42.14</v>
      </c>
      <c r="H8" s="53"/>
      <c r="I8" s="50">
        <f t="shared" si="0"/>
        <v>43</v>
      </c>
    </row>
    <row r="9" spans="2:13" ht="14.25" customHeight="1" x14ac:dyDescent="0.3">
      <c r="B9" s="55" t="s">
        <v>181</v>
      </c>
      <c r="C9" s="67" t="s">
        <v>182</v>
      </c>
      <c r="D9" s="67"/>
      <c r="E9" s="119">
        <v>10</v>
      </c>
      <c r="F9" s="56">
        <v>43996</v>
      </c>
      <c r="G9" s="61">
        <v>9.42</v>
      </c>
      <c r="H9" s="53"/>
      <c r="I9" s="50">
        <f t="shared" si="0"/>
        <v>10</v>
      </c>
    </row>
    <row r="10" spans="2:13" s="114" customFormat="1" ht="14.25" customHeight="1" x14ac:dyDescent="0.3">
      <c r="B10" s="55" t="s">
        <v>403</v>
      </c>
      <c r="C10" s="67" t="s">
        <v>404</v>
      </c>
      <c r="D10" s="67"/>
      <c r="E10" s="50">
        <v>43</v>
      </c>
      <c r="F10" s="56">
        <v>44084</v>
      </c>
      <c r="G10" s="50">
        <v>43</v>
      </c>
      <c r="H10" s="53"/>
      <c r="I10" s="50">
        <v>43</v>
      </c>
    </row>
    <row r="11" spans="2:13" s="114" customFormat="1" ht="14.25" customHeight="1" x14ac:dyDescent="0.3">
      <c r="B11" s="55" t="s">
        <v>406</v>
      </c>
      <c r="C11" s="67" t="s">
        <v>407</v>
      </c>
      <c r="D11" s="67"/>
      <c r="E11" s="50">
        <v>32</v>
      </c>
      <c r="F11" s="56">
        <v>44084</v>
      </c>
      <c r="G11" s="50">
        <v>32</v>
      </c>
      <c r="H11" s="53"/>
      <c r="I11" s="50">
        <v>32</v>
      </c>
    </row>
    <row r="12" spans="2:13" s="114" customFormat="1" ht="14.25" customHeight="1" x14ac:dyDescent="0.3">
      <c r="B12" s="55" t="s">
        <v>409</v>
      </c>
      <c r="C12" s="67" t="s">
        <v>408</v>
      </c>
      <c r="D12" s="67"/>
      <c r="E12" s="50">
        <v>63</v>
      </c>
      <c r="F12" s="56">
        <v>44084</v>
      </c>
      <c r="G12" s="50">
        <v>63</v>
      </c>
      <c r="H12" s="53"/>
      <c r="I12" s="50">
        <v>63</v>
      </c>
    </row>
    <row r="13" spans="2:13" s="114" customFormat="1" ht="14.25" customHeight="1" x14ac:dyDescent="0.3">
      <c r="B13" s="55" t="s">
        <v>411</v>
      </c>
      <c r="C13" s="67" t="s">
        <v>410</v>
      </c>
      <c r="D13" s="67"/>
      <c r="E13" s="50">
        <v>105</v>
      </c>
      <c r="F13" s="56">
        <v>44084</v>
      </c>
      <c r="G13" s="50">
        <v>105</v>
      </c>
      <c r="H13" s="53"/>
      <c r="I13" s="50">
        <v>105</v>
      </c>
    </row>
    <row r="14" spans="2:13" x14ac:dyDescent="0.25">
      <c r="B14" s="32"/>
      <c r="C14" s="32"/>
      <c r="D14" s="32"/>
      <c r="E14" s="14"/>
      <c r="G14" s="66"/>
    </row>
    <row r="15" spans="2:13" ht="15.75" thickBot="1" x14ac:dyDescent="0.3">
      <c r="E15" s="14"/>
    </row>
    <row r="16" spans="2:13" ht="27" thickBot="1" x14ac:dyDescent="0.45">
      <c r="E16" s="25">
        <f>SUM(E6:E15)</f>
        <v>319</v>
      </c>
      <c r="G16" s="28" t="s">
        <v>0</v>
      </c>
      <c r="H16" s="15"/>
      <c r="I16" s="24">
        <f>SUM(I6:I15)</f>
        <v>319</v>
      </c>
    </row>
    <row r="17" spans="7:8" x14ac:dyDescent="0.25">
      <c r="G17" s="14"/>
      <c r="H17" s="14"/>
    </row>
    <row r="22" spans="7:8" ht="18" customHeight="1" x14ac:dyDescent="0.25"/>
    <row r="23" spans="7:8" ht="18" customHeight="1" x14ac:dyDescent="0.25"/>
  </sheetData>
  <hyperlinks>
    <hyperlink ref="C7" r:id="rId1"/>
    <hyperlink ref="C6" r:id="rId2"/>
    <hyperlink ref="C8" r:id="rId3" display="https://www.homedepot.com/p/2-in-x-12-in-x-8-ft-Premium-2-and-Better-Douglas-Fir-Lumber-707195/202094201"/>
    <hyperlink ref="C9" r:id="rId4"/>
    <hyperlink ref="C11" r:id="rId5"/>
  </hyperlinks>
  <pageMargins left="0.7" right="0.7" top="0.75" bottom="0.75" header="0.3" footer="0.3"/>
  <pageSetup scale="64" orientation="landscape" horizontalDpi="4294967293" verticalDpi="4294967293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3"/>
  <sheetViews>
    <sheetView workbookViewId="0">
      <selection activeCell="D10" sqref="D6:D10"/>
    </sheetView>
  </sheetViews>
  <sheetFormatPr defaultRowHeight="15" x14ac:dyDescent="0.25"/>
  <cols>
    <col min="1" max="1" width="9.140625" style="10"/>
    <col min="2" max="2" width="51.5703125" style="10" bestFit="1" customWidth="1"/>
    <col min="3" max="3" width="12.42578125" style="10" customWidth="1"/>
    <col min="4" max="4" width="20.42578125" style="114" bestFit="1" customWidth="1"/>
    <col min="5" max="5" width="20.140625" style="10" bestFit="1" customWidth="1"/>
    <col min="6" max="6" width="9.7109375" style="10" bestFit="1" customWidth="1"/>
    <col min="7" max="7" width="10.5703125" style="10" bestFit="1" customWidth="1"/>
    <col min="8" max="8" width="1.42578125" style="10" customWidth="1"/>
    <col min="9" max="9" width="28" style="10" bestFit="1" customWidth="1"/>
    <col min="10" max="11" width="9.140625" style="10"/>
    <col min="12" max="12" width="19" style="10" bestFit="1" customWidth="1"/>
    <col min="13" max="13" width="9.42578125" style="10" bestFit="1" customWidth="1"/>
    <col min="14" max="14" width="12.140625" style="10" bestFit="1" customWidth="1"/>
    <col min="15" max="15" width="9.28515625" style="10" bestFit="1" customWidth="1"/>
    <col min="16" max="16384" width="9.140625" style="10"/>
  </cols>
  <sheetData>
    <row r="1" spans="2:13" ht="15.75" thickBot="1" x14ac:dyDescent="0.3"/>
    <row r="2" spans="2:13" ht="32.25" thickBot="1" x14ac:dyDescent="0.55000000000000004">
      <c r="B2" s="9" t="s">
        <v>85</v>
      </c>
      <c r="L2" s="30" t="s">
        <v>38</v>
      </c>
    </row>
    <row r="3" spans="2:13" ht="15.75" thickBot="1" x14ac:dyDescent="0.3">
      <c r="L3" s="29" t="s">
        <v>39</v>
      </c>
      <c r="M3" s="10" t="s">
        <v>61</v>
      </c>
    </row>
    <row r="4" spans="2:13" ht="19.5" thickBot="1" x14ac:dyDescent="0.35">
      <c r="L4" s="10" t="s">
        <v>77</v>
      </c>
      <c r="M4" s="31">
        <v>275</v>
      </c>
    </row>
    <row r="5" spans="2:13" ht="21.75" thickBot="1" x14ac:dyDescent="0.4">
      <c r="B5" s="11" t="s">
        <v>27</v>
      </c>
      <c r="C5" s="11" t="s">
        <v>64</v>
      </c>
      <c r="D5" s="11" t="s">
        <v>393</v>
      </c>
      <c r="E5" s="11" t="s">
        <v>32</v>
      </c>
      <c r="F5" s="12" t="s">
        <v>28</v>
      </c>
      <c r="G5" s="12" t="s">
        <v>29</v>
      </c>
      <c r="H5" s="12"/>
      <c r="I5" s="16" t="s">
        <v>30</v>
      </c>
    </row>
    <row r="6" spans="2:13" ht="18.75" x14ac:dyDescent="0.3">
      <c r="B6" s="10" t="s">
        <v>81</v>
      </c>
      <c r="D6" s="99">
        <f>M4/50*50*1.1+89</f>
        <v>391.5</v>
      </c>
      <c r="F6" s="40"/>
      <c r="G6" s="40"/>
      <c r="H6" s="40"/>
      <c r="I6" s="14">
        <f>ROUNDUP(G6,0)</f>
        <v>0</v>
      </c>
    </row>
    <row r="7" spans="2:13" ht="18.75" x14ac:dyDescent="0.3">
      <c r="B7" s="32" t="s">
        <v>82</v>
      </c>
      <c r="C7" s="32"/>
      <c r="D7" s="99">
        <f>1*53*1.1</f>
        <v>58.300000000000004</v>
      </c>
      <c r="F7" s="40"/>
      <c r="G7" s="40"/>
      <c r="H7" s="40"/>
      <c r="I7" s="14">
        <f>ROUNDUP(G7,0)</f>
        <v>0</v>
      </c>
    </row>
    <row r="8" spans="2:13" x14ac:dyDescent="0.25">
      <c r="B8" s="37" t="s">
        <v>78</v>
      </c>
      <c r="C8" s="32"/>
      <c r="D8" s="99">
        <f>(240-60)*12</f>
        <v>2160</v>
      </c>
      <c r="F8" s="13"/>
      <c r="G8" s="14"/>
      <c r="H8" s="14"/>
      <c r="I8" s="14">
        <f>ROUNDUP(G8,0)</f>
        <v>0</v>
      </c>
    </row>
    <row r="9" spans="2:13" x14ac:dyDescent="0.25">
      <c r="B9" s="37" t="s">
        <v>79</v>
      </c>
      <c r="C9" s="35"/>
      <c r="D9" s="99">
        <f>60*12</f>
        <v>720</v>
      </c>
      <c r="F9" s="14"/>
      <c r="G9" s="14"/>
      <c r="H9" s="14"/>
      <c r="I9" s="14">
        <f>ROUNDUP(G9,0)</f>
        <v>0</v>
      </c>
    </row>
    <row r="10" spans="2:13" x14ac:dyDescent="0.25">
      <c r="B10" s="32" t="s">
        <v>80</v>
      </c>
      <c r="C10" s="35"/>
      <c r="D10" s="99">
        <v>150</v>
      </c>
      <c r="I10" s="14">
        <f>ROUNDUP(G10,0)</f>
        <v>0</v>
      </c>
    </row>
    <row r="11" spans="2:13" ht="15.75" thickBot="1" x14ac:dyDescent="0.3">
      <c r="E11" s="14"/>
    </row>
    <row r="12" spans="2:13" ht="27" thickBot="1" x14ac:dyDescent="0.45">
      <c r="E12" s="25">
        <f>SUM(E6:E11)</f>
        <v>0</v>
      </c>
      <c r="G12" s="28" t="s">
        <v>0</v>
      </c>
      <c r="H12" s="15"/>
      <c r="I12" s="24">
        <f>SUM(I6:I11)</f>
        <v>0</v>
      </c>
    </row>
    <row r="13" spans="2:13" x14ac:dyDescent="0.25">
      <c r="G13" s="14"/>
      <c r="H13" s="14"/>
    </row>
  </sheetData>
  <pageMargins left="0.7" right="0.7" top="0.75" bottom="0.75" header="0.3" footer="0.3"/>
  <pageSetup scale="64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3"/>
  <sheetViews>
    <sheetView workbookViewId="0">
      <selection activeCell="D6" sqref="D6:D10"/>
    </sheetView>
  </sheetViews>
  <sheetFormatPr defaultRowHeight="15" x14ac:dyDescent="0.25"/>
  <cols>
    <col min="1" max="1" width="9.140625" style="10"/>
    <col min="2" max="2" width="51.5703125" style="10" bestFit="1" customWidth="1"/>
    <col min="3" max="3" width="12.42578125" style="10" customWidth="1"/>
    <col min="4" max="4" width="21.140625" style="114" bestFit="1" customWidth="1"/>
    <col min="5" max="5" width="20.140625" style="10" bestFit="1" customWidth="1"/>
    <col min="6" max="6" width="9.7109375" style="10" bestFit="1" customWidth="1"/>
    <col min="7" max="7" width="10.5703125" style="10" bestFit="1" customWidth="1"/>
    <col min="8" max="8" width="1.42578125" style="10" customWidth="1"/>
    <col min="9" max="9" width="28" style="10" bestFit="1" customWidth="1"/>
    <col min="10" max="11" width="9.140625" style="10"/>
    <col min="12" max="12" width="19" style="10" bestFit="1" customWidth="1"/>
    <col min="13" max="13" width="9.42578125" style="10" bestFit="1" customWidth="1"/>
    <col min="14" max="14" width="12.140625" style="10" bestFit="1" customWidth="1"/>
    <col min="15" max="15" width="9.28515625" style="10" bestFit="1" customWidth="1"/>
    <col min="16" max="16384" width="9.140625" style="10"/>
  </cols>
  <sheetData>
    <row r="1" spans="2:13" ht="15.75" thickBot="1" x14ac:dyDescent="0.3"/>
    <row r="2" spans="2:13" ht="32.25" thickBot="1" x14ac:dyDescent="0.55000000000000004">
      <c r="B2" s="9" t="s">
        <v>86</v>
      </c>
      <c r="L2" s="30" t="s">
        <v>38</v>
      </c>
    </row>
    <row r="3" spans="2:13" ht="15.75" thickBot="1" x14ac:dyDescent="0.3">
      <c r="L3" s="29" t="s">
        <v>39</v>
      </c>
      <c r="M3" s="10" t="s">
        <v>61</v>
      </c>
    </row>
    <row r="4" spans="2:13" ht="19.5" thickBot="1" x14ac:dyDescent="0.35">
      <c r="L4" s="10" t="s">
        <v>77</v>
      </c>
      <c r="M4" s="31">
        <v>170</v>
      </c>
    </row>
    <row r="5" spans="2:13" ht="21.75" thickBot="1" x14ac:dyDescent="0.4">
      <c r="B5" s="11" t="s">
        <v>27</v>
      </c>
      <c r="C5" s="11" t="s">
        <v>64</v>
      </c>
      <c r="D5" s="11" t="s">
        <v>184</v>
      </c>
      <c r="E5" s="11" t="s">
        <v>32</v>
      </c>
      <c r="F5" s="12" t="s">
        <v>28</v>
      </c>
      <c r="G5" s="12" t="s">
        <v>29</v>
      </c>
      <c r="H5" s="12"/>
      <c r="I5" s="16" t="s">
        <v>30</v>
      </c>
    </row>
    <row r="6" spans="2:13" ht="18.75" x14ac:dyDescent="0.3">
      <c r="B6" s="10" t="s">
        <v>81</v>
      </c>
      <c r="D6" s="14">
        <f>M4/50*50*1.1+89</f>
        <v>276</v>
      </c>
      <c r="F6" s="40"/>
      <c r="G6" s="40"/>
      <c r="H6" s="40"/>
      <c r="I6" s="14">
        <f>ROUNDUP(G6,0)</f>
        <v>0</v>
      </c>
    </row>
    <row r="7" spans="2:13" ht="18.75" x14ac:dyDescent="0.3">
      <c r="B7" s="32" t="s">
        <v>82</v>
      </c>
      <c r="C7" s="32"/>
      <c r="D7" s="14">
        <f>1*53*1.1</f>
        <v>58.300000000000004</v>
      </c>
      <c r="F7" s="40"/>
      <c r="G7" s="40"/>
      <c r="H7" s="40"/>
      <c r="I7" s="14">
        <f>ROUNDUP(G7,0)</f>
        <v>0</v>
      </c>
    </row>
    <row r="8" spans="2:13" x14ac:dyDescent="0.25">
      <c r="B8" s="37" t="s">
        <v>78</v>
      </c>
      <c r="C8" s="32"/>
      <c r="D8" s="14">
        <f>(240-60)*12</f>
        <v>2160</v>
      </c>
      <c r="F8" s="13"/>
      <c r="G8" s="14"/>
      <c r="H8" s="14"/>
      <c r="I8" s="14">
        <f>ROUNDUP(G8,0)</f>
        <v>0</v>
      </c>
    </row>
    <row r="9" spans="2:13" x14ac:dyDescent="0.25">
      <c r="B9" s="37" t="s">
        <v>79</v>
      </c>
      <c r="C9" s="35"/>
      <c r="D9" s="14">
        <f>60*12</f>
        <v>720</v>
      </c>
      <c r="F9" s="14"/>
      <c r="G9" s="14"/>
      <c r="H9" s="14"/>
      <c r="I9" s="14">
        <f>ROUNDUP(G9,0)</f>
        <v>0</v>
      </c>
    </row>
    <row r="10" spans="2:13" x14ac:dyDescent="0.25">
      <c r="B10" s="32" t="s">
        <v>80</v>
      </c>
      <c r="C10" s="35"/>
      <c r="D10" s="14">
        <v>150</v>
      </c>
      <c r="I10" s="14">
        <f>ROUNDUP(G10,0)</f>
        <v>0</v>
      </c>
    </row>
    <row r="11" spans="2:13" ht="15.75" thickBot="1" x14ac:dyDescent="0.3">
      <c r="E11" s="14"/>
    </row>
    <row r="12" spans="2:13" ht="27" thickBot="1" x14ac:dyDescent="0.45">
      <c r="E12" s="25">
        <f>SUM(E6:E11)</f>
        <v>0</v>
      </c>
      <c r="G12" s="28" t="s">
        <v>0</v>
      </c>
      <c r="H12" s="15"/>
      <c r="I12" s="24">
        <f>SUM(I6:I11)</f>
        <v>0</v>
      </c>
    </row>
    <row r="13" spans="2:13" x14ac:dyDescent="0.25">
      <c r="G13" s="14"/>
      <c r="H13" s="14"/>
    </row>
  </sheetData>
  <pageMargins left="0.7" right="0.7" top="0.75" bottom="0.75" header="0.3" footer="0.3"/>
  <pageSetup scale="64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Budget</vt:lpstr>
      <vt:lpstr>0_Software</vt:lpstr>
      <vt:lpstr>1_Consulting</vt:lpstr>
      <vt:lpstr>2_Grass_and_sprinkler</vt:lpstr>
      <vt:lpstr>3_Mulch</vt:lpstr>
      <vt:lpstr>4_Paver_Patio</vt:lpstr>
      <vt:lpstr>5_mother-in-law_Patio</vt:lpstr>
      <vt:lpstr>6_walkway_side_yard</vt:lpstr>
      <vt:lpstr>7_walkway_back_yard</vt:lpstr>
      <vt:lpstr>8_Gate</vt:lpstr>
      <vt:lpstr>9_lighting</vt:lpstr>
      <vt:lpstr>10. Drainage</vt:lpstr>
      <vt:lpstr>11. Tools</vt:lpstr>
      <vt:lpstr>12. Ethernet</vt:lpstr>
      <vt:lpstr>13. Kid Labor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2020-05-22T12:21:36Z</cp:lastPrinted>
  <dcterms:created xsi:type="dcterms:W3CDTF">2020-05-20T18:54:26Z</dcterms:created>
  <dcterms:modified xsi:type="dcterms:W3CDTF">2020-11-23T17:42:43Z</dcterms:modified>
</cp:coreProperties>
</file>