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<sst xmlns="http://schemas.openxmlformats.org/spreadsheetml/2006/main" count="1008" uniqueCount="1003">
  <si>
    <t>LOW1</t>
  </si>
  <si>
    <t>HIGH1</t>
  </si>
  <si>
    <t>LOW2</t>
  </si>
  <si>
    <t>HIGH2</t>
  </si>
  <si>
    <t>L1&lt;=L2</t>
  </si>
  <si>
    <t>H1&gt;=H2</t>
  </si>
  <si>
    <t>L2&lt;=L1</t>
  </si>
  <si>
    <t>H2&gt;=H1</t>
  </si>
  <si>
    <t>14-98,14-14</t>
  </si>
  <si>
    <t>2-20,3-3</t>
  </si>
  <si>
    <t>64-67,43-63</t>
  </si>
  <si>
    <t>13-91,14-90</t>
  </si>
  <si>
    <t>19-47,12-19</t>
  </si>
  <si>
    <t>26-74,26-84</t>
  </si>
  <si>
    <t>23-41,22-41</t>
  </si>
  <si>
    <t>46-67,41-66</t>
  </si>
  <si>
    <t>8-42,11-42</t>
  </si>
  <si>
    <t>4-23,24-26</t>
  </si>
  <si>
    <t>3-38,18-37</t>
  </si>
  <si>
    <t>82-84,1-83</t>
  </si>
  <si>
    <t>2-98,3-98</t>
  </si>
  <si>
    <t>53-98,53-54</t>
  </si>
  <si>
    <t>18-80,18-34</t>
  </si>
  <si>
    <t>83-89,9-83</t>
  </si>
  <si>
    <t>20-90,19-91</t>
  </si>
  <si>
    <t>4-32,31-70</t>
  </si>
  <si>
    <t>25-59,48-58</t>
  </si>
  <si>
    <t>54-55,54-91</t>
  </si>
  <si>
    <t>2-28,4-36</t>
  </si>
  <si>
    <t>21-66,21-66</t>
  </si>
  <si>
    <t>23-78,23-61</t>
  </si>
  <si>
    <t>43-98,43-43</t>
  </si>
  <si>
    <t>21-62,20-78</t>
  </si>
  <si>
    <t>81-91,78-82</t>
  </si>
  <si>
    <t>21-21,20-22</t>
  </si>
  <si>
    <t>62-68,63-67</t>
  </si>
  <si>
    <t>80-83,30-87</t>
  </si>
  <si>
    <t>4-88,81-93</t>
  </si>
  <si>
    <t>48-53,49-85</t>
  </si>
  <si>
    <t>49-93,48-94</t>
  </si>
  <si>
    <t>91-99,4-91</t>
  </si>
  <si>
    <t>71-71,70-71</t>
  </si>
  <si>
    <t>95-99,11-96</t>
  </si>
  <si>
    <t>12-99,99-99</t>
  </si>
  <si>
    <t>14-40,13-41</t>
  </si>
  <si>
    <t>9-91,9-9</t>
  </si>
  <si>
    <t>17-92,7-35</t>
  </si>
  <si>
    <t>71-96,94-97</t>
  </si>
  <si>
    <t>97-97,19-92</t>
  </si>
  <si>
    <t>7-64,7-65</t>
  </si>
  <si>
    <t>28-79,42-55</t>
  </si>
  <si>
    <t>16-99,15-97</t>
  </si>
  <si>
    <t>75-77,76-78</t>
  </si>
  <si>
    <t>5-92,6-80</t>
  </si>
  <si>
    <t>19-37,5-64</t>
  </si>
  <si>
    <t>19-25,2-26</t>
  </si>
  <si>
    <t>42-43,7-43</t>
  </si>
  <si>
    <t>16-49,15-17</t>
  </si>
  <si>
    <t>10-49,49-50</t>
  </si>
  <si>
    <t>33-91,34-91</t>
  </si>
  <si>
    <t>23-97,22-96</t>
  </si>
  <si>
    <t>8-97,8-75</t>
  </si>
  <si>
    <t>97-97,3-98</t>
  </si>
  <si>
    <t>71-72,19-71</t>
  </si>
  <si>
    <t>2-4,3-99</t>
  </si>
  <si>
    <t>5-33,33-40</t>
  </si>
  <si>
    <t>23-34,22-35</t>
  </si>
  <si>
    <t>17-98,11-98</t>
  </si>
  <si>
    <t>82-82,82-91</t>
  </si>
  <si>
    <t>35-63,7-62</t>
  </si>
  <si>
    <t>3-89,88-91</t>
  </si>
  <si>
    <t>85-95,60-85</t>
  </si>
  <si>
    <t>84-86,39-85</t>
  </si>
  <si>
    <t>83-83,82-85</t>
  </si>
  <si>
    <t>39-60,40-60</t>
  </si>
  <si>
    <t>34-83,12-96</t>
  </si>
  <si>
    <t>6-97,7-94</t>
  </si>
  <si>
    <t>89-94,1-90</t>
  </si>
  <si>
    <t>57-81,8-78</t>
  </si>
  <si>
    <t>11-12,12-88</t>
  </si>
  <si>
    <t>75-97,14-89</t>
  </si>
  <si>
    <t>53-87,52-88</t>
  </si>
  <si>
    <t>23-45,22-86</t>
  </si>
  <si>
    <t>32-78,31-78</t>
  </si>
  <si>
    <t>48-81,49-80</t>
  </si>
  <si>
    <t>28-28,11-29</t>
  </si>
  <si>
    <t>49-84,49-83</t>
  </si>
  <si>
    <t>19-24,20-26</t>
  </si>
  <si>
    <t>22-32,22-31</t>
  </si>
  <si>
    <t>41-51,26-46</t>
  </si>
  <si>
    <t>2-93,2-93</t>
  </si>
  <si>
    <t>24-33,27-81</t>
  </si>
  <si>
    <t>94-94,8-94</t>
  </si>
  <si>
    <t>49-51,50-96</t>
  </si>
  <si>
    <t>17-98,16-99</t>
  </si>
  <si>
    <t>9-85,12-84</t>
  </si>
  <si>
    <t>29-84,30-70</t>
  </si>
  <si>
    <t>1-99,4-98</t>
  </si>
  <si>
    <t>7-87,6-8</t>
  </si>
  <si>
    <t>7-58,19-78</t>
  </si>
  <si>
    <t>4-94,3-5</t>
  </si>
  <si>
    <t>2-99,1-1</t>
  </si>
  <si>
    <t>8-57,2-77</t>
  </si>
  <si>
    <t>19-57,20-57</t>
  </si>
  <si>
    <t>73-73,38-74</t>
  </si>
  <si>
    <t>33-99,26-98</t>
  </si>
  <si>
    <t>32-64,45-65</t>
  </si>
  <si>
    <t>3-89,1-99</t>
  </si>
  <si>
    <t>35-78,34-78</t>
  </si>
  <si>
    <t>32-58,32-57</t>
  </si>
  <si>
    <t>6-98,85-88</t>
  </si>
  <si>
    <t>68-85,72-95</t>
  </si>
  <si>
    <t>2-92,2-92</t>
  </si>
  <si>
    <t>10-41,9-74</t>
  </si>
  <si>
    <t>4-43,1-39</t>
  </si>
  <si>
    <t>14-72,42-72</t>
  </si>
  <si>
    <t>86-99,1-99</t>
  </si>
  <si>
    <t>20-48,20-47</t>
  </si>
  <si>
    <t>86-98,49-87</t>
  </si>
  <si>
    <t>43-52,42-52</t>
  </si>
  <si>
    <t>85-90,68-85</t>
  </si>
  <si>
    <t>3-27,2-27</t>
  </si>
  <si>
    <t>90-90,42-91</t>
  </si>
  <si>
    <t>2-94,2-95</t>
  </si>
  <si>
    <t>24-81,23-99</t>
  </si>
  <si>
    <t>77-87,78-87</t>
  </si>
  <si>
    <t>15-90,90-91</t>
  </si>
  <si>
    <t>48-90,49-90</t>
  </si>
  <si>
    <t>72-97,9-67</t>
  </si>
  <si>
    <t>74-96,36-95</t>
  </si>
  <si>
    <t>97-98,17-97</t>
  </si>
  <si>
    <t>24-48,16-47</t>
  </si>
  <si>
    <t>54-89,55-65</t>
  </si>
  <si>
    <t>7-15,6-36</t>
  </si>
  <si>
    <t>11-22,10-23</t>
  </si>
  <si>
    <t>19-87,17-71</t>
  </si>
  <si>
    <t>6-87,6-86</t>
  </si>
  <si>
    <t>83-87,24-52</t>
  </si>
  <si>
    <t>2-90,90-90</t>
  </si>
  <si>
    <t>5-68,63-94</t>
  </si>
  <si>
    <t>10-87,87-88</t>
  </si>
  <si>
    <t>37-88,37-89</t>
  </si>
  <si>
    <t>1-94,3-93</t>
  </si>
  <si>
    <t>48-89,89-91</t>
  </si>
  <si>
    <t>21-94,20-21</t>
  </si>
  <si>
    <t>36-99,11-96</t>
  </si>
  <si>
    <t>23-23,21-23</t>
  </si>
  <si>
    <t>6-69,4-68</t>
  </si>
  <si>
    <t>9-79,8-78</t>
  </si>
  <si>
    <t>14-98,14-98</t>
  </si>
  <si>
    <t>99-99,98-99</t>
  </si>
  <si>
    <t>59-99,59-64</t>
  </si>
  <si>
    <t>22-22,22-98</t>
  </si>
  <si>
    <t>70-70,69-98</t>
  </si>
  <si>
    <t>5-63,6-64</t>
  </si>
  <si>
    <t>27-87,28-28</t>
  </si>
  <si>
    <t>87-87,51-87</t>
  </si>
  <si>
    <t>21-97,20-98</t>
  </si>
  <si>
    <t>68-81,69-81</t>
  </si>
  <si>
    <t>5-46,46-47</t>
  </si>
  <si>
    <t>28-62,63-72</t>
  </si>
  <si>
    <t>15-61,32-91</t>
  </si>
  <si>
    <t>2-88,2-93</t>
  </si>
  <si>
    <t>85-85,7-85</t>
  </si>
  <si>
    <t>2-95,2-95</t>
  </si>
  <si>
    <t>23-78,22-78</t>
  </si>
  <si>
    <t>27-66,28-65</t>
  </si>
  <si>
    <t>11-69,10-70</t>
  </si>
  <si>
    <t>70-76,31-86</t>
  </si>
  <si>
    <t>20-27,26-27</t>
  </si>
  <si>
    <t>42-73,5-43</t>
  </si>
  <si>
    <t>41-62,42-61</t>
  </si>
  <si>
    <t>22-50,22-93</t>
  </si>
  <si>
    <t>61-79,79-79</t>
  </si>
  <si>
    <t>69-97,69-96</t>
  </si>
  <si>
    <t>84-92,18-85</t>
  </si>
  <si>
    <t>17-90,74-91</t>
  </si>
  <si>
    <t>87-87,2-88</t>
  </si>
  <si>
    <t>14-90,14-90</t>
  </si>
  <si>
    <t>64-75,1-76</t>
  </si>
  <si>
    <t>35-35,34-98</t>
  </si>
  <si>
    <t>32-39,36-40</t>
  </si>
  <si>
    <t>35-50,34-49</t>
  </si>
  <si>
    <t>9-71,11-72</t>
  </si>
  <si>
    <t>62-79,56-78</t>
  </si>
  <si>
    <t>2-98,59-99</t>
  </si>
  <si>
    <t>42-96,43-95</t>
  </si>
  <si>
    <t>16-85,17-84</t>
  </si>
  <si>
    <t>5-97,96-99</t>
  </si>
  <si>
    <t>20-44,21-43</t>
  </si>
  <si>
    <t>31-97,46-96</t>
  </si>
  <si>
    <t>16-69,15-63</t>
  </si>
  <si>
    <t>96-97,37-96</t>
  </si>
  <si>
    <t>15-21,16-55</t>
  </si>
  <si>
    <t>42-43,42-94</t>
  </si>
  <si>
    <t>37-77,37-76</t>
  </si>
  <si>
    <t>39-43,22-49</t>
  </si>
  <si>
    <t>7-9,5-9</t>
  </si>
  <si>
    <t>26-26,25-75</t>
  </si>
  <si>
    <t>6-84,5-85</t>
  </si>
  <si>
    <t>9-9,9-45</t>
  </si>
  <si>
    <t>96-99,13-96</t>
  </si>
  <si>
    <t>28-58,27-58</t>
  </si>
  <si>
    <t>34-55,18-55</t>
  </si>
  <si>
    <t>34-70,35-69</t>
  </si>
  <si>
    <t>20-80,20-80</t>
  </si>
  <si>
    <t>10-89,9-90</t>
  </si>
  <si>
    <t>59-83,8-59</t>
  </si>
  <si>
    <t>9-92,20-92</t>
  </si>
  <si>
    <t>66-81,65-77</t>
  </si>
  <si>
    <t>5-96,78-92</t>
  </si>
  <si>
    <t>15-68,15-99</t>
  </si>
  <si>
    <t>48-77,48-97</t>
  </si>
  <si>
    <t>69-89,28-70</t>
  </si>
  <si>
    <t>23-74,15-75</t>
  </si>
  <si>
    <t>25-96,25-98</t>
  </si>
  <si>
    <t>87-90,70-87</t>
  </si>
  <si>
    <t>30-32,31-31</t>
  </si>
  <si>
    <t>35-99,18-98</t>
  </si>
  <si>
    <t>1-58,25-78</t>
  </si>
  <si>
    <t>46-95,94-94</t>
  </si>
  <si>
    <t>12-98,12-99</t>
  </si>
  <si>
    <t>36-62,35-63</t>
  </si>
  <si>
    <t>68-73,67-69</t>
  </si>
  <si>
    <t>12-44,11-44</t>
  </si>
  <si>
    <t>13-93,77-95</t>
  </si>
  <si>
    <t>31-32,24-31</t>
  </si>
  <si>
    <t>44-95,34-96</t>
  </si>
  <si>
    <t>20-75,9-21</t>
  </si>
  <si>
    <t>26-68,2-25</t>
  </si>
  <si>
    <t>95-98,69-95</t>
  </si>
  <si>
    <t>93-98,12-94</t>
  </si>
  <si>
    <t>28-42,29-29</t>
  </si>
  <si>
    <t>4-82,5-82</t>
  </si>
  <si>
    <t>35-75,3-76</t>
  </si>
  <si>
    <t>6-15,8-14</t>
  </si>
  <si>
    <t>51-96,14-96</t>
  </si>
  <si>
    <t>77-80,41-70</t>
  </si>
  <si>
    <t>95-96,94-97</t>
  </si>
  <si>
    <t>57-68,58-69</t>
  </si>
  <si>
    <t>73-95,66-74</t>
  </si>
  <si>
    <t>27-45,46-60</t>
  </si>
  <si>
    <t>3-16,13-27</t>
  </si>
  <si>
    <t>2-82,2-83</t>
  </si>
  <si>
    <t>17-92,17-95</t>
  </si>
  <si>
    <t>16-34,20-70</t>
  </si>
  <si>
    <t>25-97,3-98</t>
  </si>
  <si>
    <t>3-91,4-91</t>
  </si>
  <si>
    <t>20-99,2-99</t>
  </si>
  <si>
    <t>78-89,79-89</t>
  </si>
  <si>
    <t>82-89,81-82</t>
  </si>
  <si>
    <t>3-40,2-19</t>
  </si>
  <si>
    <t>97-98,39-70</t>
  </si>
  <si>
    <t>3-82,5-85</t>
  </si>
  <si>
    <t>8-15,7-11</t>
  </si>
  <si>
    <t>17-44,32-52</t>
  </si>
  <si>
    <t>19-45,19-65</t>
  </si>
  <si>
    <t>31-97,32-75</t>
  </si>
  <si>
    <t>2-97,2-96</t>
  </si>
  <si>
    <t>30-31,30-84</t>
  </si>
  <si>
    <t>38-57,37-84</t>
  </si>
  <si>
    <t>41-74,42-42</t>
  </si>
  <si>
    <t>81-81,50-82</t>
  </si>
  <si>
    <t>5-94,5-94</t>
  </si>
  <si>
    <t>59-87,11-88</t>
  </si>
  <si>
    <t>8-83,7-84</t>
  </si>
  <si>
    <t>22-96,22-95</t>
  </si>
  <si>
    <t>3-75,1-99</t>
  </si>
  <si>
    <t>3-56,2-56</t>
  </si>
  <si>
    <t>12-87,4-88</t>
  </si>
  <si>
    <t>8-63,63-64</t>
  </si>
  <si>
    <t>15-62,14-61</t>
  </si>
  <si>
    <t>43-88,42-89</t>
  </si>
  <si>
    <t>23-24,23-90</t>
  </si>
  <si>
    <t>1-92,92-94</t>
  </si>
  <si>
    <t>28-73,29-29</t>
  </si>
  <si>
    <t>76-76,27-75</t>
  </si>
  <si>
    <t>76-76,13-77</t>
  </si>
  <si>
    <t>32-78,32-79</t>
  </si>
  <si>
    <t>60-98,60-98</t>
  </si>
  <si>
    <t>64-70,41-69</t>
  </si>
  <si>
    <t>14-59,14-59</t>
  </si>
  <si>
    <t>46-98,3-99</t>
  </si>
  <si>
    <t>29-62,62-97</t>
  </si>
  <si>
    <t>18-95,36-96</t>
  </si>
  <si>
    <t>84-85,27-85</t>
  </si>
  <si>
    <t>16-18,17-44</t>
  </si>
  <si>
    <t>33-72,53-71</t>
  </si>
  <si>
    <t>47-91,27-28</t>
  </si>
  <si>
    <t>35-88,35-87</t>
  </si>
  <si>
    <t>2-6,1-3</t>
  </si>
  <si>
    <t>84-86,73-85</t>
  </si>
  <si>
    <t>5-99,4-87</t>
  </si>
  <si>
    <t>4-5,5-92</t>
  </si>
  <si>
    <t>11-66,11-67</t>
  </si>
  <si>
    <t>4-42,5-48</t>
  </si>
  <si>
    <t>28-93,29-92</t>
  </si>
  <si>
    <t>2-50,3-49</t>
  </si>
  <si>
    <t>37-87,87-87</t>
  </si>
  <si>
    <t>14-90,97-99</t>
  </si>
  <si>
    <t>74-95,74-94</t>
  </si>
  <si>
    <t>25-74,22-73</t>
  </si>
  <si>
    <t>47-99,47-93</t>
  </si>
  <si>
    <t>8-86,7-87</t>
  </si>
  <si>
    <t>33-99,32-34</t>
  </si>
  <si>
    <t>50-51,35-50</t>
  </si>
  <si>
    <t>91-97,15-92</t>
  </si>
  <si>
    <t>41-93,37-45</t>
  </si>
  <si>
    <t>53-53,52-98</t>
  </si>
  <si>
    <t>33-60,38-64</t>
  </si>
  <si>
    <t>1-92,1-80</t>
  </si>
  <si>
    <t>4-56,4-68</t>
  </si>
  <si>
    <t>42-64,43-73</t>
  </si>
  <si>
    <t>68-75,69-69</t>
  </si>
  <si>
    <t>36-78,36-37</t>
  </si>
  <si>
    <t>11-63,10-63</t>
  </si>
  <si>
    <t>87-92,33-92</t>
  </si>
  <si>
    <t>7-73,6-74</t>
  </si>
  <si>
    <t>2-2,1-94</t>
  </si>
  <si>
    <t>1-29,10-41</t>
  </si>
  <si>
    <t>95-95,94-94</t>
  </si>
  <si>
    <t>3-12,12-12</t>
  </si>
  <si>
    <t>10-61,11-60</t>
  </si>
  <si>
    <t>91-98,79-79</t>
  </si>
  <si>
    <t>15-15,14-73</t>
  </si>
  <si>
    <t>18-58,19-58</t>
  </si>
  <si>
    <t>14-14,13-13</t>
  </si>
  <si>
    <t>14-71,70-70</t>
  </si>
  <si>
    <t>26-81,25-82</t>
  </si>
  <si>
    <t>57-90,57-88</t>
  </si>
  <si>
    <t>30-90,1-91</t>
  </si>
  <si>
    <t>9-99,10-10</t>
  </si>
  <si>
    <t>27-83,78-85</t>
  </si>
  <si>
    <t>20-84,9-85</t>
  </si>
  <si>
    <t>10-86,9-86</t>
  </si>
  <si>
    <t>9-70,5-10</t>
  </si>
  <si>
    <t>9-88,8-10</t>
  </si>
  <si>
    <t>1-97,96-96</t>
  </si>
  <si>
    <t>3-97,4-30</t>
  </si>
  <si>
    <t>64-84,3-64</t>
  </si>
  <si>
    <t>7-93,4-6</t>
  </si>
  <si>
    <t>81-88,81-81</t>
  </si>
  <si>
    <t>7-55,55-57</t>
  </si>
  <si>
    <t>10-98,9-98</t>
  </si>
  <si>
    <t>16-96,17-96</t>
  </si>
  <si>
    <t>58-87,58-86</t>
  </si>
  <si>
    <t>14-55,56-56</t>
  </si>
  <si>
    <t>26-27,26-97</t>
  </si>
  <si>
    <t>43-55,54-96</t>
  </si>
  <si>
    <t>10-50,9-50</t>
  </si>
  <si>
    <t>22-99,24-71</t>
  </si>
  <si>
    <t>1-96,1-97</t>
  </si>
  <si>
    <t>1-3,2-30</t>
  </si>
  <si>
    <t>18-91,90-94</t>
  </si>
  <si>
    <t>16-30,16-29</t>
  </si>
  <si>
    <t>23-48,25-73</t>
  </si>
  <si>
    <t>43-68,76-76</t>
  </si>
  <si>
    <t>25-82,26-26</t>
  </si>
  <si>
    <t>9-40,52-60</t>
  </si>
  <si>
    <t>19-72,19-71</t>
  </si>
  <si>
    <t>85-89,92-95</t>
  </si>
  <si>
    <t>5-73,4-74</t>
  </si>
  <si>
    <t>53-93,54-93</t>
  </si>
  <si>
    <t>16-81,12-82</t>
  </si>
  <si>
    <t>26-92,27-91</t>
  </si>
  <si>
    <t>33-99,54-62</t>
  </si>
  <si>
    <t>3-66,4-71</t>
  </si>
  <si>
    <t>26-87,25-88</t>
  </si>
  <si>
    <t>19-50,19-49</t>
  </si>
  <si>
    <t>16-35,15-70</t>
  </si>
  <si>
    <t>18-73,19-72</t>
  </si>
  <si>
    <t>36-68,35-69</t>
  </si>
  <si>
    <t>2-75,3-88</t>
  </si>
  <si>
    <t>10-81,9-81</t>
  </si>
  <si>
    <t>6-91,5-87</t>
  </si>
  <si>
    <t>50-59,50-50</t>
  </si>
  <si>
    <t>15-15,15-87</t>
  </si>
  <si>
    <t>4-63,3-64</t>
  </si>
  <si>
    <t>25-77,26-77</t>
  </si>
  <si>
    <t>8-50,9-98</t>
  </si>
  <si>
    <t>73-74,26-74</t>
  </si>
  <si>
    <t>71-83,82-84</t>
  </si>
  <si>
    <t>56-94,29-93</t>
  </si>
  <si>
    <t>11-30,11-29</t>
  </si>
  <si>
    <t>36-64,35-64</t>
  </si>
  <si>
    <t>56-67,57-67</t>
  </si>
  <si>
    <t>84-99,11-84</t>
  </si>
  <si>
    <t>54-92,54-91</t>
  </si>
  <si>
    <t>14-68,67-88</t>
  </si>
  <si>
    <t>11-11,10-96</t>
  </si>
  <si>
    <t>35-37,30-46</t>
  </si>
  <si>
    <t>3-51,47-64</t>
  </si>
  <si>
    <t>39-42,29-43</t>
  </si>
  <si>
    <t>53-70,54-70</t>
  </si>
  <si>
    <t>19-63,18-35</t>
  </si>
  <si>
    <t>76-89,76-92</t>
  </si>
  <si>
    <t>21-92,20-22</t>
  </si>
  <si>
    <t>19-57,19-58</t>
  </si>
  <si>
    <t>8-56,7-56</t>
  </si>
  <si>
    <t>46-94,98-98</t>
  </si>
  <si>
    <t>93-98,50-92</t>
  </si>
  <si>
    <t>12-93,28-92</t>
  </si>
  <si>
    <t>92-98,71-93</t>
  </si>
  <si>
    <t>52-84,53-53</t>
  </si>
  <si>
    <t>93-93,20-93</t>
  </si>
  <si>
    <t>4-92,5-92</t>
  </si>
  <si>
    <t>10-51,9-51</t>
  </si>
  <si>
    <t>37-88,38-87</t>
  </si>
  <si>
    <t>5-48,3-6</t>
  </si>
  <si>
    <t>22-49,21-49</t>
  </si>
  <si>
    <t>19-75,18-61</t>
  </si>
  <si>
    <t>5-60,7-60</t>
  </si>
  <si>
    <t>6-28,5-19</t>
  </si>
  <si>
    <t>55-85,54-85</t>
  </si>
  <si>
    <t>44-59,32-63</t>
  </si>
  <si>
    <t>12-27,11-45</t>
  </si>
  <si>
    <t>17-18,18-96</t>
  </si>
  <si>
    <t>62-67,77-84</t>
  </si>
  <si>
    <t>78-87,4-79</t>
  </si>
  <si>
    <t>10-69,9-78</t>
  </si>
  <si>
    <t>8-78,8-9</t>
  </si>
  <si>
    <t>58-62,36-57</t>
  </si>
  <si>
    <t>54-54,53-97</t>
  </si>
  <si>
    <t>50-50,49-96</t>
  </si>
  <si>
    <t>19-98,18-19</t>
  </si>
  <si>
    <t>42-93,41-94</t>
  </si>
  <si>
    <t>20-21,21-67</t>
  </si>
  <si>
    <t>51-80,41-52</t>
  </si>
  <si>
    <t>21-79,20-79</t>
  </si>
  <si>
    <t>30-84,31-83</t>
  </si>
  <si>
    <t>69-74,59-98</t>
  </si>
  <si>
    <t>32-33,34-53</t>
  </si>
  <si>
    <t>10-43,11-67</t>
  </si>
  <si>
    <t>7-47,25-68</t>
  </si>
  <si>
    <t>3-75,4-74</t>
  </si>
  <si>
    <t>78-96,46-91</t>
  </si>
  <si>
    <t>12-39,11-98</t>
  </si>
  <si>
    <t>12-82,12-81</t>
  </si>
  <si>
    <t>4-71,10-83</t>
  </si>
  <si>
    <t>22-22,22-71</t>
  </si>
  <si>
    <t>24-66,66-73</t>
  </si>
  <si>
    <t>18-77,18-79</t>
  </si>
  <si>
    <t>57-57,58-58</t>
  </si>
  <si>
    <t>66-98,66-86</t>
  </si>
  <si>
    <t>26-26,26-96</t>
  </si>
  <si>
    <t>44-48,43-49</t>
  </si>
  <si>
    <t>5-21,12-68</t>
  </si>
  <si>
    <t>1-99,99-99</t>
  </si>
  <si>
    <t>91-91,31-92</t>
  </si>
  <si>
    <t>6-97,3-98</t>
  </si>
  <si>
    <t>6-94,6-6</t>
  </si>
  <si>
    <t>8-89,8-49</t>
  </si>
  <si>
    <t>5-94,4-95</t>
  </si>
  <si>
    <t>33-42,34-41</t>
  </si>
  <si>
    <t>79-80,78-80</t>
  </si>
  <si>
    <t>12-95,99-99</t>
  </si>
  <si>
    <t>66-66,53-66</t>
  </si>
  <si>
    <t>19-98,9-99</t>
  </si>
  <si>
    <t>39-39,40-62</t>
  </si>
  <si>
    <t>29-71,4-83</t>
  </si>
  <si>
    <t>24-59,24-57</t>
  </si>
  <si>
    <t>81-98,42-81</t>
  </si>
  <si>
    <t>44-45,12-44</t>
  </si>
  <si>
    <t>2-97,97-97</t>
  </si>
  <si>
    <t>5-80,4-47</t>
  </si>
  <si>
    <t>14-81,14-81</t>
  </si>
  <si>
    <t>3-56,22-32</t>
  </si>
  <si>
    <t>73-83,72-72</t>
  </si>
  <si>
    <t>7-26,26-27</t>
  </si>
  <si>
    <t>92-96,58-93</t>
  </si>
  <si>
    <t>10-90,42-91</t>
  </si>
  <si>
    <t>22-32,22-33</t>
  </si>
  <si>
    <t>1-74,52-74</t>
  </si>
  <si>
    <t>40-91,40-92</t>
  </si>
  <si>
    <t>6-95,7-95</t>
  </si>
  <si>
    <t>6-6,5-7</t>
  </si>
  <si>
    <t>3-92,94-98</t>
  </si>
  <si>
    <t>1-85,84-89</t>
  </si>
  <si>
    <t>25-73,29-82</t>
  </si>
  <si>
    <t>3-37,4-4</t>
  </si>
  <si>
    <t>67-89,40-65</t>
  </si>
  <si>
    <t>28-79,27-63</t>
  </si>
  <si>
    <t>15-57,9-56</t>
  </si>
  <si>
    <t>18-51,19-51</t>
  </si>
  <si>
    <t>50-99,36-50</t>
  </si>
  <si>
    <t>29-79,30-93</t>
  </si>
  <si>
    <t>27-27,24-28</t>
  </si>
  <si>
    <t>33-89,32-90</t>
  </si>
  <si>
    <t>22-93,21-81</t>
  </si>
  <si>
    <t>51-79,78-79</t>
  </si>
  <si>
    <t>20-68,67-79</t>
  </si>
  <si>
    <t>3-95,3-94</t>
  </si>
  <si>
    <t>43-44,42-45</t>
  </si>
  <si>
    <t>4-79,3-80</t>
  </si>
  <si>
    <t>4-95,14-94</t>
  </si>
  <si>
    <t>57-60,26-57</t>
  </si>
  <si>
    <t>23-86,23-85</t>
  </si>
  <si>
    <t>28-82,32-83</t>
  </si>
  <si>
    <t>28-53,29-29</t>
  </si>
  <si>
    <t>3-95,4-94</t>
  </si>
  <si>
    <t>59-69,58-77</t>
  </si>
  <si>
    <t>40-91,14-86</t>
  </si>
  <si>
    <t>19-30,20-29</t>
  </si>
  <si>
    <t>98-98,2-98</t>
  </si>
  <si>
    <t>68-99,98-98</t>
  </si>
  <si>
    <t>5-14,8-14</t>
  </si>
  <si>
    <t>50-52,46-68</t>
  </si>
  <si>
    <t>29-56,30-55</t>
  </si>
  <si>
    <t>1-94,93-94</t>
  </si>
  <si>
    <t>57-88,56-87</t>
  </si>
  <si>
    <t>99-99,75-76</t>
  </si>
  <si>
    <t>24-43,24-51</t>
  </si>
  <si>
    <t>8-98,7-9</t>
  </si>
  <si>
    <t>30-85,21-30</t>
  </si>
  <si>
    <t>6-92,1-93</t>
  </si>
  <si>
    <t>79-80,48-79</t>
  </si>
  <si>
    <t>71-73,68-72</t>
  </si>
  <si>
    <t>33-98,33-53</t>
  </si>
  <si>
    <t>20-99,19-21</t>
  </si>
  <si>
    <t>48-84,6-41</t>
  </si>
  <si>
    <t>81-81,80-86</t>
  </si>
  <si>
    <t>71-91,70-92</t>
  </si>
  <si>
    <t>7-7,7-99</t>
  </si>
  <si>
    <t>17-17,16-97</t>
  </si>
  <si>
    <t>2-12,1-1</t>
  </si>
  <si>
    <t>17-30,30-31</t>
  </si>
  <si>
    <t>66-66,65-96</t>
  </si>
  <si>
    <t>15-66,16-16</t>
  </si>
  <si>
    <t>8-80,81-88</t>
  </si>
  <si>
    <t>28-69,17-77</t>
  </si>
  <si>
    <t>37-37,37-89</t>
  </si>
  <si>
    <t>47-80,46-90</t>
  </si>
  <si>
    <t>48-98,47-77</t>
  </si>
  <si>
    <t>56-66,56-97</t>
  </si>
  <si>
    <t>51-51,3-52</t>
  </si>
  <si>
    <t>11-93,24-89</t>
  </si>
  <si>
    <t>12-92,62-93</t>
  </si>
  <si>
    <t>63-91,78-85</t>
  </si>
  <si>
    <t>3-59,4-87</t>
  </si>
  <si>
    <t>35-61,36-61</t>
  </si>
  <si>
    <t>36-78,36-79</t>
  </si>
  <si>
    <t>61-94,2-62</t>
  </si>
  <si>
    <t>1-90,11-90</t>
  </si>
  <si>
    <t>40-89,52-82</t>
  </si>
  <si>
    <t>23-23,22-22</t>
  </si>
  <si>
    <t>6-51,2-6</t>
  </si>
  <si>
    <t>51-93,50-93</t>
  </si>
  <si>
    <t>16-94,94-97</t>
  </si>
  <si>
    <t>28-58,42-87</t>
  </si>
  <si>
    <t>83-94,19-81</t>
  </si>
  <si>
    <t>28-84,29-84</t>
  </si>
  <si>
    <t>34-95,33-95</t>
  </si>
  <si>
    <t>10-93,10-54</t>
  </si>
  <si>
    <t>2-80,4-79</t>
  </si>
  <si>
    <t>56-57,56-58</t>
  </si>
  <si>
    <t>52-75,51-66</t>
  </si>
  <si>
    <t>69-78,70-71</t>
  </si>
  <si>
    <t>26-87,26-87</t>
  </si>
  <si>
    <t>13-14,14-51</t>
  </si>
  <si>
    <t>5-99,5-92</t>
  </si>
  <si>
    <t>61-62,3-62</t>
  </si>
  <si>
    <t>26-80,20-81</t>
  </si>
  <si>
    <t>6-75,74-94</t>
  </si>
  <si>
    <t>86-98,12-66</t>
  </si>
  <si>
    <t>57-61,15-63</t>
  </si>
  <si>
    <t>78-86,45-85</t>
  </si>
  <si>
    <t>3-89,4-90</t>
  </si>
  <si>
    <t>42-42,43-64</t>
  </si>
  <si>
    <t>3-97,3-94</t>
  </si>
  <si>
    <t>80-96,79-79</t>
  </si>
  <si>
    <t>20-84,20-20</t>
  </si>
  <si>
    <t>89-89,1-90</t>
  </si>
  <si>
    <t>58-85,58-58</t>
  </si>
  <si>
    <t>17-54,17-54</t>
  </si>
  <si>
    <t>19-70,16-76</t>
  </si>
  <si>
    <t>5-8,5-82</t>
  </si>
  <si>
    <t>25-99,52-85</t>
  </si>
  <si>
    <t>3-95,11-96</t>
  </si>
  <si>
    <t>14-86,1-15</t>
  </si>
  <si>
    <t>52-69,26-99</t>
  </si>
  <si>
    <t>4-18,16-31</t>
  </si>
  <si>
    <t>23-73,1-74</t>
  </si>
  <si>
    <t>53-53,53-74</t>
  </si>
  <si>
    <t>22-55,22-56</t>
  </si>
  <si>
    <t>13-58,1-13</t>
  </si>
  <si>
    <t>4-55,51-68</t>
  </si>
  <si>
    <t>27-99,28-28</t>
  </si>
  <si>
    <t>10-58,10-58</t>
  </si>
  <si>
    <t>40-84,47-75</t>
  </si>
  <si>
    <t>63-93,62-94</t>
  </si>
  <si>
    <t>76-78,69-84</t>
  </si>
  <si>
    <t>24-76,64-75</t>
  </si>
  <si>
    <t>70-90,65-89</t>
  </si>
  <si>
    <t>5-88,4-73</t>
  </si>
  <si>
    <t>34-79,35-78</t>
  </si>
  <si>
    <t>10-27,11-26</t>
  </si>
  <si>
    <t>11-13,14-31</t>
  </si>
  <si>
    <t>29-29,29-99</t>
  </si>
  <si>
    <t>46-75,19-83</t>
  </si>
  <si>
    <t>11-84,12-60</t>
  </si>
  <si>
    <t>4-84,4-83</t>
  </si>
  <si>
    <t>56-79,55-80</t>
  </si>
  <si>
    <t>2-54,3-46</t>
  </si>
  <si>
    <t>13-24,95-99</t>
  </si>
  <si>
    <t>24-95,27-95</t>
  </si>
  <si>
    <t>60-76,76-76</t>
  </si>
  <si>
    <t>27-70,27-28</t>
  </si>
  <si>
    <t>47-48,3-47</t>
  </si>
  <si>
    <t>2-92,3-42</t>
  </si>
  <si>
    <t>1-31,3-69</t>
  </si>
  <si>
    <t>1-97,1-96</t>
  </si>
  <si>
    <t>94-96,25-95</t>
  </si>
  <si>
    <t>23-81,22-81</t>
  </si>
  <si>
    <t>9-71,10-83</t>
  </si>
  <si>
    <t>8-8,9-87</t>
  </si>
  <si>
    <t>94-95,59-94</t>
  </si>
  <si>
    <t>76-95,12-96</t>
  </si>
  <si>
    <t>12-63,28-94</t>
  </si>
  <si>
    <t>5-98,4-98</t>
  </si>
  <si>
    <t>1-94,2-93</t>
  </si>
  <si>
    <t>74-75,75-86</t>
  </si>
  <si>
    <t>6-24,23-87</t>
  </si>
  <si>
    <t>2-91,1-1</t>
  </si>
  <si>
    <t>21-61,60-60</t>
  </si>
  <si>
    <t>84-93,34-97</t>
  </si>
  <si>
    <t>63-81,60-80</t>
  </si>
  <si>
    <t>3-97,4-4</t>
  </si>
  <si>
    <t>88-94,18-82</t>
  </si>
  <si>
    <t>1-96,96-97</t>
  </si>
  <si>
    <t>1-64,1-64</t>
  </si>
  <si>
    <t>58-90,40-74</t>
  </si>
  <si>
    <t>12-99,12-99</t>
  </si>
  <si>
    <t>65-98,98-99</t>
  </si>
  <si>
    <t>6-89,68-74</t>
  </si>
  <si>
    <t>65-89,89-89</t>
  </si>
  <si>
    <t>2-94,10-97</t>
  </si>
  <si>
    <t>4-71,80-87</t>
  </si>
  <si>
    <t>10-10,10-27</t>
  </si>
  <si>
    <t>60-95,95-96</t>
  </si>
  <si>
    <t>28-80,79-89</t>
  </si>
  <si>
    <t>9-80,9-80</t>
  </si>
  <si>
    <t>69-72,70-82</t>
  </si>
  <si>
    <t>26-26,27-27</t>
  </si>
  <si>
    <t>19-97,97-99</t>
  </si>
  <si>
    <t>32-75,33-89</t>
  </si>
  <si>
    <t>11-59,10-60</t>
  </si>
  <si>
    <t>38-42,27-42</t>
  </si>
  <si>
    <t>18-49,18-42</t>
  </si>
  <si>
    <t>26-72,25-26</t>
  </si>
  <si>
    <t>7-35,1-11</t>
  </si>
  <si>
    <t>32-33,32-33</t>
  </si>
  <si>
    <t>50-81,5-51</t>
  </si>
  <si>
    <t>7-20,3-51</t>
  </si>
  <si>
    <t>10-87,4-71</t>
  </si>
  <si>
    <t>35-82,28-33</t>
  </si>
  <si>
    <t>6-16,15-84</t>
  </si>
  <si>
    <t>28-84,85-85</t>
  </si>
  <si>
    <t>27-90,66-95</t>
  </si>
  <si>
    <t>76-91,68-75</t>
  </si>
  <si>
    <t>15-87,14-16</t>
  </si>
  <si>
    <t>7-81,8-87</t>
  </si>
  <si>
    <t>9-89,8-9</t>
  </si>
  <si>
    <t>14-14,15-89</t>
  </si>
  <si>
    <t>5-90,3-91</t>
  </si>
  <si>
    <t>81-84,22-83</t>
  </si>
  <si>
    <t>9-44,6-8</t>
  </si>
  <si>
    <t>57-57,51-58</t>
  </si>
  <si>
    <t>27-97,26-97</t>
  </si>
  <si>
    <t>3-81,2-82</t>
  </si>
  <si>
    <t>7-66,20-66</t>
  </si>
  <si>
    <t>52-85,53-86</t>
  </si>
  <si>
    <t>61-99,62-99</t>
  </si>
  <si>
    <t>30-31,31-95</t>
  </si>
  <si>
    <t>52-91,53-90</t>
  </si>
  <si>
    <t>41-43,42-96</t>
  </si>
  <si>
    <t>65-65,47-67</t>
  </si>
  <si>
    <t>13-13,12-87</t>
  </si>
  <si>
    <t>23-26,23-27</t>
  </si>
  <si>
    <t>83-85,49-84</t>
  </si>
  <si>
    <t>11-16,10-60</t>
  </si>
  <si>
    <t>16-84,7-83</t>
  </si>
  <si>
    <t>85-85,32-85</t>
  </si>
  <si>
    <t>51-59,59-86</t>
  </si>
  <si>
    <t>18-59,19-61</t>
  </si>
  <si>
    <t>92-94,18-93</t>
  </si>
  <si>
    <t>97-97,3-97</t>
  </si>
  <si>
    <t>21-21,3-22</t>
  </si>
  <si>
    <t>23-25,24-24</t>
  </si>
  <si>
    <t>5-73,5-72</t>
  </si>
  <si>
    <t>43-44,9-44</t>
  </si>
  <si>
    <t>74-87,75-81</t>
  </si>
  <si>
    <t>72-78,72-82</t>
  </si>
  <si>
    <t>40-88,40-48</t>
  </si>
  <si>
    <t>7-91,7-8</t>
  </si>
  <si>
    <t>39-52,40-97</t>
  </si>
  <si>
    <t>20-52,21-93</t>
  </si>
  <si>
    <t>11-88,44-76</t>
  </si>
  <si>
    <t>90-98,32-39</t>
  </si>
  <si>
    <t>35-86,36-36</t>
  </si>
  <si>
    <t>78-95,67-79</t>
  </si>
  <si>
    <t>11-22,12-72</t>
  </si>
  <si>
    <t>41-94,94-95</t>
  </si>
  <si>
    <t>90-91,52-90</t>
  </si>
  <si>
    <t>8-83,9-83</t>
  </si>
  <si>
    <t>57-96,12-96</t>
  </si>
  <si>
    <t>34-42,23-43</t>
  </si>
  <si>
    <t>68-99,69-99</t>
  </si>
  <si>
    <t>24-92,23-74</t>
  </si>
  <si>
    <t>6-81,2-82</t>
  </si>
  <si>
    <t>23-23,24-58</t>
  </si>
  <si>
    <t>46-74,46-73</t>
  </si>
  <si>
    <t>17-32,3-32</t>
  </si>
  <si>
    <t>35-82,34-74</t>
  </si>
  <si>
    <t>19-98,20-98</t>
  </si>
  <si>
    <t>33-81,38-80</t>
  </si>
  <si>
    <t>48-62,6-82</t>
  </si>
  <si>
    <t>10-90,89-89</t>
  </si>
  <si>
    <t>81-82,40-81</t>
  </si>
  <si>
    <t>14-99,13-15</t>
  </si>
  <si>
    <t>58-92,59-67</t>
  </si>
  <si>
    <t>30-72,9-72</t>
  </si>
  <si>
    <t>17-89,88-88</t>
  </si>
  <si>
    <t>22-66,7-66</t>
  </si>
  <si>
    <t>5-32,32-63</t>
  </si>
  <si>
    <t>6-80,5-80</t>
  </si>
  <si>
    <t>35-91,91-91</t>
  </si>
  <si>
    <t>65-70,7-79</t>
  </si>
  <si>
    <t>4-77,5-77</t>
  </si>
  <si>
    <t>75-76,6-76</t>
  </si>
  <si>
    <t>4-88,4-89</t>
  </si>
  <si>
    <t>37-91,90-90</t>
  </si>
  <si>
    <t>3-3,2-98</t>
  </si>
  <si>
    <t>52-66,53-95</t>
  </si>
  <si>
    <t>37-49,49-55</t>
  </si>
  <si>
    <t>1-99,1-86</t>
  </si>
  <si>
    <t>55-67,54-56</t>
  </si>
  <si>
    <t>6-89,7-89</t>
  </si>
  <si>
    <t>51-71,52-85</t>
  </si>
  <si>
    <t>4-89,3-89</t>
  </si>
  <si>
    <t>8-9,9-90</t>
  </si>
  <si>
    <t>4-57,5-5</t>
  </si>
  <si>
    <t>8-70,27-69</t>
  </si>
  <si>
    <t>4-93,5-96</t>
  </si>
  <si>
    <t>18-18,17-19</t>
  </si>
  <si>
    <t>13-14,13-86</t>
  </si>
  <si>
    <t>86-98,23-98</t>
  </si>
  <si>
    <t>21-47,22-47</t>
  </si>
  <si>
    <t>4-31,2-5</t>
  </si>
  <si>
    <t>12-55,12-56</t>
  </si>
  <si>
    <t>23-42,27-27</t>
  </si>
  <si>
    <t>40-81,45-76</t>
  </si>
  <si>
    <t>12-93,13-93</t>
  </si>
  <si>
    <t>12-68,32-67</t>
  </si>
  <si>
    <t>3-96,4-98</t>
  </si>
  <si>
    <t>38-77,37-77</t>
  </si>
  <si>
    <t>10-10,10-63</t>
  </si>
  <si>
    <t>64-85,63-85</t>
  </si>
  <si>
    <t>26-99,27-98</t>
  </si>
  <si>
    <t>6-75,7-49</t>
  </si>
  <si>
    <t>3-65,3-3</t>
  </si>
  <si>
    <t>26-66,66-66</t>
  </si>
  <si>
    <t>23-61,4-48</t>
  </si>
  <si>
    <t>34-36,33-35</t>
  </si>
  <si>
    <t>70-93,93-93</t>
  </si>
  <si>
    <t>31-98,32-99</t>
  </si>
  <si>
    <t>33-34,33-58</t>
  </si>
  <si>
    <t>72-84,72-85</t>
  </si>
  <si>
    <t>9-64,58-86</t>
  </si>
  <si>
    <t>55-85,85-94</t>
  </si>
  <si>
    <t>90-91,68-90</t>
  </si>
  <si>
    <t>13-15,15-85</t>
  </si>
  <si>
    <t>66-67,66-84</t>
  </si>
  <si>
    <t>1-87,3-99</t>
  </si>
  <si>
    <t>2-82,15-81</t>
  </si>
  <si>
    <t>19-46,20-31</t>
  </si>
  <si>
    <t>24-75,25-75</t>
  </si>
  <si>
    <t>62-80,66-81</t>
  </si>
  <si>
    <t>34-69,34-70</t>
  </si>
  <si>
    <t>2-76,3-3</t>
  </si>
  <si>
    <t>20-72,71-72</t>
  </si>
  <si>
    <t>1-50,37-38</t>
  </si>
  <si>
    <t>2-18,3-18</t>
  </si>
  <si>
    <t>5-79,6-97</t>
  </si>
  <si>
    <t>20-87,6-88</t>
  </si>
  <si>
    <t>83-83,61-84</t>
  </si>
  <si>
    <t>39-40,40-40</t>
  </si>
  <si>
    <t>1-96,2-84</t>
  </si>
  <si>
    <t>48-94,42-79</t>
  </si>
  <si>
    <t>7-10,9-98</t>
  </si>
  <si>
    <t>66-77,66-88</t>
  </si>
  <si>
    <t>47-52,40-52</t>
  </si>
  <si>
    <t>6-19,6-26</t>
  </si>
  <si>
    <t>3-64,2-63</t>
  </si>
  <si>
    <t>44-82,22-45</t>
  </si>
  <si>
    <t>5-96,4-96</t>
  </si>
  <si>
    <t>2-98,1-1</t>
  </si>
  <si>
    <t>13-86,43-85</t>
  </si>
  <si>
    <t>14-91,14-90</t>
  </si>
  <si>
    <t>13-50,7-62</t>
  </si>
  <si>
    <t>90-90,7-90</t>
  </si>
  <si>
    <t>8-33,7-17</t>
  </si>
  <si>
    <t>35-62,36-63</t>
  </si>
  <si>
    <t>37-48,17-56</t>
  </si>
  <si>
    <t>69-97,69-97</t>
  </si>
  <si>
    <t>74-75,29-74</t>
  </si>
  <si>
    <t>55-72,55-72</t>
  </si>
  <si>
    <t>28-73,28-55</t>
  </si>
  <si>
    <t>22-77,22-76</t>
  </si>
  <si>
    <t>77-83,67-83</t>
  </si>
  <si>
    <t>54-72,53-53</t>
  </si>
  <si>
    <t>51-95,50-51</t>
  </si>
  <si>
    <t>85-99,82-87</t>
  </si>
  <si>
    <t>87-93,4-87</t>
  </si>
  <si>
    <t>16-82,23-82</t>
  </si>
  <si>
    <t>3-56,2-57</t>
  </si>
  <si>
    <t>19-65,20-63</t>
  </si>
  <si>
    <t>1-92,59-93</t>
  </si>
  <si>
    <t>76-89,21-77</t>
  </si>
  <si>
    <t>89-99,10-90</t>
  </si>
  <si>
    <t>13-93,96-96</t>
  </si>
  <si>
    <t>54-84,84-85</t>
  </si>
  <si>
    <t>80-80,71-81</t>
  </si>
  <si>
    <t>9-99,9-78</t>
  </si>
  <si>
    <t>11-94,10-89</t>
  </si>
  <si>
    <t>8-61,9-92</t>
  </si>
  <si>
    <t>80-97,81-96</t>
  </si>
  <si>
    <t>84-85,83-84</t>
  </si>
  <si>
    <t>71-85,71-86</t>
  </si>
  <si>
    <t>37-98,36-99</t>
  </si>
  <si>
    <t>17-96,71-96</t>
  </si>
  <si>
    <t>63-63,6-63</t>
  </si>
  <si>
    <t>13-70,1-69</t>
  </si>
  <si>
    <t>8-9,5-8</t>
  </si>
  <si>
    <t>60-84,60-61</t>
  </si>
  <si>
    <t>85-92,85-92</t>
  </si>
  <si>
    <t>46-79,45-79</t>
  </si>
  <si>
    <t>69-74,68-74</t>
  </si>
  <si>
    <t>8-85,9-84</t>
  </si>
  <si>
    <t>83-88,86-89</t>
  </si>
  <si>
    <t>54-54,54-76</t>
  </si>
  <si>
    <t>34-36,33-34</t>
  </si>
  <si>
    <t>1-73,2-99</t>
  </si>
  <si>
    <t>54-60,53-61</t>
  </si>
  <si>
    <t>66-95,66-66</t>
  </si>
  <si>
    <t>21-82,82-82</t>
  </si>
  <si>
    <t>3-3,2-35</t>
  </si>
  <si>
    <t>76-92,75-75</t>
  </si>
  <si>
    <t>24-85,85-88</t>
  </si>
  <si>
    <t>51-51,18-50</t>
  </si>
  <si>
    <t>4-22,1-21</t>
  </si>
  <si>
    <t>76-93,77-89</t>
  </si>
  <si>
    <t>84-94,88-91</t>
  </si>
  <si>
    <t>48-93,14-94</t>
  </si>
  <si>
    <t>25-57,31-74</t>
  </si>
  <si>
    <t>38-38,38-52</t>
  </si>
  <si>
    <t>86-86,5-87</t>
  </si>
  <si>
    <t>15-51,14-51</t>
  </si>
  <si>
    <t>2-51,13-50</t>
  </si>
  <si>
    <t>14-21,21-22</t>
  </si>
  <si>
    <t>20-89,19-90</t>
  </si>
  <si>
    <t>75-82,75-75</t>
  </si>
  <si>
    <t>55-68,56-88</t>
  </si>
  <si>
    <t>4-99,3-97</t>
  </si>
  <si>
    <t>62-66,46-66</t>
  </si>
  <si>
    <t>46-93,92-92</t>
  </si>
  <si>
    <t>2-80,1-81</t>
  </si>
  <si>
    <t>3-64,3-3</t>
  </si>
  <si>
    <t>16-47,17-47</t>
  </si>
  <si>
    <t>19-48,18-64</t>
  </si>
  <si>
    <t>6-85,7-7</t>
  </si>
  <si>
    <t>92-97,73-92</t>
  </si>
  <si>
    <t>37-52,21-53</t>
  </si>
  <si>
    <t>3-43,42-42</t>
  </si>
  <si>
    <t>74-99,23-94</t>
  </si>
  <si>
    <t>24-48,54-58</t>
  </si>
  <si>
    <t>44-91,93-97</t>
  </si>
  <si>
    <t>16-94,16-95</t>
  </si>
  <si>
    <t>7-93,8-93</t>
  </si>
  <si>
    <t>7-91,90-91</t>
  </si>
  <si>
    <t>28-86,10-87</t>
  </si>
  <si>
    <t>13-44,13-45</t>
  </si>
  <si>
    <t>21-98,26-97</t>
  </si>
  <si>
    <t>6-97,7-98</t>
  </si>
  <si>
    <t>49-75,49-75</t>
  </si>
  <si>
    <t>50-98,50-50</t>
  </si>
  <si>
    <t>5-6,5-5</t>
  </si>
  <si>
    <t>15-40,40-41</t>
  </si>
  <si>
    <t>14-96,6-97</t>
  </si>
  <si>
    <t>13-67,14-67</t>
  </si>
  <si>
    <t>4-92,4-92</t>
  </si>
  <si>
    <t>4-79,3-78</t>
  </si>
  <si>
    <t>90-96,14-90</t>
  </si>
  <si>
    <t>24-24,14-24</t>
  </si>
  <si>
    <t>12-90,12-91</t>
  </si>
  <si>
    <t>30-69,30-30</t>
  </si>
  <si>
    <t>30-46,31-31</t>
  </si>
  <si>
    <t>12-81,11-82</t>
  </si>
  <si>
    <t>4-86,3-87</t>
  </si>
  <si>
    <t>46-76,46-80</t>
  </si>
  <si>
    <t>12-81,13-83</t>
  </si>
  <si>
    <t>91-96,1-91</t>
  </si>
  <si>
    <t>32-40,33-33</t>
  </si>
  <si>
    <t>7-97,4-96</t>
  </si>
  <si>
    <t>46-46,47-52</t>
  </si>
  <si>
    <t>56-56,56-56</t>
  </si>
  <si>
    <t>12-12,11-72</t>
  </si>
  <si>
    <t>5-5,4-60</t>
  </si>
  <si>
    <t>9-91,83-93</t>
  </si>
  <si>
    <t>30-94,30-94</t>
  </si>
  <si>
    <t>35-41,41-98</t>
  </si>
  <si>
    <t>54-54,53-95</t>
  </si>
  <si>
    <t>76-77,62-76</t>
  </si>
  <si>
    <t>43-62,42-62</t>
  </si>
  <si>
    <t>66-79,51-93</t>
  </si>
  <si>
    <t>67-91,27-67</t>
  </si>
  <si>
    <t>3-43,3-57</t>
  </si>
  <si>
    <t>5-67,5-96</t>
  </si>
  <si>
    <t>53-88,54-88</t>
  </si>
  <si>
    <t>64-74,72-72</t>
  </si>
  <si>
    <t>34-63,35-88</t>
  </si>
  <si>
    <t>57-77,57-75</t>
  </si>
  <si>
    <t>43-53,42-53</t>
  </si>
  <si>
    <t>14-26,21-27</t>
  </si>
  <si>
    <t>8-75,65-69</t>
  </si>
  <si>
    <t>15-42,41-90</t>
  </si>
  <si>
    <t>15-87,89-93</t>
  </si>
  <si>
    <t>83-83,18-84</t>
  </si>
  <si>
    <t>13-43,43-44</t>
  </si>
  <si>
    <t>69-71,69-76</t>
  </si>
  <si>
    <t>6-8,9-89</t>
  </si>
  <si>
    <t>17-75,18-18</t>
  </si>
  <si>
    <t>75-83,44-76</t>
  </si>
  <si>
    <t>18-96,19-62</t>
  </si>
  <si>
    <t>11-54,12-88</t>
  </si>
  <si>
    <t>90-90,80-90</t>
  </si>
  <si>
    <t>10-79,9-9</t>
  </si>
  <si>
    <t>30-97,30-97</t>
  </si>
  <si>
    <t>3-87,2-2</t>
  </si>
  <si>
    <t>4-33,8-96</t>
  </si>
  <si>
    <t>54-97,53-98</t>
  </si>
  <si>
    <t>21-21,20-90</t>
  </si>
  <si>
    <t>31-96,1-95</t>
  </si>
  <si>
    <t>4-99,60-99</t>
  </si>
  <si>
    <t>32-42,31-47</t>
  </si>
  <si>
    <t>23-65,23-66</t>
  </si>
  <si>
    <t>41-64,3-64</t>
  </si>
  <si>
    <t>22-65,15-46</t>
  </si>
  <si>
    <t>86-93,85-86</t>
  </si>
  <si>
    <t>10-77,9-77</t>
  </si>
  <si>
    <t>20-25,21-24</t>
  </si>
  <si>
    <t>2-86,85-88</t>
  </si>
  <si>
    <t>46-46,47-55</t>
  </si>
  <si>
    <t>2-14,2-82</t>
  </si>
  <si>
    <t>29-38,33-37</t>
  </si>
  <si>
    <t>77-81,78-97</t>
  </si>
  <si>
    <t>1-89,88-98</t>
  </si>
  <si>
    <t>95-99,65-96</t>
  </si>
  <si>
    <t>12-12,8-13</t>
  </si>
  <si>
    <t>2-59,1-59</t>
  </si>
  <si>
    <t>54-54,55-68</t>
  </si>
  <si>
    <t>4-97,53-98</t>
  </si>
  <si>
    <t>5-96,54-96</t>
  </si>
  <si>
    <t>11-93,11-43</t>
  </si>
  <si>
    <t>65-87,64-64</t>
  </si>
  <si>
    <t>35-73,35-74</t>
  </si>
  <si>
    <t>8-9,9-30</t>
  </si>
  <si>
    <t>49-69,49-49</t>
  </si>
  <si>
    <t>57-64,1-58</t>
  </si>
  <si>
    <t>46-98,47-97</t>
  </si>
  <si>
    <t>5-84,92-96</t>
  </si>
  <si>
    <t>7-13,6-46</t>
  </si>
  <si>
    <t>2-50,6-50</t>
  </si>
  <si>
    <t>66-94,72-95</t>
  </si>
  <si>
    <t>16-16,16-84</t>
  </si>
  <si>
    <t>69-85,68-80</t>
  </si>
  <si>
    <t>13-30,12-75</t>
  </si>
  <si>
    <t>28-29,29-78</t>
  </si>
  <si>
    <t>44-79,45-92</t>
  </si>
  <si>
    <t>9-63,15-62</t>
  </si>
  <si>
    <t>8-87,7-28</t>
  </si>
  <si>
    <t>24-83,83-86</t>
  </si>
  <si>
    <t>59-64,60-60</t>
  </si>
  <si>
    <t>24-87,24-24</t>
  </si>
  <si>
    <t>54-58,47-57</t>
  </si>
  <si>
    <t>27-38,13-37</t>
  </si>
  <si>
    <t>14-15,15-71</t>
  </si>
  <si>
    <t>76-85,73-85</t>
  </si>
  <si>
    <t>7-17,6-90</t>
  </si>
  <si>
    <t>4-95,5-96</t>
  </si>
  <si>
    <t>16-77,17-25</t>
  </si>
  <si>
    <t>32-63,39-63</t>
  </si>
  <si>
    <t>30-74,52-75</t>
  </si>
  <si>
    <t>51-99,98-99</t>
  </si>
  <si>
    <t>72-87,72-87</t>
  </si>
  <si>
    <t>2-87,3-88</t>
  </si>
  <si>
    <t>1-29,6-89</t>
  </si>
  <si>
    <t>20-61,32-64</t>
  </si>
  <si>
    <t>64-91,63-91</t>
  </si>
  <si>
    <t>10-11,10-54</t>
  </si>
  <si>
    <t>2-70,2-2</t>
  </si>
  <si>
    <t>72-83,72-82</t>
  </si>
  <si>
    <t>7-63,13-99</t>
  </si>
  <si>
    <t>66-93,67-92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</si>
</sst>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D1" s="1" t="s">
        <v>0</v>
      </c>
      <c r="E1" s="1" t="s">
        <v>1</v>
      </c>
      <c r="F1" s="1" t="s">
        <v>2</v>
      </c>
      <c r="G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S1" s="2">
        <f>SUM(Q:Q)</f>
        <v>599</v>
      </c>
      <c r="Y1" s="3">
        <f>COUNTA(W:W)-SUM(X:X)</f>
        <v>928</v>
      </c>
    </row>
    <row r="2">
      <c r="A2" s="1" t="s">
        <v>8</v>
      </c>
      <c r="B2" s="3" t="str">
        <f>IFERROR(__xludf.DUMMYFUNCTION("SPLIT(A2, "","")"),"14-98")</f>
        <v>14-98</v>
      </c>
      <c r="C2" s="3" t="str">
        <f>IFERROR(__xludf.DUMMYFUNCTION("""COMPUTED_VALUE"""),"14-14")</f>
        <v>14-14</v>
      </c>
      <c r="D2" s="3">
        <f>IFERROR(__xludf.DUMMYFUNCTION("SPLIT(B2, ""-"")"),14.0)</f>
        <v>14</v>
      </c>
      <c r="E2" s="3">
        <f>IFERROR(__xludf.DUMMYFUNCTION("""COMPUTED_VALUE"""),98.0)</f>
        <v>98</v>
      </c>
      <c r="F2" s="3">
        <f>IFERROR(__xludf.DUMMYFUNCTION("SPLIT(C2, ""-"")"),14.0)</f>
        <v>14</v>
      </c>
      <c r="G2" s="3">
        <f>IFERROR(__xludf.DUMMYFUNCTION("""COMPUTED_VALUE"""),14.0)</f>
        <v>14</v>
      </c>
      <c r="I2" s="3" t="str">
        <f t="shared" ref="I2:I1001" si="1">IF(D2&lt;=F2, "y", "")</f>
        <v>y</v>
      </c>
      <c r="J2" s="3" t="str">
        <f t="shared" ref="J2:J1001" si="2">IF(E2&gt;=G2, "y", "")</f>
        <v>y</v>
      </c>
      <c r="K2" s="3" t="str">
        <f t="shared" ref="K2:K1001" si="3">IF(F2&lt;=D2, "y", "")</f>
        <v>y</v>
      </c>
      <c r="L2" s="3" t="str">
        <f t="shared" ref="L2:L1001" si="4">IF(G2&gt;=E2, "y", "")</f>
        <v/>
      </c>
      <c r="N2" s="3">
        <f t="shared" ref="N2:N1001" si="5">IF(AND(I2="y", J2="y"), 1, "")</f>
        <v>1</v>
      </c>
      <c r="O2" s="3" t="str">
        <f t="shared" ref="O2:O1001" si="6">IF(AND(K2="y", L2="y"), 1, "")</f>
        <v/>
      </c>
      <c r="Q2" s="3">
        <f t="shared" ref="Q2:Q1001" si="7">IF(OR(N2=1, O2=1), 1, "")</f>
        <v>1</v>
      </c>
      <c r="U2" s="3" t="str">
        <f t="shared" ref="U2:U1001" si="8">IF(OR(D2=F2, D2=G2, E2=F2, E2=G2), "Överlapp", 1)</f>
        <v>Överlapp</v>
      </c>
      <c r="V2" s="3" t="str">
        <f t="shared" ref="V2:V1001" si="9">IF(AND(D2&lt;F2, E2&lt;F2), 1, "Överlapp")</f>
        <v>Överlapp</v>
      </c>
      <c r="W2" s="3" t="str">
        <f t="shared" ref="W2:W1001" si="10">IF(AND(F2&lt;D2, G2&lt;D2), 1, "Överlapp")</f>
        <v>Överlapp</v>
      </c>
      <c r="X2" s="3" t="str">
        <f t="shared" ref="X2:X1001" si="11">IF(SUM(U2:W2)=2, 1, "")</f>
        <v/>
      </c>
    </row>
    <row r="3">
      <c r="A3" s="1" t="s">
        <v>9</v>
      </c>
      <c r="B3" s="3" t="str">
        <f>IFERROR(__xludf.DUMMYFUNCTION("SPLIT(A3, "","")"),"2-20")</f>
        <v>2-20</v>
      </c>
      <c r="C3" s="4">
        <f>IFERROR(__xludf.DUMMYFUNCTION("""COMPUTED_VALUE"""),44623.0)</f>
        <v>44623</v>
      </c>
      <c r="D3" s="3">
        <f>IFERROR(__xludf.DUMMYFUNCTION("SPLIT(B3, ""-"")"),2.0)</f>
        <v>2</v>
      </c>
      <c r="E3" s="3">
        <f>IFERROR(__xludf.DUMMYFUNCTION("""COMPUTED_VALUE"""),20.0)</f>
        <v>20</v>
      </c>
      <c r="F3" s="3">
        <f>IFERROR(__xludf.DUMMYFUNCTION("SPLIT(C3, ""-"")"),3.0)</f>
        <v>3</v>
      </c>
      <c r="G3" s="3">
        <f>IFERROR(__xludf.DUMMYFUNCTION("""COMPUTED_VALUE"""),3.0)</f>
        <v>3</v>
      </c>
      <c r="I3" s="3" t="str">
        <f t="shared" si="1"/>
        <v>y</v>
      </c>
      <c r="J3" s="3" t="str">
        <f t="shared" si="2"/>
        <v>y</v>
      </c>
      <c r="K3" s="3" t="str">
        <f t="shared" si="3"/>
        <v/>
      </c>
      <c r="L3" s="3" t="str">
        <f t="shared" si="4"/>
        <v/>
      </c>
      <c r="N3" s="3">
        <f t="shared" si="5"/>
        <v>1</v>
      </c>
      <c r="O3" s="3" t="str">
        <f t="shared" si="6"/>
        <v/>
      </c>
      <c r="Q3" s="3">
        <f t="shared" si="7"/>
        <v>1</v>
      </c>
      <c r="U3" s="3">
        <f t="shared" si="8"/>
        <v>1</v>
      </c>
      <c r="V3" s="3" t="str">
        <f t="shared" si="9"/>
        <v>Överlapp</v>
      </c>
      <c r="W3" s="3" t="str">
        <f t="shared" si="10"/>
        <v>Överlapp</v>
      </c>
      <c r="X3" s="3" t="str">
        <f t="shared" si="11"/>
        <v/>
      </c>
    </row>
    <row r="4">
      <c r="A4" s="1" t="s">
        <v>10</v>
      </c>
      <c r="B4" s="3" t="str">
        <f>IFERROR(__xludf.DUMMYFUNCTION("SPLIT(A4, "","")"),"64-67")</f>
        <v>64-67</v>
      </c>
      <c r="C4" s="3" t="str">
        <f>IFERROR(__xludf.DUMMYFUNCTION("""COMPUTED_VALUE"""),"43-63")</f>
        <v>43-63</v>
      </c>
      <c r="D4" s="3">
        <f>IFERROR(__xludf.DUMMYFUNCTION("SPLIT(B4, ""-"")"),64.0)</f>
        <v>64</v>
      </c>
      <c r="E4" s="3">
        <f>IFERROR(__xludf.DUMMYFUNCTION("""COMPUTED_VALUE"""),67.0)</f>
        <v>67</v>
      </c>
      <c r="F4" s="3">
        <f>IFERROR(__xludf.DUMMYFUNCTION("SPLIT(C4, ""-"")"),43.0)</f>
        <v>43</v>
      </c>
      <c r="G4" s="3">
        <f>IFERROR(__xludf.DUMMYFUNCTION("""COMPUTED_VALUE"""),63.0)</f>
        <v>63</v>
      </c>
      <c r="I4" s="3" t="str">
        <f t="shared" si="1"/>
        <v/>
      </c>
      <c r="J4" s="3" t="str">
        <f t="shared" si="2"/>
        <v>y</v>
      </c>
      <c r="K4" s="3" t="str">
        <f t="shared" si="3"/>
        <v>y</v>
      </c>
      <c r="L4" s="3" t="str">
        <f t="shared" si="4"/>
        <v/>
      </c>
      <c r="N4" s="3" t="str">
        <f t="shared" si="5"/>
        <v/>
      </c>
      <c r="O4" s="3" t="str">
        <f t="shared" si="6"/>
        <v/>
      </c>
      <c r="Q4" s="3" t="str">
        <f t="shared" si="7"/>
        <v/>
      </c>
      <c r="U4" s="3">
        <f t="shared" si="8"/>
        <v>1</v>
      </c>
      <c r="V4" s="3" t="str">
        <f t="shared" si="9"/>
        <v>Överlapp</v>
      </c>
      <c r="W4" s="3">
        <f t="shared" si="10"/>
        <v>1</v>
      </c>
      <c r="X4" s="3">
        <f t="shared" si="11"/>
        <v>1</v>
      </c>
    </row>
    <row r="5">
      <c r="A5" s="1" t="s">
        <v>11</v>
      </c>
      <c r="B5" s="3" t="str">
        <f>IFERROR(__xludf.DUMMYFUNCTION("SPLIT(A5, "","")"),"13-91")</f>
        <v>13-91</v>
      </c>
      <c r="C5" s="3" t="str">
        <f>IFERROR(__xludf.DUMMYFUNCTION("""COMPUTED_VALUE"""),"14-90")</f>
        <v>14-90</v>
      </c>
      <c r="D5" s="3">
        <f>IFERROR(__xludf.DUMMYFUNCTION("SPLIT(B5, ""-"")"),13.0)</f>
        <v>13</v>
      </c>
      <c r="E5" s="3">
        <f>IFERROR(__xludf.DUMMYFUNCTION("""COMPUTED_VALUE"""),91.0)</f>
        <v>91</v>
      </c>
      <c r="F5" s="3">
        <f>IFERROR(__xludf.DUMMYFUNCTION("SPLIT(C5, ""-"")"),14.0)</f>
        <v>14</v>
      </c>
      <c r="G5" s="3">
        <f>IFERROR(__xludf.DUMMYFUNCTION("""COMPUTED_VALUE"""),90.0)</f>
        <v>90</v>
      </c>
      <c r="I5" s="3" t="str">
        <f t="shared" si="1"/>
        <v>y</v>
      </c>
      <c r="J5" s="3" t="str">
        <f t="shared" si="2"/>
        <v>y</v>
      </c>
      <c r="K5" s="3" t="str">
        <f t="shared" si="3"/>
        <v/>
      </c>
      <c r="L5" s="3" t="str">
        <f t="shared" si="4"/>
        <v/>
      </c>
      <c r="N5" s="3">
        <f t="shared" si="5"/>
        <v>1</v>
      </c>
      <c r="O5" s="3" t="str">
        <f t="shared" si="6"/>
        <v/>
      </c>
      <c r="Q5" s="3">
        <f t="shared" si="7"/>
        <v>1</v>
      </c>
      <c r="U5" s="3">
        <f t="shared" si="8"/>
        <v>1</v>
      </c>
      <c r="V5" s="3" t="str">
        <f t="shared" si="9"/>
        <v>Överlapp</v>
      </c>
      <c r="W5" s="3" t="str">
        <f t="shared" si="10"/>
        <v>Överlapp</v>
      </c>
      <c r="X5" s="3" t="str">
        <f t="shared" si="11"/>
        <v/>
      </c>
    </row>
    <row r="6">
      <c r="A6" s="1" t="s">
        <v>12</v>
      </c>
      <c r="B6" s="3" t="str">
        <f>IFERROR(__xludf.DUMMYFUNCTION("SPLIT(A6, "","")"),"19-47")</f>
        <v>19-47</v>
      </c>
      <c r="C6" s="3" t="str">
        <f>IFERROR(__xludf.DUMMYFUNCTION("""COMPUTED_VALUE"""),"12-19")</f>
        <v>12-19</v>
      </c>
      <c r="D6" s="3">
        <f>IFERROR(__xludf.DUMMYFUNCTION("SPLIT(B6, ""-"")"),19.0)</f>
        <v>19</v>
      </c>
      <c r="E6" s="3">
        <f>IFERROR(__xludf.DUMMYFUNCTION("""COMPUTED_VALUE"""),47.0)</f>
        <v>47</v>
      </c>
      <c r="F6" s="3">
        <f>IFERROR(__xludf.DUMMYFUNCTION("SPLIT(C6, ""-"")"),12.0)</f>
        <v>12</v>
      </c>
      <c r="G6" s="3">
        <f>IFERROR(__xludf.DUMMYFUNCTION("""COMPUTED_VALUE"""),19.0)</f>
        <v>19</v>
      </c>
      <c r="I6" s="3" t="str">
        <f t="shared" si="1"/>
        <v/>
      </c>
      <c r="J6" s="3" t="str">
        <f t="shared" si="2"/>
        <v>y</v>
      </c>
      <c r="K6" s="3" t="str">
        <f t="shared" si="3"/>
        <v>y</v>
      </c>
      <c r="L6" s="3" t="str">
        <f t="shared" si="4"/>
        <v/>
      </c>
      <c r="N6" s="3" t="str">
        <f t="shared" si="5"/>
        <v/>
      </c>
      <c r="O6" s="3" t="str">
        <f t="shared" si="6"/>
        <v/>
      </c>
      <c r="Q6" s="3" t="str">
        <f t="shared" si="7"/>
        <v/>
      </c>
      <c r="U6" s="3" t="str">
        <f t="shared" si="8"/>
        <v>Överlapp</v>
      </c>
      <c r="V6" s="3" t="str">
        <f t="shared" si="9"/>
        <v>Överlapp</v>
      </c>
      <c r="W6" s="3" t="str">
        <f t="shared" si="10"/>
        <v>Överlapp</v>
      </c>
      <c r="X6" s="3" t="str">
        <f t="shared" si="11"/>
        <v/>
      </c>
    </row>
    <row r="7">
      <c r="A7" s="1" t="s">
        <v>13</v>
      </c>
      <c r="B7" s="3" t="str">
        <f>IFERROR(__xludf.DUMMYFUNCTION("SPLIT(A7, "","")"),"26-74")</f>
        <v>26-74</v>
      </c>
      <c r="C7" s="3" t="str">
        <f>IFERROR(__xludf.DUMMYFUNCTION("""COMPUTED_VALUE"""),"26-84")</f>
        <v>26-84</v>
      </c>
      <c r="D7" s="3">
        <f>IFERROR(__xludf.DUMMYFUNCTION("SPLIT(B7, ""-"")"),26.0)</f>
        <v>26</v>
      </c>
      <c r="E7" s="3">
        <f>IFERROR(__xludf.DUMMYFUNCTION("""COMPUTED_VALUE"""),74.0)</f>
        <v>74</v>
      </c>
      <c r="F7" s="3">
        <f>IFERROR(__xludf.DUMMYFUNCTION("SPLIT(C7, ""-"")"),26.0)</f>
        <v>26</v>
      </c>
      <c r="G7" s="3">
        <f>IFERROR(__xludf.DUMMYFUNCTION("""COMPUTED_VALUE"""),84.0)</f>
        <v>84</v>
      </c>
      <c r="I7" s="3" t="str">
        <f t="shared" si="1"/>
        <v>y</v>
      </c>
      <c r="J7" s="3" t="str">
        <f t="shared" si="2"/>
        <v/>
      </c>
      <c r="K7" s="3" t="str">
        <f t="shared" si="3"/>
        <v>y</v>
      </c>
      <c r="L7" s="3" t="str">
        <f t="shared" si="4"/>
        <v>y</v>
      </c>
      <c r="N7" s="3" t="str">
        <f t="shared" si="5"/>
        <v/>
      </c>
      <c r="O7" s="3">
        <f t="shared" si="6"/>
        <v>1</v>
      </c>
      <c r="Q7" s="3">
        <f t="shared" si="7"/>
        <v>1</v>
      </c>
      <c r="U7" s="3" t="str">
        <f t="shared" si="8"/>
        <v>Överlapp</v>
      </c>
      <c r="V7" s="3" t="str">
        <f t="shared" si="9"/>
        <v>Överlapp</v>
      </c>
      <c r="W7" s="3" t="str">
        <f t="shared" si="10"/>
        <v>Överlapp</v>
      </c>
      <c r="X7" s="3" t="str">
        <f t="shared" si="11"/>
        <v/>
      </c>
    </row>
    <row r="8">
      <c r="A8" s="1" t="s">
        <v>14</v>
      </c>
      <c r="B8" s="3" t="str">
        <f>IFERROR(__xludf.DUMMYFUNCTION("SPLIT(A8, "","")"),"23-41")</f>
        <v>23-41</v>
      </c>
      <c r="C8" s="3" t="str">
        <f>IFERROR(__xludf.DUMMYFUNCTION("""COMPUTED_VALUE"""),"22-41")</f>
        <v>22-41</v>
      </c>
      <c r="D8" s="3">
        <f>IFERROR(__xludf.DUMMYFUNCTION("SPLIT(B8, ""-"")"),23.0)</f>
        <v>23</v>
      </c>
      <c r="E8" s="3">
        <f>IFERROR(__xludf.DUMMYFUNCTION("""COMPUTED_VALUE"""),41.0)</f>
        <v>41</v>
      </c>
      <c r="F8" s="3">
        <f>IFERROR(__xludf.DUMMYFUNCTION("SPLIT(C8, ""-"")"),22.0)</f>
        <v>22</v>
      </c>
      <c r="G8" s="3">
        <f>IFERROR(__xludf.DUMMYFUNCTION("""COMPUTED_VALUE"""),41.0)</f>
        <v>41</v>
      </c>
      <c r="I8" s="3" t="str">
        <f t="shared" si="1"/>
        <v/>
      </c>
      <c r="J8" s="3" t="str">
        <f t="shared" si="2"/>
        <v>y</v>
      </c>
      <c r="K8" s="3" t="str">
        <f t="shared" si="3"/>
        <v>y</v>
      </c>
      <c r="L8" s="3" t="str">
        <f t="shared" si="4"/>
        <v>y</v>
      </c>
      <c r="N8" s="3" t="str">
        <f t="shared" si="5"/>
        <v/>
      </c>
      <c r="O8" s="3">
        <f t="shared" si="6"/>
        <v>1</v>
      </c>
      <c r="Q8" s="3">
        <f t="shared" si="7"/>
        <v>1</v>
      </c>
      <c r="U8" s="3" t="str">
        <f t="shared" si="8"/>
        <v>Överlapp</v>
      </c>
      <c r="V8" s="3" t="str">
        <f t="shared" si="9"/>
        <v>Överlapp</v>
      </c>
      <c r="W8" s="3" t="str">
        <f t="shared" si="10"/>
        <v>Överlapp</v>
      </c>
      <c r="X8" s="3" t="str">
        <f t="shared" si="11"/>
        <v/>
      </c>
    </row>
    <row r="9">
      <c r="A9" s="1" t="s">
        <v>15</v>
      </c>
      <c r="B9" s="3" t="str">
        <f>IFERROR(__xludf.DUMMYFUNCTION("SPLIT(A9, "","")"),"46-67")</f>
        <v>46-67</v>
      </c>
      <c r="C9" s="3" t="str">
        <f>IFERROR(__xludf.DUMMYFUNCTION("""COMPUTED_VALUE"""),"41-66")</f>
        <v>41-66</v>
      </c>
      <c r="D9" s="3">
        <f>IFERROR(__xludf.DUMMYFUNCTION("SPLIT(B9, ""-"")"),46.0)</f>
        <v>46</v>
      </c>
      <c r="E9" s="3">
        <f>IFERROR(__xludf.DUMMYFUNCTION("""COMPUTED_VALUE"""),67.0)</f>
        <v>67</v>
      </c>
      <c r="F9" s="3">
        <f>IFERROR(__xludf.DUMMYFUNCTION("SPLIT(C9, ""-"")"),41.0)</f>
        <v>41</v>
      </c>
      <c r="G9" s="3">
        <f>IFERROR(__xludf.DUMMYFUNCTION("""COMPUTED_VALUE"""),66.0)</f>
        <v>66</v>
      </c>
      <c r="I9" s="3" t="str">
        <f t="shared" si="1"/>
        <v/>
      </c>
      <c r="J9" s="3" t="str">
        <f t="shared" si="2"/>
        <v>y</v>
      </c>
      <c r="K9" s="3" t="str">
        <f t="shared" si="3"/>
        <v>y</v>
      </c>
      <c r="L9" s="3" t="str">
        <f t="shared" si="4"/>
        <v/>
      </c>
      <c r="N9" s="3" t="str">
        <f t="shared" si="5"/>
        <v/>
      </c>
      <c r="O9" s="3" t="str">
        <f t="shared" si="6"/>
        <v/>
      </c>
      <c r="Q9" s="3" t="str">
        <f t="shared" si="7"/>
        <v/>
      </c>
      <c r="U9" s="3">
        <f t="shared" si="8"/>
        <v>1</v>
      </c>
      <c r="V9" s="3" t="str">
        <f t="shared" si="9"/>
        <v>Överlapp</v>
      </c>
      <c r="W9" s="3" t="str">
        <f t="shared" si="10"/>
        <v>Överlapp</v>
      </c>
      <c r="X9" s="3" t="str">
        <f t="shared" si="11"/>
        <v/>
      </c>
    </row>
    <row r="10">
      <c r="A10" s="1" t="s">
        <v>16</v>
      </c>
      <c r="B10" s="3" t="str">
        <f>IFERROR(__xludf.DUMMYFUNCTION("SPLIT(A10, "","")"),"8-42")</f>
        <v>8-42</v>
      </c>
      <c r="C10" s="3" t="str">
        <f>IFERROR(__xludf.DUMMYFUNCTION("""COMPUTED_VALUE"""),"11-42")</f>
        <v>11-42</v>
      </c>
      <c r="D10" s="3">
        <f>IFERROR(__xludf.DUMMYFUNCTION("SPLIT(B10, ""-"")"),8.0)</f>
        <v>8</v>
      </c>
      <c r="E10" s="3">
        <f>IFERROR(__xludf.DUMMYFUNCTION("""COMPUTED_VALUE"""),42.0)</f>
        <v>42</v>
      </c>
      <c r="F10" s="3">
        <f>IFERROR(__xludf.DUMMYFUNCTION("SPLIT(C10, ""-"")"),11.0)</f>
        <v>11</v>
      </c>
      <c r="G10" s="3">
        <f>IFERROR(__xludf.DUMMYFUNCTION("""COMPUTED_VALUE"""),42.0)</f>
        <v>42</v>
      </c>
      <c r="I10" s="3" t="str">
        <f t="shared" si="1"/>
        <v>y</v>
      </c>
      <c r="J10" s="3" t="str">
        <f t="shared" si="2"/>
        <v>y</v>
      </c>
      <c r="K10" s="3" t="str">
        <f t="shared" si="3"/>
        <v/>
      </c>
      <c r="L10" s="3" t="str">
        <f t="shared" si="4"/>
        <v>y</v>
      </c>
      <c r="N10" s="3">
        <f t="shared" si="5"/>
        <v>1</v>
      </c>
      <c r="O10" s="3" t="str">
        <f t="shared" si="6"/>
        <v/>
      </c>
      <c r="Q10" s="3">
        <f t="shared" si="7"/>
        <v>1</v>
      </c>
      <c r="U10" s="3" t="str">
        <f t="shared" si="8"/>
        <v>Överlapp</v>
      </c>
      <c r="V10" s="3" t="str">
        <f t="shared" si="9"/>
        <v>Överlapp</v>
      </c>
      <c r="W10" s="3" t="str">
        <f t="shared" si="10"/>
        <v>Överlapp</v>
      </c>
      <c r="X10" s="3" t="str">
        <f t="shared" si="11"/>
        <v/>
      </c>
    </row>
    <row r="11">
      <c r="A11" s="1" t="s">
        <v>17</v>
      </c>
      <c r="B11" s="3" t="str">
        <f>IFERROR(__xludf.DUMMYFUNCTION("SPLIT(A11, "","")"),"4-23")</f>
        <v>4-23</v>
      </c>
      <c r="C11" s="3" t="str">
        <f>IFERROR(__xludf.DUMMYFUNCTION("""COMPUTED_VALUE"""),"24-26")</f>
        <v>24-26</v>
      </c>
      <c r="D11" s="3">
        <f>IFERROR(__xludf.DUMMYFUNCTION("SPLIT(B11, ""-"")"),4.0)</f>
        <v>4</v>
      </c>
      <c r="E11" s="3">
        <f>IFERROR(__xludf.DUMMYFUNCTION("""COMPUTED_VALUE"""),23.0)</f>
        <v>23</v>
      </c>
      <c r="F11" s="3">
        <f>IFERROR(__xludf.DUMMYFUNCTION("SPLIT(C11, ""-"")"),24.0)</f>
        <v>24</v>
      </c>
      <c r="G11" s="3">
        <f>IFERROR(__xludf.DUMMYFUNCTION("""COMPUTED_VALUE"""),26.0)</f>
        <v>26</v>
      </c>
      <c r="I11" s="3" t="str">
        <f t="shared" si="1"/>
        <v>y</v>
      </c>
      <c r="J11" s="3" t="str">
        <f t="shared" si="2"/>
        <v/>
      </c>
      <c r="K11" s="3" t="str">
        <f t="shared" si="3"/>
        <v/>
      </c>
      <c r="L11" s="3" t="str">
        <f t="shared" si="4"/>
        <v>y</v>
      </c>
      <c r="N11" s="3" t="str">
        <f t="shared" si="5"/>
        <v/>
      </c>
      <c r="O11" s="3" t="str">
        <f t="shared" si="6"/>
        <v/>
      </c>
      <c r="Q11" s="3" t="str">
        <f t="shared" si="7"/>
        <v/>
      </c>
      <c r="U11" s="3">
        <f t="shared" si="8"/>
        <v>1</v>
      </c>
      <c r="V11" s="3">
        <f t="shared" si="9"/>
        <v>1</v>
      </c>
      <c r="W11" s="3" t="str">
        <f t="shared" si="10"/>
        <v>Överlapp</v>
      </c>
      <c r="X11" s="3">
        <f t="shared" si="11"/>
        <v>1</v>
      </c>
    </row>
    <row r="12">
      <c r="A12" s="1" t="s">
        <v>18</v>
      </c>
      <c r="B12" s="3" t="str">
        <f>IFERROR(__xludf.DUMMYFUNCTION("SPLIT(A12, "","")"),"3-38")</f>
        <v>3-38</v>
      </c>
      <c r="C12" s="3" t="str">
        <f>IFERROR(__xludf.DUMMYFUNCTION("""COMPUTED_VALUE"""),"18-37")</f>
        <v>18-37</v>
      </c>
      <c r="D12" s="3">
        <f>IFERROR(__xludf.DUMMYFUNCTION("SPLIT(B12, ""-"")"),3.0)</f>
        <v>3</v>
      </c>
      <c r="E12" s="3">
        <f>IFERROR(__xludf.DUMMYFUNCTION("""COMPUTED_VALUE"""),38.0)</f>
        <v>38</v>
      </c>
      <c r="F12" s="3">
        <f>IFERROR(__xludf.DUMMYFUNCTION("SPLIT(C12, ""-"")"),18.0)</f>
        <v>18</v>
      </c>
      <c r="G12" s="3">
        <f>IFERROR(__xludf.DUMMYFUNCTION("""COMPUTED_VALUE"""),37.0)</f>
        <v>37</v>
      </c>
      <c r="I12" s="3" t="str">
        <f t="shared" si="1"/>
        <v>y</v>
      </c>
      <c r="J12" s="3" t="str">
        <f t="shared" si="2"/>
        <v>y</v>
      </c>
      <c r="K12" s="3" t="str">
        <f t="shared" si="3"/>
        <v/>
      </c>
      <c r="L12" s="3" t="str">
        <f t="shared" si="4"/>
        <v/>
      </c>
      <c r="N12" s="3">
        <f t="shared" si="5"/>
        <v>1</v>
      </c>
      <c r="O12" s="3" t="str">
        <f t="shared" si="6"/>
        <v/>
      </c>
      <c r="Q12" s="3">
        <f t="shared" si="7"/>
        <v>1</v>
      </c>
      <c r="U12" s="3">
        <f t="shared" si="8"/>
        <v>1</v>
      </c>
      <c r="V12" s="3" t="str">
        <f t="shared" si="9"/>
        <v>Överlapp</v>
      </c>
      <c r="W12" s="3" t="str">
        <f t="shared" si="10"/>
        <v>Överlapp</v>
      </c>
      <c r="X12" s="3" t="str">
        <f t="shared" si="11"/>
        <v/>
      </c>
    </row>
    <row r="13">
      <c r="A13" s="1" t="s">
        <v>19</v>
      </c>
      <c r="B13" s="3" t="str">
        <f>IFERROR(__xludf.DUMMYFUNCTION("SPLIT(A13, "","")"),"82-84")</f>
        <v>82-84</v>
      </c>
      <c r="C13" s="3" t="str">
        <f>IFERROR(__xludf.DUMMYFUNCTION("""COMPUTED_VALUE"""),"1-83")</f>
        <v>1-83</v>
      </c>
      <c r="D13" s="3">
        <f>IFERROR(__xludf.DUMMYFUNCTION("SPLIT(B13, ""-"")"),82.0)</f>
        <v>82</v>
      </c>
      <c r="E13" s="3">
        <f>IFERROR(__xludf.DUMMYFUNCTION("""COMPUTED_VALUE"""),84.0)</f>
        <v>84</v>
      </c>
      <c r="F13" s="3">
        <f>IFERROR(__xludf.DUMMYFUNCTION("SPLIT(C13, ""-"")"),1.0)</f>
        <v>1</v>
      </c>
      <c r="G13" s="3">
        <f>IFERROR(__xludf.DUMMYFUNCTION("""COMPUTED_VALUE"""),83.0)</f>
        <v>83</v>
      </c>
      <c r="I13" s="3" t="str">
        <f t="shared" si="1"/>
        <v/>
      </c>
      <c r="J13" s="3" t="str">
        <f t="shared" si="2"/>
        <v>y</v>
      </c>
      <c r="K13" s="3" t="str">
        <f t="shared" si="3"/>
        <v>y</v>
      </c>
      <c r="L13" s="3" t="str">
        <f t="shared" si="4"/>
        <v/>
      </c>
      <c r="N13" s="3" t="str">
        <f t="shared" si="5"/>
        <v/>
      </c>
      <c r="O13" s="3" t="str">
        <f t="shared" si="6"/>
        <v/>
      </c>
      <c r="Q13" s="3" t="str">
        <f t="shared" si="7"/>
        <v/>
      </c>
      <c r="U13" s="3">
        <f t="shared" si="8"/>
        <v>1</v>
      </c>
      <c r="V13" s="3" t="str">
        <f t="shared" si="9"/>
        <v>Överlapp</v>
      </c>
      <c r="W13" s="3" t="str">
        <f t="shared" si="10"/>
        <v>Överlapp</v>
      </c>
      <c r="X13" s="3" t="str">
        <f t="shared" si="11"/>
        <v/>
      </c>
    </row>
    <row r="14">
      <c r="A14" s="1" t="s">
        <v>20</v>
      </c>
      <c r="B14" s="3" t="str">
        <f>IFERROR(__xludf.DUMMYFUNCTION("SPLIT(A14, "","")"),"2-98")</f>
        <v>2-98</v>
      </c>
      <c r="C14" s="3" t="str">
        <f>IFERROR(__xludf.DUMMYFUNCTION("""COMPUTED_VALUE"""),"3-98")</f>
        <v>3-98</v>
      </c>
      <c r="D14" s="3">
        <f>IFERROR(__xludf.DUMMYFUNCTION("SPLIT(B14, ""-"")"),2.0)</f>
        <v>2</v>
      </c>
      <c r="E14" s="3">
        <f>IFERROR(__xludf.DUMMYFUNCTION("""COMPUTED_VALUE"""),98.0)</f>
        <v>98</v>
      </c>
      <c r="F14" s="3">
        <f>IFERROR(__xludf.DUMMYFUNCTION("SPLIT(C14, ""-"")"),3.0)</f>
        <v>3</v>
      </c>
      <c r="G14" s="3">
        <f>IFERROR(__xludf.DUMMYFUNCTION("""COMPUTED_VALUE"""),98.0)</f>
        <v>98</v>
      </c>
      <c r="I14" s="3" t="str">
        <f t="shared" si="1"/>
        <v>y</v>
      </c>
      <c r="J14" s="3" t="str">
        <f t="shared" si="2"/>
        <v>y</v>
      </c>
      <c r="K14" s="3" t="str">
        <f t="shared" si="3"/>
        <v/>
      </c>
      <c r="L14" s="3" t="str">
        <f t="shared" si="4"/>
        <v>y</v>
      </c>
      <c r="N14" s="3">
        <f t="shared" si="5"/>
        <v>1</v>
      </c>
      <c r="O14" s="3" t="str">
        <f t="shared" si="6"/>
        <v/>
      </c>
      <c r="Q14" s="3">
        <f t="shared" si="7"/>
        <v>1</v>
      </c>
      <c r="U14" s="3" t="str">
        <f t="shared" si="8"/>
        <v>Överlapp</v>
      </c>
      <c r="V14" s="3" t="str">
        <f t="shared" si="9"/>
        <v>Överlapp</v>
      </c>
      <c r="W14" s="3" t="str">
        <f t="shared" si="10"/>
        <v>Överlapp</v>
      </c>
      <c r="X14" s="3" t="str">
        <f t="shared" si="11"/>
        <v/>
      </c>
    </row>
    <row r="15">
      <c r="A15" s="1" t="s">
        <v>21</v>
      </c>
      <c r="B15" s="3" t="str">
        <f>IFERROR(__xludf.DUMMYFUNCTION("SPLIT(A15, "","")"),"53-98")</f>
        <v>53-98</v>
      </c>
      <c r="C15" s="3" t="str">
        <f>IFERROR(__xludf.DUMMYFUNCTION("""COMPUTED_VALUE"""),"53-54")</f>
        <v>53-54</v>
      </c>
      <c r="D15" s="3">
        <f>IFERROR(__xludf.DUMMYFUNCTION("SPLIT(B15, ""-"")"),53.0)</f>
        <v>53</v>
      </c>
      <c r="E15" s="3">
        <f>IFERROR(__xludf.DUMMYFUNCTION("""COMPUTED_VALUE"""),98.0)</f>
        <v>98</v>
      </c>
      <c r="F15" s="3">
        <f>IFERROR(__xludf.DUMMYFUNCTION("SPLIT(C15, ""-"")"),53.0)</f>
        <v>53</v>
      </c>
      <c r="G15" s="3">
        <f>IFERROR(__xludf.DUMMYFUNCTION("""COMPUTED_VALUE"""),54.0)</f>
        <v>54</v>
      </c>
      <c r="I15" s="3" t="str">
        <f t="shared" si="1"/>
        <v>y</v>
      </c>
      <c r="J15" s="3" t="str">
        <f t="shared" si="2"/>
        <v>y</v>
      </c>
      <c r="K15" s="3" t="str">
        <f t="shared" si="3"/>
        <v>y</v>
      </c>
      <c r="L15" s="3" t="str">
        <f t="shared" si="4"/>
        <v/>
      </c>
      <c r="N15" s="3">
        <f t="shared" si="5"/>
        <v>1</v>
      </c>
      <c r="O15" s="3" t="str">
        <f t="shared" si="6"/>
        <v/>
      </c>
      <c r="Q15" s="3">
        <f t="shared" si="7"/>
        <v>1</v>
      </c>
      <c r="U15" s="3" t="str">
        <f t="shared" si="8"/>
        <v>Överlapp</v>
      </c>
      <c r="V15" s="3" t="str">
        <f t="shared" si="9"/>
        <v>Överlapp</v>
      </c>
      <c r="W15" s="3" t="str">
        <f t="shared" si="10"/>
        <v>Överlapp</v>
      </c>
      <c r="X15" s="3" t="str">
        <f t="shared" si="11"/>
        <v/>
      </c>
    </row>
    <row r="16">
      <c r="A16" s="1" t="s">
        <v>22</v>
      </c>
      <c r="B16" s="3" t="str">
        <f>IFERROR(__xludf.DUMMYFUNCTION("SPLIT(A16, "","")"),"18-80")</f>
        <v>18-80</v>
      </c>
      <c r="C16" s="3" t="str">
        <f>IFERROR(__xludf.DUMMYFUNCTION("""COMPUTED_VALUE"""),"18-34")</f>
        <v>18-34</v>
      </c>
      <c r="D16" s="3">
        <f>IFERROR(__xludf.DUMMYFUNCTION("SPLIT(B16, ""-"")"),18.0)</f>
        <v>18</v>
      </c>
      <c r="E16" s="3">
        <f>IFERROR(__xludf.DUMMYFUNCTION("""COMPUTED_VALUE"""),80.0)</f>
        <v>80</v>
      </c>
      <c r="F16" s="3">
        <f>IFERROR(__xludf.DUMMYFUNCTION("SPLIT(C16, ""-"")"),18.0)</f>
        <v>18</v>
      </c>
      <c r="G16" s="3">
        <f>IFERROR(__xludf.DUMMYFUNCTION("""COMPUTED_VALUE"""),34.0)</f>
        <v>34</v>
      </c>
      <c r="I16" s="3" t="str">
        <f t="shared" si="1"/>
        <v>y</v>
      </c>
      <c r="J16" s="3" t="str">
        <f t="shared" si="2"/>
        <v>y</v>
      </c>
      <c r="K16" s="3" t="str">
        <f t="shared" si="3"/>
        <v>y</v>
      </c>
      <c r="L16" s="3" t="str">
        <f t="shared" si="4"/>
        <v/>
      </c>
      <c r="N16" s="3">
        <f t="shared" si="5"/>
        <v>1</v>
      </c>
      <c r="O16" s="3" t="str">
        <f t="shared" si="6"/>
        <v/>
      </c>
      <c r="Q16" s="3">
        <f t="shared" si="7"/>
        <v>1</v>
      </c>
      <c r="U16" s="3" t="str">
        <f t="shared" si="8"/>
        <v>Överlapp</v>
      </c>
      <c r="V16" s="3" t="str">
        <f t="shared" si="9"/>
        <v>Överlapp</v>
      </c>
      <c r="W16" s="3" t="str">
        <f t="shared" si="10"/>
        <v>Överlapp</v>
      </c>
      <c r="X16" s="3" t="str">
        <f t="shared" si="11"/>
        <v/>
      </c>
    </row>
    <row r="17">
      <c r="A17" s="1" t="s">
        <v>23</v>
      </c>
      <c r="B17" s="3" t="str">
        <f>IFERROR(__xludf.DUMMYFUNCTION("SPLIT(A17, "","")"),"83-89")</f>
        <v>83-89</v>
      </c>
      <c r="C17" s="3" t="str">
        <f>IFERROR(__xludf.DUMMYFUNCTION("""COMPUTED_VALUE"""),"9-83")</f>
        <v>9-83</v>
      </c>
      <c r="D17" s="3">
        <f>IFERROR(__xludf.DUMMYFUNCTION("SPLIT(B17, ""-"")"),83.0)</f>
        <v>83</v>
      </c>
      <c r="E17" s="3">
        <f>IFERROR(__xludf.DUMMYFUNCTION("""COMPUTED_VALUE"""),89.0)</f>
        <v>89</v>
      </c>
      <c r="F17" s="3">
        <f>IFERROR(__xludf.DUMMYFUNCTION("SPLIT(C17, ""-"")"),9.0)</f>
        <v>9</v>
      </c>
      <c r="G17" s="3">
        <f>IFERROR(__xludf.DUMMYFUNCTION("""COMPUTED_VALUE"""),83.0)</f>
        <v>83</v>
      </c>
      <c r="I17" s="3" t="str">
        <f t="shared" si="1"/>
        <v/>
      </c>
      <c r="J17" s="3" t="str">
        <f t="shared" si="2"/>
        <v>y</v>
      </c>
      <c r="K17" s="3" t="str">
        <f t="shared" si="3"/>
        <v>y</v>
      </c>
      <c r="L17" s="3" t="str">
        <f t="shared" si="4"/>
        <v/>
      </c>
      <c r="N17" s="3" t="str">
        <f t="shared" si="5"/>
        <v/>
      </c>
      <c r="O17" s="3" t="str">
        <f t="shared" si="6"/>
        <v/>
      </c>
      <c r="Q17" s="3" t="str">
        <f t="shared" si="7"/>
        <v/>
      </c>
      <c r="U17" s="3" t="str">
        <f t="shared" si="8"/>
        <v>Överlapp</v>
      </c>
      <c r="V17" s="3" t="str">
        <f t="shared" si="9"/>
        <v>Överlapp</v>
      </c>
      <c r="W17" s="3" t="str">
        <f t="shared" si="10"/>
        <v>Överlapp</v>
      </c>
      <c r="X17" s="3" t="str">
        <f t="shared" si="11"/>
        <v/>
      </c>
    </row>
    <row r="18">
      <c r="A18" s="1" t="s">
        <v>24</v>
      </c>
      <c r="B18" s="3" t="str">
        <f>IFERROR(__xludf.DUMMYFUNCTION("SPLIT(A18, "","")"),"20-90")</f>
        <v>20-90</v>
      </c>
      <c r="C18" s="3" t="str">
        <f>IFERROR(__xludf.DUMMYFUNCTION("""COMPUTED_VALUE"""),"19-91")</f>
        <v>19-91</v>
      </c>
      <c r="D18" s="3">
        <f>IFERROR(__xludf.DUMMYFUNCTION("SPLIT(B18, ""-"")"),20.0)</f>
        <v>20</v>
      </c>
      <c r="E18" s="3">
        <f>IFERROR(__xludf.DUMMYFUNCTION("""COMPUTED_VALUE"""),90.0)</f>
        <v>90</v>
      </c>
      <c r="F18" s="3">
        <f>IFERROR(__xludf.DUMMYFUNCTION("SPLIT(C18, ""-"")"),19.0)</f>
        <v>19</v>
      </c>
      <c r="G18" s="3">
        <f>IFERROR(__xludf.DUMMYFUNCTION("""COMPUTED_VALUE"""),91.0)</f>
        <v>91</v>
      </c>
      <c r="I18" s="3" t="str">
        <f t="shared" si="1"/>
        <v/>
      </c>
      <c r="J18" s="3" t="str">
        <f t="shared" si="2"/>
        <v/>
      </c>
      <c r="K18" s="3" t="str">
        <f t="shared" si="3"/>
        <v>y</v>
      </c>
      <c r="L18" s="3" t="str">
        <f t="shared" si="4"/>
        <v>y</v>
      </c>
      <c r="N18" s="3" t="str">
        <f t="shared" si="5"/>
        <v/>
      </c>
      <c r="O18" s="3">
        <f t="shared" si="6"/>
        <v>1</v>
      </c>
      <c r="Q18" s="3">
        <f t="shared" si="7"/>
        <v>1</v>
      </c>
      <c r="U18" s="3">
        <f t="shared" si="8"/>
        <v>1</v>
      </c>
      <c r="V18" s="3" t="str">
        <f t="shared" si="9"/>
        <v>Överlapp</v>
      </c>
      <c r="W18" s="3" t="str">
        <f t="shared" si="10"/>
        <v>Överlapp</v>
      </c>
      <c r="X18" s="3" t="str">
        <f t="shared" si="11"/>
        <v/>
      </c>
    </row>
    <row r="19">
      <c r="A19" s="1" t="s">
        <v>25</v>
      </c>
      <c r="B19" s="3" t="str">
        <f>IFERROR(__xludf.DUMMYFUNCTION("SPLIT(A19, "","")"),"4-32")</f>
        <v>4-32</v>
      </c>
      <c r="C19" s="3" t="str">
        <f>IFERROR(__xludf.DUMMYFUNCTION("""COMPUTED_VALUE"""),"31-70")</f>
        <v>31-70</v>
      </c>
      <c r="D19" s="3">
        <f>IFERROR(__xludf.DUMMYFUNCTION("SPLIT(B19, ""-"")"),4.0)</f>
        <v>4</v>
      </c>
      <c r="E19" s="3">
        <f>IFERROR(__xludf.DUMMYFUNCTION("""COMPUTED_VALUE"""),32.0)</f>
        <v>32</v>
      </c>
      <c r="F19" s="3">
        <f>IFERROR(__xludf.DUMMYFUNCTION("SPLIT(C19, ""-"")"),31.0)</f>
        <v>31</v>
      </c>
      <c r="G19" s="3">
        <f>IFERROR(__xludf.DUMMYFUNCTION("""COMPUTED_VALUE"""),70.0)</f>
        <v>70</v>
      </c>
      <c r="I19" s="3" t="str">
        <f t="shared" si="1"/>
        <v>y</v>
      </c>
      <c r="J19" s="3" t="str">
        <f t="shared" si="2"/>
        <v/>
      </c>
      <c r="K19" s="3" t="str">
        <f t="shared" si="3"/>
        <v/>
      </c>
      <c r="L19" s="3" t="str">
        <f t="shared" si="4"/>
        <v>y</v>
      </c>
      <c r="N19" s="3" t="str">
        <f t="shared" si="5"/>
        <v/>
      </c>
      <c r="O19" s="3" t="str">
        <f t="shared" si="6"/>
        <v/>
      </c>
      <c r="Q19" s="3" t="str">
        <f t="shared" si="7"/>
        <v/>
      </c>
      <c r="U19" s="3">
        <f t="shared" si="8"/>
        <v>1</v>
      </c>
      <c r="V19" s="3" t="str">
        <f t="shared" si="9"/>
        <v>Överlapp</v>
      </c>
      <c r="W19" s="3" t="str">
        <f t="shared" si="10"/>
        <v>Överlapp</v>
      </c>
      <c r="X19" s="3" t="str">
        <f t="shared" si="11"/>
        <v/>
      </c>
    </row>
    <row r="20">
      <c r="A20" s="1" t="s">
        <v>26</v>
      </c>
      <c r="B20" s="3" t="str">
        <f>IFERROR(__xludf.DUMMYFUNCTION("SPLIT(A20, "","")"),"25-59")</f>
        <v>25-59</v>
      </c>
      <c r="C20" s="3" t="str">
        <f>IFERROR(__xludf.DUMMYFUNCTION("""COMPUTED_VALUE"""),"48-58")</f>
        <v>48-58</v>
      </c>
      <c r="D20" s="3">
        <f>IFERROR(__xludf.DUMMYFUNCTION("SPLIT(B20, ""-"")"),25.0)</f>
        <v>25</v>
      </c>
      <c r="E20" s="3">
        <f>IFERROR(__xludf.DUMMYFUNCTION("""COMPUTED_VALUE"""),59.0)</f>
        <v>59</v>
      </c>
      <c r="F20" s="3">
        <f>IFERROR(__xludf.DUMMYFUNCTION("SPLIT(C20, ""-"")"),48.0)</f>
        <v>48</v>
      </c>
      <c r="G20" s="3">
        <f>IFERROR(__xludf.DUMMYFUNCTION("""COMPUTED_VALUE"""),58.0)</f>
        <v>58</v>
      </c>
      <c r="I20" s="3" t="str">
        <f t="shared" si="1"/>
        <v>y</v>
      </c>
      <c r="J20" s="3" t="str">
        <f t="shared" si="2"/>
        <v>y</v>
      </c>
      <c r="K20" s="3" t="str">
        <f t="shared" si="3"/>
        <v/>
      </c>
      <c r="L20" s="3" t="str">
        <f t="shared" si="4"/>
        <v/>
      </c>
      <c r="N20" s="3">
        <f t="shared" si="5"/>
        <v>1</v>
      </c>
      <c r="O20" s="3" t="str">
        <f t="shared" si="6"/>
        <v/>
      </c>
      <c r="Q20" s="3">
        <f t="shared" si="7"/>
        <v>1</v>
      </c>
      <c r="U20" s="3">
        <f t="shared" si="8"/>
        <v>1</v>
      </c>
      <c r="V20" s="3" t="str">
        <f t="shared" si="9"/>
        <v>Överlapp</v>
      </c>
      <c r="W20" s="3" t="str">
        <f t="shared" si="10"/>
        <v>Överlapp</v>
      </c>
      <c r="X20" s="3" t="str">
        <f t="shared" si="11"/>
        <v/>
      </c>
    </row>
    <row r="21">
      <c r="A21" s="1" t="s">
        <v>27</v>
      </c>
      <c r="B21" s="3" t="str">
        <f>IFERROR(__xludf.DUMMYFUNCTION("SPLIT(A21, "","")"),"54-55")</f>
        <v>54-55</v>
      </c>
      <c r="C21" s="3" t="str">
        <f>IFERROR(__xludf.DUMMYFUNCTION("""COMPUTED_VALUE"""),"54-91")</f>
        <v>54-91</v>
      </c>
      <c r="D21" s="3">
        <f>IFERROR(__xludf.DUMMYFUNCTION("SPLIT(B21, ""-"")"),54.0)</f>
        <v>54</v>
      </c>
      <c r="E21" s="3">
        <f>IFERROR(__xludf.DUMMYFUNCTION("""COMPUTED_VALUE"""),55.0)</f>
        <v>55</v>
      </c>
      <c r="F21" s="3">
        <f>IFERROR(__xludf.DUMMYFUNCTION("SPLIT(C21, ""-"")"),54.0)</f>
        <v>54</v>
      </c>
      <c r="G21" s="3">
        <f>IFERROR(__xludf.DUMMYFUNCTION("""COMPUTED_VALUE"""),91.0)</f>
        <v>91</v>
      </c>
      <c r="I21" s="3" t="str">
        <f t="shared" si="1"/>
        <v>y</v>
      </c>
      <c r="J21" s="3" t="str">
        <f t="shared" si="2"/>
        <v/>
      </c>
      <c r="K21" s="3" t="str">
        <f t="shared" si="3"/>
        <v>y</v>
      </c>
      <c r="L21" s="3" t="str">
        <f t="shared" si="4"/>
        <v>y</v>
      </c>
      <c r="N21" s="3" t="str">
        <f t="shared" si="5"/>
        <v/>
      </c>
      <c r="O21" s="3">
        <f t="shared" si="6"/>
        <v>1</v>
      </c>
      <c r="Q21" s="3">
        <f t="shared" si="7"/>
        <v>1</v>
      </c>
      <c r="U21" s="3" t="str">
        <f t="shared" si="8"/>
        <v>Överlapp</v>
      </c>
      <c r="V21" s="3" t="str">
        <f t="shared" si="9"/>
        <v>Överlapp</v>
      </c>
      <c r="W21" s="3" t="str">
        <f t="shared" si="10"/>
        <v>Överlapp</v>
      </c>
      <c r="X21" s="3" t="str">
        <f t="shared" si="11"/>
        <v/>
      </c>
    </row>
    <row r="22">
      <c r="A22" s="1" t="s">
        <v>28</v>
      </c>
      <c r="B22" s="3" t="str">
        <f>IFERROR(__xludf.DUMMYFUNCTION("SPLIT(A22, "","")"),"2-28")</f>
        <v>2-28</v>
      </c>
      <c r="C22" s="3" t="str">
        <f>IFERROR(__xludf.DUMMYFUNCTION("""COMPUTED_VALUE"""),"4-36")</f>
        <v>4-36</v>
      </c>
      <c r="D22" s="3">
        <f>IFERROR(__xludf.DUMMYFUNCTION("SPLIT(B22, ""-"")"),2.0)</f>
        <v>2</v>
      </c>
      <c r="E22" s="3">
        <f>IFERROR(__xludf.DUMMYFUNCTION("""COMPUTED_VALUE"""),28.0)</f>
        <v>28</v>
      </c>
      <c r="F22" s="3">
        <f>IFERROR(__xludf.DUMMYFUNCTION("SPLIT(C22, ""-"")"),4.0)</f>
        <v>4</v>
      </c>
      <c r="G22" s="3">
        <f>IFERROR(__xludf.DUMMYFUNCTION("""COMPUTED_VALUE"""),36.0)</f>
        <v>36</v>
      </c>
      <c r="I22" s="3" t="str">
        <f t="shared" si="1"/>
        <v>y</v>
      </c>
      <c r="J22" s="3" t="str">
        <f t="shared" si="2"/>
        <v/>
      </c>
      <c r="K22" s="3" t="str">
        <f t="shared" si="3"/>
        <v/>
      </c>
      <c r="L22" s="3" t="str">
        <f t="shared" si="4"/>
        <v>y</v>
      </c>
      <c r="N22" s="3" t="str">
        <f t="shared" si="5"/>
        <v/>
      </c>
      <c r="O22" s="3" t="str">
        <f t="shared" si="6"/>
        <v/>
      </c>
      <c r="Q22" s="3" t="str">
        <f t="shared" si="7"/>
        <v/>
      </c>
      <c r="U22" s="3">
        <f t="shared" si="8"/>
        <v>1</v>
      </c>
      <c r="V22" s="3" t="str">
        <f t="shared" si="9"/>
        <v>Överlapp</v>
      </c>
      <c r="W22" s="3" t="str">
        <f t="shared" si="10"/>
        <v>Överlapp</v>
      </c>
      <c r="X22" s="3" t="str">
        <f t="shared" si="11"/>
        <v/>
      </c>
    </row>
    <row r="23">
      <c r="A23" s="1" t="s">
        <v>29</v>
      </c>
      <c r="B23" s="3" t="str">
        <f>IFERROR(__xludf.DUMMYFUNCTION("SPLIT(A23, "","")"),"21-66")</f>
        <v>21-66</v>
      </c>
      <c r="C23" s="3" t="str">
        <f>IFERROR(__xludf.DUMMYFUNCTION("""COMPUTED_VALUE"""),"21-66")</f>
        <v>21-66</v>
      </c>
      <c r="D23" s="3">
        <f>IFERROR(__xludf.DUMMYFUNCTION("SPLIT(B23, ""-"")"),21.0)</f>
        <v>21</v>
      </c>
      <c r="E23" s="3">
        <f>IFERROR(__xludf.DUMMYFUNCTION("""COMPUTED_VALUE"""),66.0)</f>
        <v>66</v>
      </c>
      <c r="F23" s="3">
        <f>IFERROR(__xludf.DUMMYFUNCTION("SPLIT(C23, ""-"")"),21.0)</f>
        <v>21</v>
      </c>
      <c r="G23" s="3">
        <f>IFERROR(__xludf.DUMMYFUNCTION("""COMPUTED_VALUE"""),66.0)</f>
        <v>66</v>
      </c>
      <c r="I23" s="3" t="str">
        <f t="shared" si="1"/>
        <v>y</v>
      </c>
      <c r="J23" s="3" t="str">
        <f t="shared" si="2"/>
        <v>y</v>
      </c>
      <c r="K23" s="3" t="str">
        <f t="shared" si="3"/>
        <v>y</v>
      </c>
      <c r="L23" s="3" t="str">
        <f t="shared" si="4"/>
        <v>y</v>
      </c>
      <c r="N23" s="3">
        <f t="shared" si="5"/>
        <v>1</v>
      </c>
      <c r="O23" s="3">
        <f t="shared" si="6"/>
        <v>1</v>
      </c>
      <c r="Q23" s="3">
        <f t="shared" si="7"/>
        <v>1</v>
      </c>
      <c r="U23" s="3" t="str">
        <f t="shared" si="8"/>
        <v>Överlapp</v>
      </c>
      <c r="V23" s="3" t="str">
        <f t="shared" si="9"/>
        <v>Överlapp</v>
      </c>
      <c r="W23" s="3" t="str">
        <f t="shared" si="10"/>
        <v>Överlapp</v>
      </c>
      <c r="X23" s="3" t="str">
        <f t="shared" si="11"/>
        <v/>
      </c>
    </row>
    <row r="24">
      <c r="A24" s="1" t="s">
        <v>30</v>
      </c>
      <c r="B24" s="3" t="str">
        <f>IFERROR(__xludf.DUMMYFUNCTION("SPLIT(A24, "","")"),"23-78")</f>
        <v>23-78</v>
      </c>
      <c r="C24" s="3" t="str">
        <f>IFERROR(__xludf.DUMMYFUNCTION("""COMPUTED_VALUE"""),"23-61")</f>
        <v>23-61</v>
      </c>
      <c r="D24" s="3">
        <f>IFERROR(__xludf.DUMMYFUNCTION("SPLIT(B24, ""-"")"),23.0)</f>
        <v>23</v>
      </c>
      <c r="E24" s="3">
        <f>IFERROR(__xludf.DUMMYFUNCTION("""COMPUTED_VALUE"""),78.0)</f>
        <v>78</v>
      </c>
      <c r="F24" s="3">
        <f>IFERROR(__xludf.DUMMYFUNCTION("SPLIT(C24, ""-"")"),23.0)</f>
        <v>23</v>
      </c>
      <c r="G24" s="3">
        <f>IFERROR(__xludf.DUMMYFUNCTION("""COMPUTED_VALUE"""),61.0)</f>
        <v>61</v>
      </c>
      <c r="I24" s="3" t="str">
        <f t="shared" si="1"/>
        <v>y</v>
      </c>
      <c r="J24" s="3" t="str">
        <f t="shared" si="2"/>
        <v>y</v>
      </c>
      <c r="K24" s="3" t="str">
        <f t="shared" si="3"/>
        <v>y</v>
      </c>
      <c r="L24" s="3" t="str">
        <f t="shared" si="4"/>
        <v/>
      </c>
      <c r="N24" s="3">
        <f t="shared" si="5"/>
        <v>1</v>
      </c>
      <c r="O24" s="3" t="str">
        <f t="shared" si="6"/>
        <v/>
      </c>
      <c r="Q24" s="3">
        <f t="shared" si="7"/>
        <v>1</v>
      </c>
      <c r="U24" s="3" t="str">
        <f t="shared" si="8"/>
        <v>Överlapp</v>
      </c>
      <c r="V24" s="3" t="str">
        <f t="shared" si="9"/>
        <v>Överlapp</v>
      </c>
      <c r="W24" s="3" t="str">
        <f t="shared" si="10"/>
        <v>Överlapp</v>
      </c>
      <c r="X24" s="3" t="str">
        <f t="shared" si="11"/>
        <v/>
      </c>
    </row>
    <row r="25">
      <c r="A25" s="1" t="s">
        <v>31</v>
      </c>
      <c r="B25" s="3" t="str">
        <f>IFERROR(__xludf.DUMMYFUNCTION("SPLIT(A25, "","")"),"43-98")</f>
        <v>43-98</v>
      </c>
      <c r="C25" s="3" t="str">
        <f>IFERROR(__xludf.DUMMYFUNCTION("""COMPUTED_VALUE"""),"43-43")</f>
        <v>43-43</v>
      </c>
      <c r="D25" s="3">
        <f>IFERROR(__xludf.DUMMYFUNCTION("SPLIT(B25, ""-"")"),43.0)</f>
        <v>43</v>
      </c>
      <c r="E25" s="3">
        <f>IFERROR(__xludf.DUMMYFUNCTION("""COMPUTED_VALUE"""),98.0)</f>
        <v>98</v>
      </c>
      <c r="F25" s="3">
        <f>IFERROR(__xludf.DUMMYFUNCTION("SPLIT(C25, ""-"")"),43.0)</f>
        <v>43</v>
      </c>
      <c r="G25" s="3">
        <f>IFERROR(__xludf.DUMMYFUNCTION("""COMPUTED_VALUE"""),43.0)</f>
        <v>43</v>
      </c>
      <c r="I25" s="3" t="str">
        <f t="shared" si="1"/>
        <v>y</v>
      </c>
      <c r="J25" s="3" t="str">
        <f t="shared" si="2"/>
        <v>y</v>
      </c>
      <c r="K25" s="3" t="str">
        <f t="shared" si="3"/>
        <v>y</v>
      </c>
      <c r="L25" s="3" t="str">
        <f t="shared" si="4"/>
        <v/>
      </c>
      <c r="N25" s="3">
        <f t="shared" si="5"/>
        <v>1</v>
      </c>
      <c r="O25" s="3" t="str">
        <f t="shared" si="6"/>
        <v/>
      </c>
      <c r="Q25" s="3">
        <f t="shared" si="7"/>
        <v>1</v>
      </c>
      <c r="U25" s="3" t="str">
        <f t="shared" si="8"/>
        <v>Överlapp</v>
      </c>
      <c r="V25" s="3" t="str">
        <f t="shared" si="9"/>
        <v>Överlapp</v>
      </c>
      <c r="W25" s="3" t="str">
        <f t="shared" si="10"/>
        <v>Överlapp</v>
      </c>
      <c r="X25" s="3" t="str">
        <f t="shared" si="11"/>
        <v/>
      </c>
    </row>
    <row r="26">
      <c r="A26" s="1" t="s">
        <v>32</v>
      </c>
      <c r="B26" s="3" t="str">
        <f>IFERROR(__xludf.DUMMYFUNCTION("SPLIT(A26, "","")"),"21-62")</f>
        <v>21-62</v>
      </c>
      <c r="C26" s="3" t="str">
        <f>IFERROR(__xludf.DUMMYFUNCTION("""COMPUTED_VALUE"""),"20-78")</f>
        <v>20-78</v>
      </c>
      <c r="D26" s="3">
        <f>IFERROR(__xludf.DUMMYFUNCTION("SPLIT(B26, ""-"")"),21.0)</f>
        <v>21</v>
      </c>
      <c r="E26" s="3">
        <f>IFERROR(__xludf.DUMMYFUNCTION("""COMPUTED_VALUE"""),62.0)</f>
        <v>62</v>
      </c>
      <c r="F26" s="3">
        <f>IFERROR(__xludf.DUMMYFUNCTION("SPLIT(C26, ""-"")"),20.0)</f>
        <v>20</v>
      </c>
      <c r="G26" s="3">
        <f>IFERROR(__xludf.DUMMYFUNCTION("""COMPUTED_VALUE"""),78.0)</f>
        <v>78</v>
      </c>
      <c r="I26" s="3" t="str">
        <f t="shared" si="1"/>
        <v/>
      </c>
      <c r="J26" s="3" t="str">
        <f t="shared" si="2"/>
        <v/>
      </c>
      <c r="K26" s="3" t="str">
        <f t="shared" si="3"/>
        <v>y</v>
      </c>
      <c r="L26" s="3" t="str">
        <f t="shared" si="4"/>
        <v>y</v>
      </c>
      <c r="N26" s="3" t="str">
        <f t="shared" si="5"/>
        <v/>
      </c>
      <c r="O26" s="3">
        <f t="shared" si="6"/>
        <v>1</v>
      </c>
      <c r="Q26" s="3">
        <f t="shared" si="7"/>
        <v>1</v>
      </c>
      <c r="U26" s="3">
        <f t="shared" si="8"/>
        <v>1</v>
      </c>
      <c r="V26" s="3" t="str">
        <f t="shared" si="9"/>
        <v>Överlapp</v>
      </c>
      <c r="W26" s="3" t="str">
        <f t="shared" si="10"/>
        <v>Överlapp</v>
      </c>
      <c r="X26" s="3" t="str">
        <f t="shared" si="11"/>
        <v/>
      </c>
    </row>
    <row r="27">
      <c r="A27" s="1" t="s">
        <v>33</v>
      </c>
      <c r="B27" s="3" t="str">
        <f>IFERROR(__xludf.DUMMYFUNCTION("SPLIT(A27, "","")"),"81-91")</f>
        <v>81-91</v>
      </c>
      <c r="C27" s="3" t="str">
        <f>IFERROR(__xludf.DUMMYFUNCTION("""COMPUTED_VALUE"""),"78-82")</f>
        <v>78-82</v>
      </c>
      <c r="D27" s="3">
        <f>IFERROR(__xludf.DUMMYFUNCTION("SPLIT(B27, ""-"")"),81.0)</f>
        <v>81</v>
      </c>
      <c r="E27" s="3">
        <f>IFERROR(__xludf.DUMMYFUNCTION("""COMPUTED_VALUE"""),91.0)</f>
        <v>91</v>
      </c>
      <c r="F27" s="3">
        <f>IFERROR(__xludf.DUMMYFUNCTION("SPLIT(C27, ""-"")"),78.0)</f>
        <v>78</v>
      </c>
      <c r="G27" s="3">
        <f>IFERROR(__xludf.DUMMYFUNCTION("""COMPUTED_VALUE"""),82.0)</f>
        <v>82</v>
      </c>
      <c r="I27" s="3" t="str">
        <f t="shared" si="1"/>
        <v/>
      </c>
      <c r="J27" s="3" t="str">
        <f t="shared" si="2"/>
        <v>y</v>
      </c>
      <c r="K27" s="3" t="str">
        <f t="shared" si="3"/>
        <v>y</v>
      </c>
      <c r="L27" s="3" t="str">
        <f t="shared" si="4"/>
        <v/>
      </c>
      <c r="N27" s="3" t="str">
        <f t="shared" si="5"/>
        <v/>
      </c>
      <c r="O27" s="3" t="str">
        <f t="shared" si="6"/>
        <v/>
      </c>
      <c r="Q27" s="3" t="str">
        <f t="shared" si="7"/>
        <v/>
      </c>
      <c r="U27" s="3">
        <f t="shared" si="8"/>
        <v>1</v>
      </c>
      <c r="V27" s="3" t="str">
        <f t="shared" si="9"/>
        <v>Överlapp</v>
      </c>
      <c r="W27" s="3" t="str">
        <f t="shared" si="10"/>
        <v>Överlapp</v>
      </c>
      <c r="X27" s="3" t="str">
        <f t="shared" si="11"/>
        <v/>
      </c>
    </row>
    <row r="28">
      <c r="A28" s="1" t="s">
        <v>34</v>
      </c>
      <c r="B28" s="3" t="str">
        <f>IFERROR(__xludf.DUMMYFUNCTION("SPLIT(A28, "","")"),"21-21")</f>
        <v>21-21</v>
      </c>
      <c r="C28" s="3" t="str">
        <f>IFERROR(__xludf.DUMMYFUNCTION("""COMPUTED_VALUE"""),"20-22")</f>
        <v>20-22</v>
      </c>
      <c r="D28" s="3">
        <f>IFERROR(__xludf.DUMMYFUNCTION("SPLIT(B28, ""-"")"),21.0)</f>
        <v>21</v>
      </c>
      <c r="E28" s="3">
        <f>IFERROR(__xludf.DUMMYFUNCTION("""COMPUTED_VALUE"""),21.0)</f>
        <v>21</v>
      </c>
      <c r="F28" s="3">
        <f>IFERROR(__xludf.DUMMYFUNCTION("SPLIT(C28, ""-"")"),20.0)</f>
        <v>20</v>
      </c>
      <c r="G28" s="3">
        <f>IFERROR(__xludf.DUMMYFUNCTION("""COMPUTED_VALUE"""),22.0)</f>
        <v>22</v>
      </c>
      <c r="I28" s="3" t="str">
        <f t="shared" si="1"/>
        <v/>
      </c>
      <c r="J28" s="3" t="str">
        <f t="shared" si="2"/>
        <v/>
      </c>
      <c r="K28" s="3" t="str">
        <f t="shared" si="3"/>
        <v>y</v>
      </c>
      <c r="L28" s="3" t="str">
        <f t="shared" si="4"/>
        <v>y</v>
      </c>
      <c r="N28" s="3" t="str">
        <f t="shared" si="5"/>
        <v/>
      </c>
      <c r="O28" s="3">
        <f t="shared" si="6"/>
        <v>1</v>
      </c>
      <c r="Q28" s="3">
        <f t="shared" si="7"/>
        <v>1</v>
      </c>
      <c r="U28" s="3">
        <f t="shared" si="8"/>
        <v>1</v>
      </c>
      <c r="V28" s="3" t="str">
        <f t="shared" si="9"/>
        <v>Överlapp</v>
      </c>
      <c r="W28" s="3" t="str">
        <f t="shared" si="10"/>
        <v>Överlapp</v>
      </c>
      <c r="X28" s="3" t="str">
        <f t="shared" si="11"/>
        <v/>
      </c>
    </row>
    <row r="29">
      <c r="A29" s="1" t="s">
        <v>35</v>
      </c>
      <c r="B29" s="3" t="str">
        <f>IFERROR(__xludf.DUMMYFUNCTION("SPLIT(A29, "","")"),"62-68")</f>
        <v>62-68</v>
      </c>
      <c r="C29" s="3" t="str">
        <f>IFERROR(__xludf.DUMMYFUNCTION("""COMPUTED_VALUE"""),"63-67")</f>
        <v>63-67</v>
      </c>
      <c r="D29" s="3">
        <f>IFERROR(__xludf.DUMMYFUNCTION("SPLIT(B29, ""-"")"),62.0)</f>
        <v>62</v>
      </c>
      <c r="E29" s="3">
        <f>IFERROR(__xludf.DUMMYFUNCTION("""COMPUTED_VALUE"""),68.0)</f>
        <v>68</v>
      </c>
      <c r="F29" s="3">
        <f>IFERROR(__xludf.DUMMYFUNCTION("SPLIT(C29, ""-"")"),63.0)</f>
        <v>63</v>
      </c>
      <c r="G29" s="3">
        <f>IFERROR(__xludf.DUMMYFUNCTION("""COMPUTED_VALUE"""),67.0)</f>
        <v>67</v>
      </c>
      <c r="I29" s="3" t="str">
        <f t="shared" si="1"/>
        <v>y</v>
      </c>
      <c r="J29" s="3" t="str">
        <f t="shared" si="2"/>
        <v>y</v>
      </c>
      <c r="K29" s="3" t="str">
        <f t="shared" si="3"/>
        <v/>
      </c>
      <c r="L29" s="3" t="str">
        <f t="shared" si="4"/>
        <v/>
      </c>
      <c r="N29" s="3">
        <f t="shared" si="5"/>
        <v>1</v>
      </c>
      <c r="O29" s="3" t="str">
        <f t="shared" si="6"/>
        <v/>
      </c>
      <c r="Q29" s="3">
        <f t="shared" si="7"/>
        <v>1</v>
      </c>
      <c r="U29" s="3">
        <f t="shared" si="8"/>
        <v>1</v>
      </c>
      <c r="V29" s="3" t="str">
        <f t="shared" si="9"/>
        <v>Överlapp</v>
      </c>
      <c r="W29" s="3" t="str">
        <f t="shared" si="10"/>
        <v>Överlapp</v>
      </c>
      <c r="X29" s="3" t="str">
        <f t="shared" si="11"/>
        <v/>
      </c>
    </row>
    <row r="30">
      <c r="A30" s="1" t="s">
        <v>36</v>
      </c>
      <c r="B30" s="3" t="str">
        <f>IFERROR(__xludf.DUMMYFUNCTION("SPLIT(A30, "","")"),"80-83")</f>
        <v>80-83</v>
      </c>
      <c r="C30" s="3" t="str">
        <f>IFERROR(__xludf.DUMMYFUNCTION("""COMPUTED_VALUE"""),"30-87")</f>
        <v>30-87</v>
      </c>
      <c r="D30" s="3">
        <f>IFERROR(__xludf.DUMMYFUNCTION("SPLIT(B30, ""-"")"),80.0)</f>
        <v>80</v>
      </c>
      <c r="E30" s="3">
        <f>IFERROR(__xludf.DUMMYFUNCTION("""COMPUTED_VALUE"""),83.0)</f>
        <v>83</v>
      </c>
      <c r="F30" s="3">
        <f>IFERROR(__xludf.DUMMYFUNCTION("SPLIT(C30, ""-"")"),30.0)</f>
        <v>30</v>
      </c>
      <c r="G30" s="3">
        <f>IFERROR(__xludf.DUMMYFUNCTION("""COMPUTED_VALUE"""),87.0)</f>
        <v>87</v>
      </c>
      <c r="I30" s="3" t="str">
        <f t="shared" si="1"/>
        <v/>
      </c>
      <c r="J30" s="3" t="str">
        <f t="shared" si="2"/>
        <v/>
      </c>
      <c r="K30" s="3" t="str">
        <f t="shared" si="3"/>
        <v>y</v>
      </c>
      <c r="L30" s="3" t="str">
        <f t="shared" si="4"/>
        <v>y</v>
      </c>
      <c r="N30" s="3" t="str">
        <f t="shared" si="5"/>
        <v/>
      </c>
      <c r="O30" s="3">
        <f t="shared" si="6"/>
        <v>1</v>
      </c>
      <c r="Q30" s="3">
        <f t="shared" si="7"/>
        <v>1</v>
      </c>
      <c r="U30" s="3">
        <f t="shared" si="8"/>
        <v>1</v>
      </c>
      <c r="V30" s="3" t="str">
        <f t="shared" si="9"/>
        <v>Överlapp</v>
      </c>
      <c r="W30" s="3" t="str">
        <f t="shared" si="10"/>
        <v>Överlapp</v>
      </c>
      <c r="X30" s="3" t="str">
        <f t="shared" si="11"/>
        <v/>
      </c>
    </row>
    <row r="31">
      <c r="A31" s="1" t="s">
        <v>37</v>
      </c>
      <c r="B31" s="3" t="str">
        <f>IFERROR(__xludf.DUMMYFUNCTION("SPLIT(A31, "","")"),"4-88")</f>
        <v>4-88</v>
      </c>
      <c r="C31" s="3" t="str">
        <f>IFERROR(__xludf.DUMMYFUNCTION("""COMPUTED_VALUE"""),"81-93")</f>
        <v>81-93</v>
      </c>
      <c r="D31" s="3">
        <f>IFERROR(__xludf.DUMMYFUNCTION("SPLIT(B31, ""-"")"),4.0)</f>
        <v>4</v>
      </c>
      <c r="E31" s="3">
        <f>IFERROR(__xludf.DUMMYFUNCTION("""COMPUTED_VALUE"""),88.0)</f>
        <v>88</v>
      </c>
      <c r="F31" s="3">
        <f>IFERROR(__xludf.DUMMYFUNCTION("SPLIT(C31, ""-"")"),81.0)</f>
        <v>81</v>
      </c>
      <c r="G31" s="3">
        <f>IFERROR(__xludf.DUMMYFUNCTION("""COMPUTED_VALUE"""),93.0)</f>
        <v>93</v>
      </c>
      <c r="I31" s="3" t="str">
        <f t="shared" si="1"/>
        <v>y</v>
      </c>
      <c r="J31" s="3" t="str">
        <f t="shared" si="2"/>
        <v/>
      </c>
      <c r="K31" s="3" t="str">
        <f t="shared" si="3"/>
        <v/>
      </c>
      <c r="L31" s="3" t="str">
        <f t="shared" si="4"/>
        <v>y</v>
      </c>
      <c r="N31" s="3" t="str">
        <f t="shared" si="5"/>
        <v/>
      </c>
      <c r="O31" s="3" t="str">
        <f t="shared" si="6"/>
        <v/>
      </c>
      <c r="Q31" s="3" t="str">
        <f t="shared" si="7"/>
        <v/>
      </c>
      <c r="U31" s="3">
        <f t="shared" si="8"/>
        <v>1</v>
      </c>
      <c r="V31" s="3" t="str">
        <f t="shared" si="9"/>
        <v>Överlapp</v>
      </c>
      <c r="W31" s="3" t="str">
        <f t="shared" si="10"/>
        <v>Överlapp</v>
      </c>
      <c r="X31" s="3" t="str">
        <f t="shared" si="11"/>
        <v/>
      </c>
    </row>
    <row r="32">
      <c r="A32" s="1" t="s">
        <v>38</v>
      </c>
      <c r="B32" s="3" t="str">
        <f>IFERROR(__xludf.DUMMYFUNCTION("SPLIT(A32, "","")"),"48-53")</f>
        <v>48-53</v>
      </c>
      <c r="C32" s="3" t="str">
        <f>IFERROR(__xludf.DUMMYFUNCTION("""COMPUTED_VALUE"""),"49-85")</f>
        <v>49-85</v>
      </c>
      <c r="D32" s="3">
        <f>IFERROR(__xludf.DUMMYFUNCTION("SPLIT(B32, ""-"")"),48.0)</f>
        <v>48</v>
      </c>
      <c r="E32" s="3">
        <f>IFERROR(__xludf.DUMMYFUNCTION("""COMPUTED_VALUE"""),53.0)</f>
        <v>53</v>
      </c>
      <c r="F32" s="3">
        <f>IFERROR(__xludf.DUMMYFUNCTION("SPLIT(C32, ""-"")"),49.0)</f>
        <v>49</v>
      </c>
      <c r="G32" s="3">
        <f>IFERROR(__xludf.DUMMYFUNCTION("""COMPUTED_VALUE"""),85.0)</f>
        <v>85</v>
      </c>
      <c r="I32" s="3" t="str">
        <f t="shared" si="1"/>
        <v>y</v>
      </c>
      <c r="J32" s="3" t="str">
        <f t="shared" si="2"/>
        <v/>
      </c>
      <c r="K32" s="3" t="str">
        <f t="shared" si="3"/>
        <v/>
      </c>
      <c r="L32" s="3" t="str">
        <f t="shared" si="4"/>
        <v>y</v>
      </c>
      <c r="N32" s="3" t="str">
        <f t="shared" si="5"/>
        <v/>
      </c>
      <c r="O32" s="3" t="str">
        <f t="shared" si="6"/>
        <v/>
      </c>
      <c r="Q32" s="3" t="str">
        <f t="shared" si="7"/>
        <v/>
      </c>
      <c r="U32" s="3">
        <f t="shared" si="8"/>
        <v>1</v>
      </c>
      <c r="V32" s="3" t="str">
        <f t="shared" si="9"/>
        <v>Överlapp</v>
      </c>
      <c r="W32" s="3" t="str">
        <f t="shared" si="10"/>
        <v>Överlapp</v>
      </c>
      <c r="X32" s="3" t="str">
        <f t="shared" si="11"/>
        <v/>
      </c>
    </row>
    <row r="33">
      <c r="A33" s="1" t="s">
        <v>39</v>
      </c>
      <c r="B33" s="3" t="str">
        <f>IFERROR(__xludf.DUMMYFUNCTION("SPLIT(A33, "","")"),"49-93")</f>
        <v>49-93</v>
      </c>
      <c r="C33" s="3" t="str">
        <f>IFERROR(__xludf.DUMMYFUNCTION("""COMPUTED_VALUE"""),"48-94")</f>
        <v>48-94</v>
      </c>
      <c r="D33" s="3">
        <f>IFERROR(__xludf.DUMMYFUNCTION("SPLIT(B33, ""-"")"),49.0)</f>
        <v>49</v>
      </c>
      <c r="E33" s="3">
        <f>IFERROR(__xludf.DUMMYFUNCTION("""COMPUTED_VALUE"""),93.0)</f>
        <v>93</v>
      </c>
      <c r="F33" s="3">
        <f>IFERROR(__xludf.DUMMYFUNCTION("SPLIT(C33, ""-"")"),48.0)</f>
        <v>48</v>
      </c>
      <c r="G33" s="3">
        <f>IFERROR(__xludf.DUMMYFUNCTION("""COMPUTED_VALUE"""),94.0)</f>
        <v>94</v>
      </c>
      <c r="I33" s="3" t="str">
        <f t="shared" si="1"/>
        <v/>
      </c>
      <c r="J33" s="3" t="str">
        <f t="shared" si="2"/>
        <v/>
      </c>
      <c r="K33" s="3" t="str">
        <f t="shared" si="3"/>
        <v>y</v>
      </c>
      <c r="L33" s="3" t="str">
        <f t="shared" si="4"/>
        <v>y</v>
      </c>
      <c r="N33" s="3" t="str">
        <f t="shared" si="5"/>
        <v/>
      </c>
      <c r="O33" s="3">
        <f t="shared" si="6"/>
        <v>1</v>
      </c>
      <c r="Q33" s="3">
        <f t="shared" si="7"/>
        <v>1</v>
      </c>
      <c r="U33" s="3">
        <f t="shared" si="8"/>
        <v>1</v>
      </c>
      <c r="V33" s="3" t="str">
        <f t="shared" si="9"/>
        <v>Överlapp</v>
      </c>
      <c r="W33" s="3" t="str">
        <f t="shared" si="10"/>
        <v>Överlapp</v>
      </c>
      <c r="X33" s="3" t="str">
        <f t="shared" si="11"/>
        <v/>
      </c>
    </row>
    <row r="34">
      <c r="A34" s="1" t="s">
        <v>40</v>
      </c>
      <c r="B34" s="3" t="str">
        <f>IFERROR(__xludf.DUMMYFUNCTION("SPLIT(A34, "","")"),"91-99")</f>
        <v>91-99</v>
      </c>
      <c r="C34" s="3" t="str">
        <f>IFERROR(__xludf.DUMMYFUNCTION("""COMPUTED_VALUE"""),"4-91")</f>
        <v>4-91</v>
      </c>
      <c r="D34" s="3">
        <f>IFERROR(__xludf.DUMMYFUNCTION("SPLIT(B34, ""-"")"),91.0)</f>
        <v>91</v>
      </c>
      <c r="E34" s="3">
        <f>IFERROR(__xludf.DUMMYFUNCTION("""COMPUTED_VALUE"""),99.0)</f>
        <v>99</v>
      </c>
      <c r="F34" s="3">
        <f>IFERROR(__xludf.DUMMYFUNCTION("SPLIT(C34, ""-"")"),4.0)</f>
        <v>4</v>
      </c>
      <c r="G34" s="3">
        <f>IFERROR(__xludf.DUMMYFUNCTION("""COMPUTED_VALUE"""),91.0)</f>
        <v>91</v>
      </c>
      <c r="I34" s="3" t="str">
        <f t="shared" si="1"/>
        <v/>
      </c>
      <c r="J34" s="3" t="str">
        <f t="shared" si="2"/>
        <v>y</v>
      </c>
      <c r="K34" s="3" t="str">
        <f t="shared" si="3"/>
        <v>y</v>
      </c>
      <c r="L34" s="3" t="str">
        <f t="shared" si="4"/>
        <v/>
      </c>
      <c r="N34" s="3" t="str">
        <f t="shared" si="5"/>
        <v/>
      </c>
      <c r="O34" s="3" t="str">
        <f t="shared" si="6"/>
        <v/>
      </c>
      <c r="Q34" s="3" t="str">
        <f t="shared" si="7"/>
        <v/>
      </c>
      <c r="U34" s="3" t="str">
        <f t="shared" si="8"/>
        <v>Överlapp</v>
      </c>
      <c r="V34" s="3" t="str">
        <f t="shared" si="9"/>
        <v>Överlapp</v>
      </c>
      <c r="W34" s="3" t="str">
        <f t="shared" si="10"/>
        <v>Överlapp</v>
      </c>
      <c r="X34" s="3" t="str">
        <f t="shared" si="11"/>
        <v/>
      </c>
    </row>
    <row r="35">
      <c r="A35" s="1" t="s">
        <v>41</v>
      </c>
      <c r="B35" s="3" t="str">
        <f>IFERROR(__xludf.DUMMYFUNCTION("SPLIT(A35, "","")"),"71-71")</f>
        <v>71-71</v>
      </c>
      <c r="C35" s="3" t="str">
        <f>IFERROR(__xludf.DUMMYFUNCTION("""COMPUTED_VALUE"""),"70-71")</f>
        <v>70-71</v>
      </c>
      <c r="D35" s="3">
        <f>IFERROR(__xludf.DUMMYFUNCTION("SPLIT(B35, ""-"")"),71.0)</f>
        <v>71</v>
      </c>
      <c r="E35" s="3">
        <f>IFERROR(__xludf.DUMMYFUNCTION("""COMPUTED_VALUE"""),71.0)</f>
        <v>71</v>
      </c>
      <c r="F35" s="3">
        <f>IFERROR(__xludf.DUMMYFUNCTION("SPLIT(C35, ""-"")"),70.0)</f>
        <v>70</v>
      </c>
      <c r="G35" s="3">
        <f>IFERROR(__xludf.DUMMYFUNCTION("""COMPUTED_VALUE"""),71.0)</f>
        <v>71</v>
      </c>
      <c r="I35" s="3" t="str">
        <f t="shared" si="1"/>
        <v/>
      </c>
      <c r="J35" s="3" t="str">
        <f t="shared" si="2"/>
        <v>y</v>
      </c>
      <c r="K35" s="3" t="str">
        <f t="shared" si="3"/>
        <v>y</v>
      </c>
      <c r="L35" s="3" t="str">
        <f t="shared" si="4"/>
        <v>y</v>
      </c>
      <c r="N35" s="3" t="str">
        <f t="shared" si="5"/>
        <v/>
      </c>
      <c r="O35" s="3">
        <f t="shared" si="6"/>
        <v>1</v>
      </c>
      <c r="Q35" s="3">
        <f t="shared" si="7"/>
        <v>1</v>
      </c>
      <c r="U35" s="3" t="str">
        <f t="shared" si="8"/>
        <v>Överlapp</v>
      </c>
      <c r="V35" s="3" t="str">
        <f t="shared" si="9"/>
        <v>Överlapp</v>
      </c>
      <c r="W35" s="3" t="str">
        <f t="shared" si="10"/>
        <v>Överlapp</v>
      </c>
      <c r="X35" s="3" t="str">
        <f t="shared" si="11"/>
        <v/>
      </c>
    </row>
    <row r="36">
      <c r="A36" s="1" t="s">
        <v>42</v>
      </c>
      <c r="B36" s="3" t="str">
        <f>IFERROR(__xludf.DUMMYFUNCTION("SPLIT(A36, "","")"),"95-99")</f>
        <v>95-99</v>
      </c>
      <c r="C36" s="3" t="str">
        <f>IFERROR(__xludf.DUMMYFUNCTION("""COMPUTED_VALUE"""),"11-96")</f>
        <v>11-96</v>
      </c>
      <c r="D36" s="3">
        <f>IFERROR(__xludf.DUMMYFUNCTION("SPLIT(B36, ""-"")"),95.0)</f>
        <v>95</v>
      </c>
      <c r="E36" s="3">
        <f>IFERROR(__xludf.DUMMYFUNCTION("""COMPUTED_VALUE"""),99.0)</f>
        <v>99</v>
      </c>
      <c r="F36" s="3">
        <f>IFERROR(__xludf.DUMMYFUNCTION("SPLIT(C36, ""-"")"),11.0)</f>
        <v>11</v>
      </c>
      <c r="G36" s="3">
        <f>IFERROR(__xludf.DUMMYFUNCTION("""COMPUTED_VALUE"""),96.0)</f>
        <v>96</v>
      </c>
      <c r="I36" s="3" t="str">
        <f t="shared" si="1"/>
        <v/>
      </c>
      <c r="J36" s="3" t="str">
        <f t="shared" si="2"/>
        <v>y</v>
      </c>
      <c r="K36" s="3" t="str">
        <f t="shared" si="3"/>
        <v>y</v>
      </c>
      <c r="L36" s="3" t="str">
        <f t="shared" si="4"/>
        <v/>
      </c>
      <c r="N36" s="3" t="str">
        <f t="shared" si="5"/>
        <v/>
      </c>
      <c r="O36" s="3" t="str">
        <f t="shared" si="6"/>
        <v/>
      </c>
      <c r="Q36" s="3" t="str">
        <f t="shared" si="7"/>
        <v/>
      </c>
      <c r="U36" s="3">
        <f t="shared" si="8"/>
        <v>1</v>
      </c>
      <c r="V36" s="3" t="str">
        <f t="shared" si="9"/>
        <v>Överlapp</v>
      </c>
      <c r="W36" s="3" t="str">
        <f t="shared" si="10"/>
        <v>Överlapp</v>
      </c>
      <c r="X36" s="3" t="str">
        <f t="shared" si="11"/>
        <v/>
      </c>
    </row>
    <row r="37">
      <c r="A37" s="1" t="s">
        <v>43</v>
      </c>
      <c r="B37" s="3" t="str">
        <f>IFERROR(__xludf.DUMMYFUNCTION("SPLIT(A37, "","")"),"12-99")</f>
        <v>12-99</v>
      </c>
      <c r="C37" s="3" t="str">
        <f>IFERROR(__xludf.DUMMYFUNCTION("""COMPUTED_VALUE"""),"99-99")</f>
        <v>99-99</v>
      </c>
      <c r="D37" s="3">
        <f>IFERROR(__xludf.DUMMYFUNCTION("SPLIT(B37, ""-"")"),12.0)</f>
        <v>12</v>
      </c>
      <c r="E37" s="3">
        <f>IFERROR(__xludf.DUMMYFUNCTION("""COMPUTED_VALUE"""),99.0)</f>
        <v>99</v>
      </c>
      <c r="F37" s="3">
        <f>IFERROR(__xludf.DUMMYFUNCTION("SPLIT(C37, ""-"")"),99.0)</f>
        <v>99</v>
      </c>
      <c r="G37" s="3">
        <f>IFERROR(__xludf.DUMMYFUNCTION("""COMPUTED_VALUE"""),99.0)</f>
        <v>99</v>
      </c>
      <c r="I37" s="3" t="str">
        <f t="shared" si="1"/>
        <v>y</v>
      </c>
      <c r="J37" s="3" t="str">
        <f t="shared" si="2"/>
        <v>y</v>
      </c>
      <c r="K37" s="3" t="str">
        <f t="shared" si="3"/>
        <v/>
      </c>
      <c r="L37" s="3" t="str">
        <f t="shared" si="4"/>
        <v>y</v>
      </c>
      <c r="N37" s="3">
        <f t="shared" si="5"/>
        <v>1</v>
      </c>
      <c r="O37" s="3" t="str">
        <f t="shared" si="6"/>
        <v/>
      </c>
      <c r="Q37" s="3">
        <f t="shared" si="7"/>
        <v>1</v>
      </c>
      <c r="U37" s="3" t="str">
        <f t="shared" si="8"/>
        <v>Överlapp</v>
      </c>
      <c r="V37" s="3" t="str">
        <f t="shared" si="9"/>
        <v>Överlapp</v>
      </c>
      <c r="W37" s="3" t="str">
        <f t="shared" si="10"/>
        <v>Överlapp</v>
      </c>
      <c r="X37" s="3" t="str">
        <f t="shared" si="11"/>
        <v/>
      </c>
    </row>
    <row r="38">
      <c r="A38" s="1" t="s">
        <v>44</v>
      </c>
      <c r="B38" s="3" t="str">
        <f>IFERROR(__xludf.DUMMYFUNCTION("SPLIT(A38, "","")"),"14-40")</f>
        <v>14-40</v>
      </c>
      <c r="C38" s="3" t="str">
        <f>IFERROR(__xludf.DUMMYFUNCTION("""COMPUTED_VALUE"""),"13-41")</f>
        <v>13-41</v>
      </c>
      <c r="D38" s="3">
        <f>IFERROR(__xludf.DUMMYFUNCTION("SPLIT(B38, ""-"")"),14.0)</f>
        <v>14</v>
      </c>
      <c r="E38" s="3">
        <f>IFERROR(__xludf.DUMMYFUNCTION("""COMPUTED_VALUE"""),40.0)</f>
        <v>40</v>
      </c>
      <c r="F38" s="3">
        <f>IFERROR(__xludf.DUMMYFUNCTION("SPLIT(C38, ""-"")"),13.0)</f>
        <v>13</v>
      </c>
      <c r="G38" s="3">
        <f>IFERROR(__xludf.DUMMYFUNCTION("""COMPUTED_VALUE"""),41.0)</f>
        <v>41</v>
      </c>
      <c r="I38" s="3" t="str">
        <f t="shared" si="1"/>
        <v/>
      </c>
      <c r="J38" s="3" t="str">
        <f t="shared" si="2"/>
        <v/>
      </c>
      <c r="K38" s="3" t="str">
        <f t="shared" si="3"/>
        <v>y</v>
      </c>
      <c r="L38" s="3" t="str">
        <f t="shared" si="4"/>
        <v>y</v>
      </c>
      <c r="N38" s="3" t="str">
        <f t="shared" si="5"/>
        <v/>
      </c>
      <c r="O38" s="3">
        <f t="shared" si="6"/>
        <v>1</v>
      </c>
      <c r="Q38" s="3">
        <f t="shared" si="7"/>
        <v>1</v>
      </c>
      <c r="U38" s="3">
        <f t="shared" si="8"/>
        <v>1</v>
      </c>
      <c r="V38" s="3" t="str">
        <f t="shared" si="9"/>
        <v>Överlapp</v>
      </c>
      <c r="W38" s="3" t="str">
        <f t="shared" si="10"/>
        <v>Överlapp</v>
      </c>
      <c r="X38" s="3" t="str">
        <f t="shared" si="11"/>
        <v/>
      </c>
    </row>
    <row r="39">
      <c r="A39" s="1" t="s">
        <v>45</v>
      </c>
      <c r="B39" s="3" t="str">
        <f>IFERROR(__xludf.DUMMYFUNCTION("SPLIT(A39, "","")"),"9-91")</f>
        <v>9-91</v>
      </c>
      <c r="C39" s="4">
        <f>IFERROR(__xludf.DUMMYFUNCTION("""COMPUTED_VALUE"""),44813.0)</f>
        <v>44813</v>
      </c>
      <c r="D39" s="3">
        <f>IFERROR(__xludf.DUMMYFUNCTION("SPLIT(B39, ""-"")"),9.0)</f>
        <v>9</v>
      </c>
      <c r="E39" s="3">
        <f>IFERROR(__xludf.DUMMYFUNCTION("""COMPUTED_VALUE"""),91.0)</f>
        <v>91</v>
      </c>
      <c r="F39" s="3">
        <f>IFERROR(__xludf.DUMMYFUNCTION("SPLIT(C39, ""-"")"),9.0)</f>
        <v>9</v>
      </c>
      <c r="G39" s="3">
        <f>IFERROR(__xludf.DUMMYFUNCTION("""COMPUTED_VALUE"""),9.0)</f>
        <v>9</v>
      </c>
      <c r="I39" s="3" t="str">
        <f t="shared" si="1"/>
        <v>y</v>
      </c>
      <c r="J39" s="3" t="str">
        <f t="shared" si="2"/>
        <v>y</v>
      </c>
      <c r="K39" s="3" t="str">
        <f t="shared" si="3"/>
        <v>y</v>
      </c>
      <c r="L39" s="3" t="str">
        <f t="shared" si="4"/>
        <v/>
      </c>
      <c r="N39" s="3">
        <f t="shared" si="5"/>
        <v>1</v>
      </c>
      <c r="O39" s="3" t="str">
        <f t="shared" si="6"/>
        <v/>
      </c>
      <c r="Q39" s="3">
        <f t="shared" si="7"/>
        <v>1</v>
      </c>
      <c r="U39" s="3" t="str">
        <f t="shared" si="8"/>
        <v>Överlapp</v>
      </c>
      <c r="V39" s="3" t="str">
        <f t="shared" si="9"/>
        <v>Överlapp</v>
      </c>
      <c r="W39" s="3" t="str">
        <f t="shared" si="10"/>
        <v>Överlapp</v>
      </c>
      <c r="X39" s="3" t="str">
        <f t="shared" si="11"/>
        <v/>
      </c>
    </row>
    <row r="40">
      <c r="A40" s="1" t="s">
        <v>46</v>
      </c>
      <c r="B40" s="3" t="str">
        <f>IFERROR(__xludf.DUMMYFUNCTION("SPLIT(A40, "","")"),"17-92")</f>
        <v>17-92</v>
      </c>
      <c r="C40" s="3" t="str">
        <f>IFERROR(__xludf.DUMMYFUNCTION("""COMPUTED_VALUE"""),"7-35")</f>
        <v>7-35</v>
      </c>
      <c r="D40" s="3">
        <f>IFERROR(__xludf.DUMMYFUNCTION("SPLIT(B40, ""-"")"),17.0)</f>
        <v>17</v>
      </c>
      <c r="E40" s="3">
        <f>IFERROR(__xludf.DUMMYFUNCTION("""COMPUTED_VALUE"""),92.0)</f>
        <v>92</v>
      </c>
      <c r="F40" s="3">
        <f>IFERROR(__xludf.DUMMYFUNCTION("SPLIT(C40, ""-"")"),7.0)</f>
        <v>7</v>
      </c>
      <c r="G40" s="3">
        <f>IFERROR(__xludf.DUMMYFUNCTION("""COMPUTED_VALUE"""),35.0)</f>
        <v>35</v>
      </c>
      <c r="I40" s="3" t="str">
        <f t="shared" si="1"/>
        <v/>
      </c>
      <c r="J40" s="3" t="str">
        <f t="shared" si="2"/>
        <v>y</v>
      </c>
      <c r="K40" s="3" t="str">
        <f t="shared" si="3"/>
        <v>y</v>
      </c>
      <c r="L40" s="3" t="str">
        <f t="shared" si="4"/>
        <v/>
      </c>
      <c r="N40" s="3" t="str">
        <f t="shared" si="5"/>
        <v/>
      </c>
      <c r="O40" s="3" t="str">
        <f t="shared" si="6"/>
        <v/>
      </c>
      <c r="Q40" s="3" t="str">
        <f t="shared" si="7"/>
        <v/>
      </c>
      <c r="U40" s="3">
        <f t="shared" si="8"/>
        <v>1</v>
      </c>
      <c r="V40" s="3" t="str">
        <f t="shared" si="9"/>
        <v>Överlapp</v>
      </c>
      <c r="W40" s="3" t="str">
        <f t="shared" si="10"/>
        <v>Överlapp</v>
      </c>
      <c r="X40" s="3" t="str">
        <f t="shared" si="11"/>
        <v/>
      </c>
    </row>
    <row r="41">
      <c r="A41" s="1" t="s">
        <v>47</v>
      </c>
      <c r="B41" s="3" t="str">
        <f>IFERROR(__xludf.DUMMYFUNCTION("SPLIT(A41, "","")"),"71-96")</f>
        <v>71-96</v>
      </c>
      <c r="C41" s="3" t="str">
        <f>IFERROR(__xludf.DUMMYFUNCTION("""COMPUTED_VALUE"""),"94-97")</f>
        <v>94-97</v>
      </c>
      <c r="D41" s="3">
        <f>IFERROR(__xludf.DUMMYFUNCTION("SPLIT(B41, ""-"")"),71.0)</f>
        <v>71</v>
      </c>
      <c r="E41" s="3">
        <f>IFERROR(__xludf.DUMMYFUNCTION("""COMPUTED_VALUE"""),96.0)</f>
        <v>96</v>
      </c>
      <c r="F41" s="3">
        <f>IFERROR(__xludf.DUMMYFUNCTION("SPLIT(C41, ""-"")"),94.0)</f>
        <v>94</v>
      </c>
      <c r="G41" s="3">
        <f>IFERROR(__xludf.DUMMYFUNCTION("""COMPUTED_VALUE"""),97.0)</f>
        <v>97</v>
      </c>
      <c r="I41" s="3" t="str">
        <f t="shared" si="1"/>
        <v>y</v>
      </c>
      <c r="J41" s="3" t="str">
        <f t="shared" si="2"/>
        <v/>
      </c>
      <c r="K41" s="3" t="str">
        <f t="shared" si="3"/>
        <v/>
      </c>
      <c r="L41" s="3" t="str">
        <f t="shared" si="4"/>
        <v>y</v>
      </c>
      <c r="N41" s="3" t="str">
        <f t="shared" si="5"/>
        <v/>
      </c>
      <c r="O41" s="3" t="str">
        <f t="shared" si="6"/>
        <v/>
      </c>
      <c r="Q41" s="3" t="str">
        <f t="shared" si="7"/>
        <v/>
      </c>
      <c r="U41" s="3">
        <f t="shared" si="8"/>
        <v>1</v>
      </c>
      <c r="V41" s="3" t="str">
        <f t="shared" si="9"/>
        <v>Överlapp</v>
      </c>
      <c r="W41" s="3" t="str">
        <f t="shared" si="10"/>
        <v>Överlapp</v>
      </c>
      <c r="X41" s="3" t="str">
        <f t="shared" si="11"/>
        <v/>
      </c>
    </row>
    <row r="42">
      <c r="A42" s="1" t="s">
        <v>48</v>
      </c>
      <c r="B42" s="3" t="str">
        <f>IFERROR(__xludf.DUMMYFUNCTION("SPLIT(A42, "","")"),"97-97")</f>
        <v>97-97</v>
      </c>
      <c r="C42" s="3" t="str">
        <f>IFERROR(__xludf.DUMMYFUNCTION("""COMPUTED_VALUE"""),"19-92")</f>
        <v>19-92</v>
      </c>
      <c r="D42" s="3">
        <f>IFERROR(__xludf.DUMMYFUNCTION("SPLIT(B42, ""-"")"),97.0)</f>
        <v>97</v>
      </c>
      <c r="E42" s="3">
        <f>IFERROR(__xludf.DUMMYFUNCTION("""COMPUTED_VALUE"""),97.0)</f>
        <v>97</v>
      </c>
      <c r="F42" s="3">
        <f>IFERROR(__xludf.DUMMYFUNCTION("SPLIT(C42, ""-"")"),19.0)</f>
        <v>19</v>
      </c>
      <c r="G42" s="3">
        <f>IFERROR(__xludf.DUMMYFUNCTION("""COMPUTED_VALUE"""),92.0)</f>
        <v>92</v>
      </c>
      <c r="I42" s="3" t="str">
        <f t="shared" si="1"/>
        <v/>
      </c>
      <c r="J42" s="3" t="str">
        <f t="shared" si="2"/>
        <v>y</v>
      </c>
      <c r="K42" s="3" t="str">
        <f t="shared" si="3"/>
        <v>y</v>
      </c>
      <c r="L42" s="3" t="str">
        <f t="shared" si="4"/>
        <v/>
      </c>
      <c r="N42" s="3" t="str">
        <f t="shared" si="5"/>
        <v/>
      </c>
      <c r="O42" s="3" t="str">
        <f t="shared" si="6"/>
        <v/>
      </c>
      <c r="Q42" s="3" t="str">
        <f t="shared" si="7"/>
        <v/>
      </c>
      <c r="U42" s="3">
        <f t="shared" si="8"/>
        <v>1</v>
      </c>
      <c r="V42" s="3" t="str">
        <f t="shared" si="9"/>
        <v>Överlapp</v>
      </c>
      <c r="W42" s="3">
        <f t="shared" si="10"/>
        <v>1</v>
      </c>
      <c r="X42" s="3">
        <f t="shared" si="11"/>
        <v>1</v>
      </c>
    </row>
    <row r="43">
      <c r="A43" s="1" t="s">
        <v>49</v>
      </c>
      <c r="B43" s="3" t="str">
        <f>IFERROR(__xludf.DUMMYFUNCTION("SPLIT(A43, "","")"),"7-64")</f>
        <v>7-64</v>
      </c>
      <c r="C43" s="3" t="str">
        <f>IFERROR(__xludf.DUMMYFUNCTION("""COMPUTED_VALUE"""),"7-65")</f>
        <v>7-65</v>
      </c>
      <c r="D43" s="3">
        <f>IFERROR(__xludf.DUMMYFUNCTION("SPLIT(B43, ""-"")"),7.0)</f>
        <v>7</v>
      </c>
      <c r="E43" s="3">
        <f>IFERROR(__xludf.DUMMYFUNCTION("""COMPUTED_VALUE"""),64.0)</f>
        <v>64</v>
      </c>
      <c r="F43" s="3">
        <f>IFERROR(__xludf.DUMMYFUNCTION("SPLIT(C43, ""-"")"),7.0)</f>
        <v>7</v>
      </c>
      <c r="G43" s="3">
        <f>IFERROR(__xludf.DUMMYFUNCTION("""COMPUTED_VALUE"""),65.0)</f>
        <v>65</v>
      </c>
      <c r="I43" s="3" t="str">
        <f t="shared" si="1"/>
        <v>y</v>
      </c>
      <c r="J43" s="3" t="str">
        <f t="shared" si="2"/>
        <v/>
      </c>
      <c r="K43" s="3" t="str">
        <f t="shared" si="3"/>
        <v>y</v>
      </c>
      <c r="L43" s="3" t="str">
        <f t="shared" si="4"/>
        <v>y</v>
      </c>
      <c r="N43" s="3" t="str">
        <f t="shared" si="5"/>
        <v/>
      </c>
      <c r="O43" s="3">
        <f t="shared" si="6"/>
        <v>1</v>
      </c>
      <c r="Q43" s="3">
        <f t="shared" si="7"/>
        <v>1</v>
      </c>
      <c r="U43" s="3" t="str">
        <f t="shared" si="8"/>
        <v>Överlapp</v>
      </c>
      <c r="V43" s="3" t="str">
        <f t="shared" si="9"/>
        <v>Överlapp</v>
      </c>
      <c r="W43" s="3" t="str">
        <f t="shared" si="10"/>
        <v>Överlapp</v>
      </c>
      <c r="X43" s="3" t="str">
        <f t="shared" si="11"/>
        <v/>
      </c>
    </row>
    <row r="44">
      <c r="A44" s="1" t="s">
        <v>50</v>
      </c>
      <c r="B44" s="3" t="str">
        <f>IFERROR(__xludf.DUMMYFUNCTION("SPLIT(A44, "","")"),"28-79")</f>
        <v>28-79</v>
      </c>
      <c r="C44" s="3" t="str">
        <f>IFERROR(__xludf.DUMMYFUNCTION("""COMPUTED_VALUE"""),"42-55")</f>
        <v>42-55</v>
      </c>
      <c r="D44" s="3">
        <f>IFERROR(__xludf.DUMMYFUNCTION("SPLIT(B44, ""-"")"),28.0)</f>
        <v>28</v>
      </c>
      <c r="E44" s="3">
        <f>IFERROR(__xludf.DUMMYFUNCTION("""COMPUTED_VALUE"""),79.0)</f>
        <v>79</v>
      </c>
      <c r="F44" s="3">
        <f>IFERROR(__xludf.DUMMYFUNCTION("SPLIT(C44, ""-"")"),42.0)</f>
        <v>42</v>
      </c>
      <c r="G44" s="3">
        <f>IFERROR(__xludf.DUMMYFUNCTION("""COMPUTED_VALUE"""),55.0)</f>
        <v>55</v>
      </c>
      <c r="I44" s="3" t="str">
        <f t="shared" si="1"/>
        <v>y</v>
      </c>
      <c r="J44" s="3" t="str">
        <f t="shared" si="2"/>
        <v>y</v>
      </c>
      <c r="K44" s="3" t="str">
        <f t="shared" si="3"/>
        <v/>
      </c>
      <c r="L44" s="3" t="str">
        <f t="shared" si="4"/>
        <v/>
      </c>
      <c r="N44" s="3">
        <f t="shared" si="5"/>
        <v>1</v>
      </c>
      <c r="O44" s="3" t="str">
        <f t="shared" si="6"/>
        <v/>
      </c>
      <c r="Q44" s="3">
        <f t="shared" si="7"/>
        <v>1</v>
      </c>
      <c r="U44" s="3">
        <f t="shared" si="8"/>
        <v>1</v>
      </c>
      <c r="V44" s="3" t="str">
        <f t="shared" si="9"/>
        <v>Överlapp</v>
      </c>
      <c r="W44" s="3" t="str">
        <f t="shared" si="10"/>
        <v>Överlapp</v>
      </c>
      <c r="X44" s="3" t="str">
        <f t="shared" si="11"/>
        <v/>
      </c>
    </row>
    <row r="45">
      <c r="A45" s="1" t="s">
        <v>51</v>
      </c>
      <c r="B45" s="3" t="str">
        <f>IFERROR(__xludf.DUMMYFUNCTION("SPLIT(A45, "","")"),"16-99")</f>
        <v>16-99</v>
      </c>
      <c r="C45" s="3" t="str">
        <f>IFERROR(__xludf.DUMMYFUNCTION("""COMPUTED_VALUE"""),"15-97")</f>
        <v>15-97</v>
      </c>
      <c r="D45" s="3">
        <f>IFERROR(__xludf.DUMMYFUNCTION("SPLIT(B45, ""-"")"),16.0)</f>
        <v>16</v>
      </c>
      <c r="E45" s="3">
        <f>IFERROR(__xludf.DUMMYFUNCTION("""COMPUTED_VALUE"""),99.0)</f>
        <v>99</v>
      </c>
      <c r="F45" s="3">
        <f>IFERROR(__xludf.DUMMYFUNCTION("SPLIT(C45, ""-"")"),15.0)</f>
        <v>15</v>
      </c>
      <c r="G45" s="3">
        <f>IFERROR(__xludf.DUMMYFUNCTION("""COMPUTED_VALUE"""),97.0)</f>
        <v>97</v>
      </c>
      <c r="I45" s="3" t="str">
        <f t="shared" si="1"/>
        <v/>
      </c>
      <c r="J45" s="3" t="str">
        <f t="shared" si="2"/>
        <v>y</v>
      </c>
      <c r="K45" s="3" t="str">
        <f t="shared" si="3"/>
        <v>y</v>
      </c>
      <c r="L45" s="3" t="str">
        <f t="shared" si="4"/>
        <v/>
      </c>
      <c r="N45" s="3" t="str">
        <f t="shared" si="5"/>
        <v/>
      </c>
      <c r="O45" s="3" t="str">
        <f t="shared" si="6"/>
        <v/>
      </c>
      <c r="Q45" s="3" t="str">
        <f t="shared" si="7"/>
        <v/>
      </c>
      <c r="U45" s="3">
        <f t="shared" si="8"/>
        <v>1</v>
      </c>
      <c r="V45" s="3" t="str">
        <f t="shared" si="9"/>
        <v>Överlapp</v>
      </c>
      <c r="W45" s="3" t="str">
        <f t="shared" si="10"/>
        <v>Överlapp</v>
      </c>
      <c r="X45" s="3" t="str">
        <f t="shared" si="11"/>
        <v/>
      </c>
    </row>
    <row r="46">
      <c r="A46" s="1" t="s">
        <v>52</v>
      </c>
      <c r="B46" s="3" t="str">
        <f>IFERROR(__xludf.DUMMYFUNCTION("SPLIT(A46, "","")"),"75-77")</f>
        <v>75-77</v>
      </c>
      <c r="C46" s="3" t="str">
        <f>IFERROR(__xludf.DUMMYFUNCTION("""COMPUTED_VALUE"""),"76-78")</f>
        <v>76-78</v>
      </c>
      <c r="D46" s="3">
        <f>IFERROR(__xludf.DUMMYFUNCTION("SPLIT(B46, ""-"")"),75.0)</f>
        <v>75</v>
      </c>
      <c r="E46" s="3">
        <f>IFERROR(__xludf.DUMMYFUNCTION("""COMPUTED_VALUE"""),77.0)</f>
        <v>77</v>
      </c>
      <c r="F46" s="3">
        <f>IFERROR(__xludf.DUMMYFUNCTION("SPLIT(C46, ""-"")"),76.0)</f>
        <v>76</v>
      </c>
      <c r="G46" s="3">
        <f>IFERROR(__xludf.DUMMYFUNCTION("""COMPUTED_VALUE"""),78.0)</f>
        <v>78</v>
      </c>
      <c r="I46" s="3" t="str">
        <f t="shared" si="1"/>
        <v>y</v>
      </c>
      <c r="J46" s="3" t="str">
        <f t="shared" si="2"/>
        <v/>
      </c>
      <c r="K46" s="3" t="str">
        <f t="shared" si="3"/>
        <v/>
      </c>
      <c r="L46" s="3" t="str">
        <f t="shared" si="4"/>
        <v>y</v>
      </c>
      <c r="N46" s="3" t="str">
        <f t="shared" si="5"/>
        <v/>
      </c>
      <c r="O46" s="3" t="str">
        <f t="shared" si="6"/>
        <v/>
      </c>
      <c r="Q46" s="3" t="str">
        <f t="shared" si="7"/>
        <v/>
      </c>
      <c r="U46" s="3">
        <f t="shared" si="8"/>
        <v>1</v>
      </c>
      <c r="V46" s="3" t="str">
        <f t="shared" si="9"/>
        <v>Överlapp</v>
      </c>
      <c r="W46" s="3" t="str">
        <f t="shared" si="10"/>
        <v>Överlapp</v>
      </c>
      <c r="X46" s="3" t="str">
        <f t="shared" si="11"/>
        <v/>
      </c>
    </row>
    <row r="47">
      <c r="A47" s="1" t="s">
        <v>53</v>
      </c>
      <c r="B47" s="3" t="str">
        <f>IFERROR(__xludf.DUMMYFUNCTION("SPLIT(A47, "","")"),"5-92")</f>
        <v>5-92</v>
      </c>
      <c r="C47" s="3" t="str">
        <f>IFERROR(__xludf.DUMMYFUNCTION("""COMPUTED_VALUE"""),"6-80")</f>
        <v>6-80</v>
      </c>
      <c r="D47" s="3">
        <f>IFERROR(__xludf.DUMMYFUNCTION("SPLIT(B47, ""-"")"),5.0)</f>
        <v>5</v>
      </c>
      <c r="E47" s="3">
        <f>IFERROR(__xludf.DUMMYFUNCTION("""COMPUTED_VALUE"""),92.0)</f>
        <v>92</v>
      </c>
      <c r="F47" s="3">
        <f>IFERROR(__xludf.DUMMYFUNCTION("SPLIT(C47, ""-"")"),6.0)</f>
        <v>6</v>
      </c>
      <c r="G47" s="3">
        <f>IFERROR(__xludf.DUMMYFUNCTION("""COMPUTED_VALUE"""),80.0)</f>
        <v>80</v>
      </c>
      <c r="I47" s="3" t="str">
        <f t="shared" si="1"/>
        <v>y</v>
      </c>
      <c r="J47" s="3" t="str">
        <f t="shared" si="2"/>
        <v>y</v>
      </c>
      <c r="K47" s="3" t="str">
        <f t="shared" si="3"/>
        <v/>
      </c>
      <c r="L47" s="3" t="str">
        <f t="shared" si="4"/>
        <v/>
      </c>
      <c r="N47" s="3">
        <f t="shared" si="5"/>
        <v>1</v>
      </c>
      <c r="O47" s="3" t="str">
        <f t="shared" si="6"/>
        <v/>
      </c>
      <c r="Q47" s="3">
        <f t="shared" si="7"/>
        <v>1</v>
      </c>
      <c r="U47" s="3">
        <f t="shared" si="8"/>
        <v>1</v>
      </c>
      <c r="V47" s="3" t="str">
        <f t="shared" si="9"/>
        <v>Överlapp</v>
      </c>
      <c r="W47" s="3" t="str">
        <f t="shared" si="10"/>
        <v>Överlapp</v>
      </c>
      <c r="X47" s="3" t="str">
        <f t="shared" si="11"/>
        <v/>
      </c>
    </row>
    <row r="48">
      <c r="A48" s="1" t="s">
        <v>54</v>
      </c>
      <c r="B48" s="3" t="str">
        <f>IFERROR(__xludf.DUMMYFUNCTION("SPLIT(A48, "","")"),"19-37")</f>
        <v>19-37</v>
      </c>
      <c r="C48" s="3" t="str">
        <f>IFERROR(__xludf.DUMMYFUNCTION("""COMPUTED_VALUE"""),"5-64")</f>
        <v>5-64</v>
      </c>
      <c r="D48" s="3">
        <f>IFERROR(__xludf.DUMMYFUNCTION("SPLIT(B48, ""-"")"),19.0)</f>
        <v>19</v>
      </c>
      <c r="E48" s="3">
        <f>IFERROR(__xludf.DUMMYFUNCTION("""COMPUTED_VALUE"""),37.0)</f>
        <v>37</v>
      </c>
      <c r="F48" s="3">
        <f>IFERROR(__xludf.DUMMYFUNCTION("SPLIT(C48, ""-"")"),5.0)</f>
        <v>5</v>
      </c>
      <c r="G48" s="3">
        <f>IFERROR(__xludf.DUMMYFUNCTION("""COMPUTED_VALUE"""),64.0)</f>
        <v>64</v>
      </c>
      <c r="I48" s="3" t="str">
        <f t="shared" si="1"/>
        <v/>
      </c>
      <c r="J48" s="3" t="str">
        <f t="shared" si="2"/>
        <v/>
      </c>
      <c r="K48" s="3" t="str">
        <f t="shared" si="3"/>
        <v>y</v>
      </c>
      <c r="L48" s="3" t="str">
        <f t="shared" si="4"/>
        <v>y</v>
      </c>
      <c r="N48" s="3" t="str">
        <f t="shared" si="5"/>
        <v/>
      </c>
      <c r="O48" s="3">
        <f t="shared" si="6"/>
        <v>1</v>
      </c>
      <c r="Q48" s="3">
        <f t="shared" si="7"/>
        <v>1</v>
      </c>
      <c r="U48" s="3">
        <f t="shared" si="8"/>
        <v>1</v>
      </c>
      <c r="V48" s="3" t="str">
        <f t="shared" si="9"/>
        <v>Överlapp</v>
      </c>
      <c r="W48" s="3" t="str">
        <f t="shared" si="10"/>
        <v>Överlapp</v>
      </c>
      <c r="X48" s="3" t="str">
        <f t="shared" si="11"/>
        <v/>
      </c>
    </row>
    <row r="49">
      <c r="A49" s="1" t="s">
        <v>55</v>
      </c>
      <c r="B49" s="3" t="str">
        <f>IFERROR(__xludf.DUMMYFUNCTION("SPLIT(A49, "","")"),"19-25")</f>
        <v>19-25</v>
      </c>
      <c r="C49" s="3" t="str">
        <f>IFERROR(__xludf.DUMMYFUNCTION("""COMPUTED_VALUE"""),"2-26")</f>
        <v>2-26</v>
      </c>
      <c r="D49" s="3">
        <f>IFERROR(__xludf.DUMMYFUNCTION("SPLIT(B49, ""-"")"),19.0)</f>
        <v>19</v>
      </c>
      <c r="E49" s="3">
        <f>IFERROR(__xludf.DUMMYFUNCTION("""COMPUTED_VALUE"""),25.0)</f>
        <v>25</v>
      </c>
      <c r="F49" s="3">
        <f>IFERROR(__xludf.DUMMYFUNCTION("SPLIT(C49, ""-"")"),2.0)</f>
        <v>2</v>
      </c>
      <c r="G49" s="3">
        <f>IFERROR(__xludf.DUMMYFUNCTION("""COMPUTED_VALUE"""),26.0)</f>
        <v>26</v>
      </c>
      <c r="I49" s="3" t="str">
        <f t="shared" si="1"/>
        <v/>
      </c>
      <c r="J49" s="3" t="str">
        <f t="shared" si="2"/>
        <v/>
      </c>
      <c r="K49" s="3" t="str">
        <f t="shared" si="3"/>
        <v>y</v>
      </c>
      <c r="L49" s="3" t="str">
        <f t="shared" si="4"/>
        <v>y</v>
      </c>
      <c r="N49" s="3" t="str">
        <f t="shared" si="5"/>
        <v/>
      </c>
      <c r="O49" s="3">
        <f t="shared" si="6"/>
        <v>1</v>
      </c>
      <c r="Q49" s="3">
        <f t="shared" si="7"/>
        <v>1</v>
      </c>
      <c r="U49" s="3">
        <f t="shared" si="8"/>
        <v>1</v>
      </c>
      <c r="V49" s="3" t="str">
        <f t="shared" si="9"/>
        <v>Överlapp</v>
      </c>
      <c r="W49" s="3" t="str">
        <f t="shared" si="10"/>
        <v>Överlapp</v>
      </c>
      <c r="X49" s="3" t="str">
        <f t="shared" si="11"/>
        <v/>
      </c>
    </row>
    <row r="50">
      <c r="A50" s="1" t="s">
        <v>56</v>
      </c>
      <c r="B50" s="3" t="str">
        <f>IFERROR(__xludf.DUMMYFUNCTION("SPLIT(A50, "","")"),"42-43")</f>
        <v>42-43</v>
      </c>
      <c r="C50" s="3" t="str">
        <f>IFERROR(__xludf.DUMMYFUNCTION("""COMPUTED_VALUE"""),"7-43")</f>
        <v>7-43</v>
      </c>
      <c r="D50" s="3">
        <f>IFERROR(__xludf.DUMMYFUNCTION("SPLIT(B50, ""-"")"),42.0)</f>
        <v>42</v>
      </c>
      <c r="E50" s="3">
        <f>IFERROR(__xludf.DUMMYFUNCTION("""COMPUTED_VALUE"""),43.0)</f>
        <v>43</v>
      </c>
      <c r="F50" s="3">
        <f>IFERROR(__xludf.DUMMYFUNCTION("SPLIT(C50, ""-"")"),7.0)</f>
        <v>7</v>
      </c>
      <c r="G50" s="3">
        <f>IFERROR(__xludf.DUMMYFUNCTION("""COMPUTED_VALUE"""),43.0)</f>
        <v>43</v>
      </c>
      <c r="I50" s="3" t="str">
        <f t="shared" si="1"/>
        <v/>
      </c>
      <c r="J50" s="3" t="str">
        <f t="shared" si="2"/>
        <v>y</v>
      </c>
      <c r="K50" s="3" t="str">
        <f t="shared" si="3"/>
        <v>y</v>
      </c>
      <c r="L50" s="3" t="str">
        <f t="shared" si="4"/>
        <v>y</v>
      </c>
      <c r="N50" s="3" t="str">
        <f t="shared" si="5"/>
        <v/>
      </c>
      <c r="O50" s="3">
        <f t="shared" si="6"/>
        <v>1</v>
      </c>
      <c r="Q50" s="3">
        <f t="shared" si="7"/>
        <v>1</v>
      </c>
      <c r="U50" s="3" t="str">
        <f t="shared" si="8"/>
        <v>Överlapp</v>
      </c>
      <c r="V50" s="3" t="str">
        <f t="shared" si="9"/>
        <v>Överlapp</v>
      </c>
      <c r="W50" s="3" t="str">
        <f t="shared" si="10"/>
        <v>Överlapp</v>
      </c>
      <c r="X50" s="3" t="str">
        <f t="shared" si="11"/>
        <v/>
      </c>
    </row>
    <row r="51">
      <c r="A51" s="1" t="s">
        <v>57</v>
      </c>
      <c r="B51" s="3" t="str">
        <f>IFERROR(__xludf.DUMMYFUNCTION("SPLIT(A51, "","")"),"16-49")</f>
        <v>16-49</v>
      </c>
      <c r="C51" s="3" t="str">
        <f>IFERROR(__xludf.DUMMYFUNCTION("""COMPUTED_VALUE"""),"15-17")</f>
        <v>15-17</v>
      </c>
      <c r="D51" s="3">
        <f>IFERROR(__xludf.DUMMYFUNCTION("SPLIT(B51, ""-"")"),16.0)</f>
        <v>16</v>
      </c>
      <c r="E51" s="3">
        <f>IFERROR(__xludf.DUMMYFUNCTION("""COMPUTED_VALUE"""),49.0)</f>
        <v>49</v>
      </c>
      <c r="F51" s="3">
        <f>IFERROR(__xludf.DUMMYFUNCTION("SPLIT(C51, ""-"")"),15.0)</f>
        <v>15</v>
      </c>
      <c r="G51" s="3">
        <f>IFERROR(__xludf.DUMMYFUNCTION("""COMPUTED_VALUE"""),17.0)</f>
        <v>17</v>
      </c>
      <c r="I51" s="3" t="str">
        <f t="shared" si="1"/>
        <v/>
      </c>
      <c r="J51" s="3" t="str">
        <f t="shared" si="2"/>
        <v>y</v>
      </c>
      <c r="K51" s="3" t="str">
        <f t="shared" si="3"/>
        <v>y</v>
      </c>
      <c r="L51" s="3" t="str">
        <f t="shared" si="4"/>
        <v/>
      </c>
      <c r="N51" s="3" t="str">
        <f t="shared" si="5"/>
        <v/>
      </c>
      <c r="O51" s="3" t="str">
        <f t="shared" si="6"/>
        <v/>
      </c>
      <c r="Q51" s="3" t="str">
        <f t="shared" si="7"/>
        <v/>
      </c>
      <c r="U51" s="3">
        <f t="shared" si="8"/>
        <v>1</v>
      </c>
      <c r="V51" s="3" t="str">
        <f t="shared" si="9"/>
        <v>Överlapp</v>
      </c>
      <c r="W51" s="3" t="str">
        <f t="shared" si="10"/>
        <v>Överlapp</v>
      </c>
      <c r="X51" s="3" t="str">
        <f t="shared" si="11"/>
        <v/>
      </c>
    </row>
    <row r="52">
      <c r="A52" s="1" t="s">
        <v>58</v>
      </c>
      <c r="B52" s="3" t="str">
        <f>IFERROR(__xludf.DUMMYFUNCTION("SPLIT(A52, "","")"),"10-49")</f>
        <v>10-49</v>
      </c>
      <c r="C52" s="3" t="str">
        <f>IFERROR(__xludf.DUMMYFUNCTION("""COMPUTED_VALUE"""),"49-50")</f>
        <v>49-50</v>
      </c>
      <c r="D52" s="3">
        <f>IFERROR(__xludf.DUMMYFUNCTION("SPLIT(B52, ""-"")"),10.0)</f>
        <v>10</v>
      </c>
      <c r="E52" s="3">
        <f>IFERROR(__xludf.DUMMYFUNCTION("""COMPUTED_VALUE"""),49.0)</f>
        <v>49</v>
      </c>
      <c r="F52" s="3">
        <f>IFERROR(__xludf.DUMMYFUNCTION("SPLIT(C52, ""-"")"),49.0)</f>
        <v>49</v>
      </c>
      <c r="G52" s="3">
        <f>IFERROR(__xludf.DUMMYFUNCTION("""COMPUTED_VALUE"""),50.0)</f>
        <v>50</v>
      </c>
      <c r="I52" s="3" t="str">
        <f t="shared" si="1"/>
        <v>y</v>
      </c>
      <c r="J52" s="3" t="str">
        <f t="shared" si="2"/>
        <v/>
      </c>
      <c r="K52" s="3" t="str">
        <f t="shared" si="3"/>
        <v/>
      </c>
      <c r="L52" s="3" t="str">
        <f t="shared" si="4"/>
        <v>y</v>
      </c>
      <c r="N52" s="3" t="str">
        <f t="shared" si="5"/>
        <v/>
      </c>
      <c r="O52" s="3" t="str">
        <f t="shared" si="6"/>
        <v/>
      </c>
      <c r="Q52" s="3" t="str">
        <f t="shared" si="7"/>
        <v/>
      </c>
      <c r="U52" s="3" t="str">
        <f t="shared" si="8"/>
        <v>Överlapp</v>
      </c>
      <c r="V52" s="3" t="str">
        <f t="shared" si="9"/>
        <v>Överlapp</v>
      </c>
      <c r="W52" s="3" t="str">
        <f t="shared" si="10"/>
        <v>Överlapp</v>
      </c>
      <c r="X52" s="3" t="str">
        <f t="shared" si="11"/>
        <v/>
      </c>
    </row>
    <row r="53">
      <c r="A53" s="1" t="s">
        <v>59</v>
      </c>
      <c r="B53" s="3" t="str">
        <f>IFERROR(__xludf.DUMMYFUNCTION("SPLIT(A53, "","")"),"33-91")</f>
        <v>33-91</v>
      </c>
      <c r="C53" s="3" t="str">
        <f>IFERROR(__xludf.DUMMYFUNCTION("""COMPUTED_VALUE"""),"34-91")</f>
        <v>34-91</v>
      </c>
      <c r="D53" s="3">
        <f>IFERROR(__xludf.DUMMYFUNCTION("SPLIT(B53, ""-"")"),33.0)</f>
        <v>33</v>
      </c>
      <c r="E53" s="3">
        <f>IFERROR(__xludf.DUMMYFUNCTION("""COMPUTED_VALUE"""),91.0)</f>
        <v>91</v>
      </c>
      <c r="F53" s="3">
        <f>IFERROR(__xludf.DUMMYFUNCTION("SPLIT(C53, ""-"")"),34.0)</f>
        <v>34</v>
      </c>
      <c r="G53" s="3">
        <f>IFERROR(__xludf.DUMMYFUNCTION("""COMPUTED_VALUE"""),91.0)</f>
        <v>91</v>
      </c>
      <c r="I53" s="3" t="str">
        <f t="shared" si="1"/>
        <v>y</v>
      </c>
      <c r="J53" s="3" t="str">
        <f t="shared" si="2"/>
        <v>y</v>
      </c>
      <c r="K53" s="3" t="str">
        <f t="shared" si="3"/>
        <v/>
      </c>
      <c r="L53" s="3" t="str">
        <f t="shared" si="4"/>
        <v>y</v>
      </c>
      <c r="N53" s="3">
        <f t="shared" si="5"/>
        <v>1</v>
      </c>
      <c r="O53" s="3" t="str">
        <f t="shared" si="6"/>
        <v/>
      </c>
      <c r="Q53" s="3">
        <f t="shared" si="7"/>
        <v>1</v>
      </c>
      <c r="U53" s="3" t="str">
        <f t="shared" si="8"/>
        <v>Överlapp</v>
      </c>
      <c r="V53" s="3" t="str">
        <f t="shared" si="9"/>
        <v>Överlapp</v>
      </c>
      <c r="W53" s="3" t="str">
        <f t="shared" si="10"/>
        <v>Överlapp</v>
      </c>
      <c r="X53" s="3" t="str">
        <f t="shared" si="11"/>
        <v/>
      </c>
    </row>
    <row r="54">
      <c r="A54" s="1" t="s">
        <v>60</v>
      </c>
      <c r="B54" s="3" t="str">
        <f>IFERROR(__xludf.DUMMYFUNCTION("SPLIT(A54, "","")"),"23-97")</f>
        <v>23-97</v>
      </c>
      <c r="C54" s="3" t="str">
        <f>IFERROR(__xludf.DUMMYFUNCTION("""COMPUTED_VALUE"""),"22-96")</f>
        <v>22-96</v>
      </c>
      <c r="D54" s="3">
        <f>IFERROR(__xludf.DUMMYFUNCTION("SPLIT(B54, ""-"")"),23.0)</f>
        <v>23</v>
      </c>
      <c r="E54" s="3">
        <f>IFERROR(__xludf.DUMMYFUNCTION("""COMPUTED_VALUE"""),97.0)</f>
        <v>97</v>
      </c>
      <c r="F54" s="3">
        <f>IFERROR(__xludf.DUMMYFUNCTION("SPLIT(C54, ""-"")"),22.0)</f>
        <v>22</v>
      </c>
      <c r="G54" s="3">
        <f>IFERROR(__xludf.DUMMYFUNCTION("""COMPUTED_VALUE"""),96.0)</f>
        <v>96</v>
      </c>
      <c r="I54" s="3" t="str">
        <f t="shared" si="1"/>
        <v/>
      </c>
      <c r="J54" s="3" t="str">
        <f t="shared" si="2"/>
        <v>y</v>
      </c>
      <c r="K54" s="3" t="str">
        <f t="shared" si="3"/>
        <v>y</v>
      </c>
      <c r="L54" s="3" t="str">
        <f t="shared" si="4"/>
        <v/>
      </c>
      <c r="N54" s="3" t="str">
        <f t="shared" si="5"/>
        <v/>
      </c>
      <c r="O54" s="3" t="str">
        <f t="shared" si="6"/>
        <v/>
      </c>
      <c r="Q54" s="3" t="str">
        <f t="shared" si="7"/>
        <v/>
      </c>
      <c r="U54" s="3">
        <f t="shared" si="8"/>
        <v>1</v>
      </c>
      <c r="V54" s="3" t="str">
        <f t="shared" si="9"/>
        <v>Överlapp</v>
      </c>
      <c r="W54" s="3" t="str">
        <f t="shared" si="10"/>
        <v>Överlapp</v>
      </c>
      <c r="X54" s="3" t="str">
        <f t="shared" si="11"/>
        <v/>
      </c>
    </row>
    <row r="55">
      <c r="A55" s="1" t="s">
        <v>61</v>
      </c>
      <c r="B55" s="3" t="str">
        <f>IFERROR(__xludf.DUMMYFUNCTION("SPLIT(A55, "","")"),"8-97")</f>
        <v>8-97</v>
      </c>
      <c r="C55" s="3" t="str">
        <f>IFERROR(__xludf.DUMMYFUNCTION("""COMPUTED_VALUE"""),"8-75")</f>
        <v>8-75</v>
      </c>
      <c r="D55" s="3">
        <f>IFERROR(__xludf.DUMMYFUNCTION("SPLIT(B55, ""-"")"),8.0)</f>
        <v>8</v>
      </c>
      <c r="E55" s="3">
        <f>IFERROR(__xludf.DUMMYFUNCTION("""COMPUTED_VALUE"""),97.0)</f>
        <v>97</v>
      </c>
      <c r="F55" s="3">
        <f>IFERROR(__xludf.DUMMYFUNCTION("SPLIT(C55, ""-"")"),8.0)</f>
        <v>8</v>
      </c>
      <c r="G55" s="3">
        <f>IFERROR(__xludf.DUMMYFUNCTION("""COMPUTED_VALUE"""),75.0)</f>
        <v>75</v>
      </c>
      <c r="I55" s="3" t="str">
        <f t="shared" si="1"/>
        <v>y</v>
      </c>
      <c r="J55" s="3" t="str">
        <f t="shared" si="2"/>
        <v>y</v>
      </c>
      <c r="K55" s="3" t="str">
        <f t="shared" si="3"/>
        <v>y</v>
      </c>
      <c r="L55" s="3" t="str">
        <f t="shared" si="4"/>
        <v/>
      </c>
      <c r="N55" s="3">
        <f t="shared" si="5"/>
        <v>1</v>
      </c>
      <c r="O55" s="3" t="str">
        <f t="shared" si="6"/>
        <v/>
      </c>
      <c r="Q55" s="3">
        <f t="shared" si="7"/>
        <v>1</v>
      </c>
      <c r="U55" s="3" t="str">
        <f t="shared" si="8"/>
        <v>Överlapp</v>
      </c>
      <c r="V55" s="3" t="str">
        <f t="shared" si="9"/>
        <v>Överlapp</v>
      </c>
      <c r="W55" s="3" t="str">
        <f t="shared" si="10"/>
        <v>Överlapp</v>
      </c>
      <c r="X55" s="3" t="str">
        <f t="shared" si="11"/>
        <v/>
      </c>
    </row>
    <row r="56">
      <c r="A56" s="1" t="s">
        <v>62</v>
      </c>
      <c r="B56" s="3" t="str">
        <f>IFERROR(__xludf.DUMMYFUNCTION("SPLIT(A56, "","")"),"97-97")</f>
        <v>97-97</v>
      </c>
      <c r="C56" s="3" t="str">
        <f>IFERROR(__xludf.DUMMYFUNCTION("""COMPUTED_VALUE"""),"3-98")</f>
        <v>3-98</v>
      </c>
      <c r="D56" s="3">
        <f>IFERROR(__xludf.DUMMYFUNCTION("SPLIT(B56, ""-"")"),97.0)</f>
        <v>97</v>
      </c>
      <c r="E56" s="3">
        <f>IFERROR(__xludf.DUMMYFUNCTION("""COMPUTED_VALUE"""),97.0)</f>
        <v>97</v>
      </c>
      <c r="F56" s="3">
        <f>IFERROR(__xludf.DUMMYFUNCTION("SPLIT(C56, ""-"")"),3.0)</f>
        <v>3</v>
      </c>
      <c r="G56" s="3">
        <f>IFERROR(__xludf.DUMMYFUNCTION("""COMPUTED_VALUE"""),98.0)</f>
        <v>98</v>
      </c>
      <c r="I56" s="3" t="str">
        <f t="shared" si="1"/>
        <v/>
      </c>
      <c r="J56" s="3" t="str">
        <f t="shared" si="2"/>
        <v/>
      </c>
      <c r="K56" s="3" t="str">
        <f t="shared" si="3"/>
        <v>y</v>
      </c>
      <c r="L56" s="3" t="str">
        <f t="shared" si="4"/>
        <v>y</v>
      </c>
      <c r="N56" s="3" t="str">
        <f t="shared" si="5"/>
        <v/>
      </c>
      <c r="O56" s="3">
        <f t="shared" si="6"/>
        <v>1</v>
      </c>
      <c r="Q56" s="3">
        <f t="shared" si="7"/>
        <v>1</v>
      </c>
      <c r="U56" s="3">
        <f t="shared" si="8"/>
        <v>1</v>
      </c>
      <c r="V56" s="3" t="str">
        <f t="shared" si="9"/>
        <v>Överlapp</v>
      </c>
      <c r="W56" s="3" t="str">
        <f t="shared" si="10"/>
        <v>Överlapp</v>
      </c>
      <c r="X56" s="3" t="str">
        <f t="shared" si="11"/>
        <v/>
      </c>
    </row>
    <row r="57">
      <c r="A57" s="1" t="s">
        <v>63</v>
      </c>
      <c r="B57" s="3" t="str">
        <f>IFERROR(__xludf.DUMMYFUNCTION("SPLIT(A57, "","")"),"71-72")</f>
        <v>71-72</v>
      </c>
      <c r="C57" s="3" t="str">
        <f>IFERROR(__xludf.DUMMYFUNCTION("""COMPUTED_VALUE"""),"19-71")</f>
        <v>19-71</v>
      </c>
      <c r="D57" s="3">
        <f>IFERROR(__xludf.DUMMYFUNCTION("SPLIT(B57, ""-"")"),71.0)</f>
        <v>71</v>
      </c>
      <c r="E57" s="3">
        <f>IFERROR(__xludf.DUMMYFUNCTION("""COMPUTED_VALUE"""),72.0)</f>
        <v>72</v>
      </c>
      <c r="F57" s="3">
        <f>IFERROR(__xludf.DUMMYFUNCTION("SPLIT(C57, ""-"")"),19.0)</f>
        <v>19</v>
      </c>
      <c r="G57" s="3">
        <f>IFERROR(__xludf.DUMMYFUNCTION("""COMPUTED_VALUE"""),71.0)</f>
        <v>71</v>
      </c>
      <c r="I57" s="3" t="str">
        <f t="shared" si="1"/>
        <v/>
      </c>
      <c r="J57" s="3" t="str">
        <f t="shared" si="2"/>
        <v>y</v>
      </c>
      <c r="K57" s="3" t="str">
        <f t="shared" si="3"/>
        <v>y</v>
      </c>
      <c r="L57" s="3" t="str">
        <f t="shared" si="4"/>
        <v/>
      </c>
      <c r="N57" s="3" t="str">
        <f t="shared" si="5"/>
        <v/>
      </c>
      <c r="O57" s="3" t="str">
        <f t="shared" si="6"/>
        <v/>
      </c>
      <c r="Q57" s="3" t="str">
        <f t="shared" si="7"/>
        <v/>
      </c>
      <c r="U57" s="3" t="str">
        <f t="shared" si="8"/>
        <v>Överlapp</v>
      </c>
      <c r="V57" s="3" t="str">
        <f t="shared" si="9"/>
        <v>Överlapp</v>
      </c>
      <c r="W57" s="3" t="str">
        <f t="shared" si="10"/>
        <v>Överlapp</v>
      </c>
      <c r="X57" s="3" t="str">
        <f t="shared" si="11"/>
        <v/>
      </c>
    </row>
    <row r="58">
      <c r="A58" s="1" t="s">
        <v>64</v>
      </c>
      <c r="B58" s="4">
        <f>IFERROR(__xludf.DUMMYFUNCTION("SPLIT(A58, "","")"),44653.0)</f>
        <v>44653</v>
      </c>
      <c r="C58" s="3" t="str">
        <f>IFERROR(__xludf.DUMMYFUNCTION("""COMPUTED_VALUE"""),"3-99")</f>
        <v>3-99</v>
      </c>
      <c r="D58" s="3">
        <f>IFERROR(__xludf.DUMMYFUNCTION("SPLIT(B58, ""-"")"),2.0)</f>
        <v>2</v>
      </c>
      <c r="E58" s="3">
        <f>IFERROR(__xludf.DUMMYFUNCTION("""COMPUTED_VALUE"""),4.0)</f>
        <v>4</v>
      </c>
      <c r="F58" s="3">
        <f>IFERROR(__xludf.DUMMYFUNCTION("SPLIT(C58, ""-"")"),3.0)</f>
        <v>3</v>
      </c>
      <c r="G58" s="3">
        <f>IFERROR(__xludf.DUMMYFUNCTION("""COMPUTED_VALUE"""),99.0)</f>
        <v>99</v>
      </c>
      <c r="I58" s="3" t="str">
        <f t="shared" si="1"/>
        <v>y</v>
      </c>
      <c r="J58" s="3" t="str">
        <f t="shared" si="2"/>
        <v/>
      </c>
      <c r="K58" s="3" t="str">
        <f t="shared" si="3"/>
        <v/>
      </c>
      <c r="L58" s="3" t="str">
        <f t="shared" si="4"/>
        <v>y</v>
      </c>
      <c r="N58" s="3" t="str">
        <f t="shared" si="5"/>
        <v/>
      </c>
      <c r="O58" s="3" t="str">
        <f t="shared" si="6"/>
        <v/>
      </c>
      <c r="Q58" s="3" t="str">
        <f t="shared" si="7"/>
        <v/>
      </c>
      <c r="U58" s="3">
        <f t="shared" si="8"/>
        <v>1</v>
      </c>
      <c r="V58" s="3" t="str">
        <f t="shared" si="9"/>
        <v>Överlapp</v>
      </c>
      <c r="W58" s="3" t="str">
        <f t="shared" si="10"/>
        <v>Överlapp</v>
      </c>
      <c r="X58" s="3" t="str">
        <f t="shared" si="11"/>
        <v/>
      </c>
    </row>
    <row r="59">
      <c r="A59" s="1" t="s">
        <v>65</v>
      </c>
      <c r="B59" s="3" t="str">
        <f>IFERROR(__xludf.DUMMYFUNCTION("SPLIT(A59, "","")"),"5-33")</f>
        <v>5-33</v>
      </c>
      <c r="C59" s="3" t="str">
        <f>IFERROR(__xludf.DUMMYFUNCTION("""COMPUTED_VALUE"""),"33-40")</f>
        <v>33-40</v>
      </c>
      <c r="D59" s="3">
        <f>IFERROR(__xludf.DUMMYFUNCTION("SPLIT(B59, ""-"")"),5.0)</f>
        <v>5</v>
      </c>
      <c r="E59" s="3">
        <f>IFERROR(__xludf.DUMMYFUNCTION("""COMPUTED_VALUE"""),33.0)</f>
        <v>33</v>
      </c>
      <c r="F59" s="3">
        <f>IFERROR(__xludf.DUMMYFUNCTION("SPLIT(C59, ""-"")"),33.0)</f>
        <v>33</v>
      </c>
      <c r="G59" s="3">
        <f>IFERROR(__xludf.DUMMYFUNCTION("""COMPUTED_VALUE"""),40.0)</f>
        <v>40</v>
      </c>
      <c r="I59" s="3" t="str">
        <f t="shared" si="1"/>
        <v>y</v>
      </c>
      <c r="J59" s="3" t="str">
        <f t="shared" si="2"/>
        <v/>
      </c>
      <c r="K59" s="3" t="str">
        <f t="shared" si="3"/>
        <v/>
      </c>
      <c r="L59" s="3" t="str">
        <f t="shared" si="4"/>
        <v>y</v>
      </c>
      <c r="N59" s="3" t="str">
        <f t="shared" si="5"/>
        <v/>
      </c>
      <c r="O59" s="3" t="str">
        <f t="shared" si="6"/>
        <v/>
      </c>
      <c r="Q59" s="3" t="str">
        <f t="shared" si="7"/>
        <v/>
      </c>
      <c r="U59" s="3" t="str">
        <f t="shared" si="8"/>
        <v>Överlapp</v>
      </c>
      <c r="V59" s="3" t="str">
        <f t="shared" si="9"/>
        <v>Överlapp</v>
      </c>
      <c r="W59" s="3" t="str">
        <f t="shared" si="10"/>
        <v>Överlapp</v>
      </c>
      <c r="X59" s="3" t="str">
        <f t="shared" si="11"/>
        <v/>
      </c>
    </row>
    <row r="60">
      <c r="A60" s="1" t="s">
        <v>66</v>
      </c>
      <c r="B60" s="3" t="str">
        <f>IFERROR(__xludf.DUMMYFUNCTION("SPLIT(A60, "","")"),"23-34")</f>
        <v>23-34</v>
      </c>
      <c r="C60" s="3" t="str">
        <f>IFERROR(__xludf.DUMMYFUNCTION("""COMPUTED_VALUE"""),"22-35")</f>
        <v>22-35</v>
      </c>
      <c r="D60" s="3">
        <f>IFERROR(__xludf.DUMMYFUNCTION("SPLIT(B60, ""-"")"),23.0)</f>
        <v>23</v>
      </c>
      <c r="E60" s="3">
        <f>IFERROR(__xludf.DUMMYFUNCTION("""COMPUTED_VALUE"""),34.0)</f>
        <v>34</v>
      </c>
      <c r="F60" s="3">
        <f>IFERROR(__xludf.DUMMYFUNCTION("SPLIT(C60, ""-"")"),22.0)</f>
        <v>22</v>
      </c>
      <c r="G60" s="3">
        <f>IFERROR(__xludf.DUMMYFUNCTION("""COMPUTED_VALUE"""),35.0)</f>
        <v>35</v>
      </c>
      <c r="I60" s="3" t="str">
        <f t="shared" si="1"/>
        <v/>
      </c>
      <c r="J60" s="3" t="str">
        <f t="shared" si="2"/>
        <v/>
      </c>
      <c r="K60" s="3" t="str">
        <f t="shared" si="3"/>
        <v>y</v>
      </c>
      <c r="L60" s="3" t="str">
        <f t="shared" si="4"/>
        <v>y</v>
      </c>
      <c r="N60" s="3" t="str">
        <f t="shared" si="5"/>
        <v/>
      </c>
      <c r="O60" s="3">
        <f t="shared" si="6"/>
        <v>1</v>
      </c>
      <c r="Q60" s="3">
        <f t="shared" si="7"/>
        <v>1</v>
      </c>
      <c r="U60" s="3">
        <f t="shared" si="8"/>
        <v>1</v>
      </c>
      <c r="V60" s="3" t="str">
        <f t="shared" si="9"/>
        <v>Överlapp</v>
      </c>
      <c r="W60" s="3" t="str">
        <f t="shared" si="10"/>
        <v>Överlapp</v>
      </c>
      <c r="X60" s="3" t="str">
        <f t="shared" si="11"/>
        <v/>
      </c>
    </row>
    <row r="61">
      <c r="A61" s="1" t="s">
        <v>67</v>
      </c>
      <c r="B61" s="3" t="str">
        <f>IFERROR(__xludf.DUMMYFUNCTION("SPLIT(A61, "","")"),"17-98")</f>
        <v>17-98</v>
      </c>
      <c r="C61" s="3" t="str">
        <f>IFERROR(__xludf.DUMMYFUNCTION("""COMPUTED_VALUE"""),"11-98")</f>
        <v>11-98</v>
      </c>
      <c r="D61" s="3">
        <f>IFERROR(__xludf.DUMMYFUNCTION("SPLIT(B61, ""-"")"),17.0)</f>
        <v>17</v>
      </c>
      <c r="E61" s="3">
        <f>IFERROR(__xludf.DUMMYFUNCTION("""COMPUTED_VALUE"""),98.0)</f>
        <v>98</v>
      </c>
      <c r="F61" s="3">
        <f>IFERROR(__xludf.DUMMYFUNCTION("SPLIT(C61, ""-"")"),11.0)</f>
        <v>11</v>
      </c>
      <c r="G61" s="3">
        <f>IFERROR(__xludf.DUMMYFUNCTION("""COMPUTED_VALUE"""),98.0)</f>
        <v>98</v>
      </c>
      <c r="I61" s="3" t="str">
        <f t="shared" si="1"/>
        <v/>
      </c>
      <c r="J61" s="3" t="str">
        <f t="shared" si="2"/>
        <v>y</v>
      </c>
      <c r="K61" s="3" t="str">
        <f t="shared" si="3"/>
        <v>y</v>
      </c>
      <c r="L61" s="3" t="str">
        <f t="shared" si="4"/>
        <v>y</v>
      </c>
      <c r="N61" s="3" t="str">
        <f t="shared" si="5"/>
        <v/>
      </c>
      <c r="O61" s="3">
        <f t="shared" si="6"/>
        <v>1</v>
      </c>
      <c r="Q61" s="3">
        <f t="shared" si="7"/>
        <v>1</v>
      </c>
      <c r="U61" s="3" t="str">
        <f t="shared" si="8"/>
        <v>Överlapp</v>
      </c>
      <c r="V61" s="3" t="str">
        <f t="shared" si="9"/>
        <v>Överlapp</v>
      </c>
      <c r="W61" s="3" t="str">
        <f t="shared" si="10"/>
        <v>Överlapp</v>
      </c>
      <c r="X61" s="3" t="str">
        <f t="shared" si="11"/>
        <v/>
      </c>
    </row>
    <row r="62">
      <c r="A62" s="1" t="s">
        <v>68</v>
      </c>
      <c r="B62" s="3" t="str">
        <f>IFERROR(__xludf.DUMMYFUNCTION("SPLIT(A62, "","")"),"82-82")</f>
        <v>82-82</v>
      </c>
      <c r="C62" s="3" t="str">
        <f>IFERROR(__xludf.DUMMYFUNCTION("""COMPUTED_VALUE"""),"82-91")</f>
        <v>82-91</v>
      </c>
      <c r="D62" s="3">
        <f>IFERROR(__xludf.DUMMYFUNCTION("SPLIT(B62, ""-"")"),82.0)</f>
        <v>82</v>
      </c>
      <c r="E62" s="3">
        <f>IFERROR(__xludf.DUMMYFUNCTION("""COMPUTED_VALUE"""),82.0)</f>
        <v>82</v>
      </c>
      <c r="F62" s="3">
        <f>IFERROR(__xludf.DUMMYFUNCTION("SPLIT(C62, ""-"")"),82.0)</f>
        <v>82</v>
      </c>
      <c r="G62" s="3">
        <f>IFERROR(__xludf.DUMMYFUNCTION("""COMPUTED_VALUE"""),91.0)</f>
        <v>91</v>
      </c>
      <c r="I62" s="3" t="str">
        <f t="shared" si="1"/>
        <v>y</v>
      </c>
      <c r="J62" s="3" t="str">
        <f t="shared" si="2"/>
        <v/>
      </c>
      <c r="K62" s="3" t="str">
        <f t="shared" si="3"/>
        <v>y</v>
      </c>
      <c r="L62" s="3" t="str">
        <f t="shared" si="4"/>
        <v>y</v>
      </c>
      <c r="N62" s="3" t="str">
        <f t="shared" si="5"/>
        <v/>
      </c>
      <c r="O62" s="3">
        <f t="shared" si="6"/>
        <v>1</v>
      </c>
      <c r="Q62" s="3">
        <f t="shared" si="7"/>
        <v>1</v>
      </c>
      <c r="U62" s="3" t="str">
        <f t="shared" si="8"/>
        <v>Överlapp</v>
      </c>
      <c r="V62" s="3" t="str">
        <f t="shared" si="9"/>
        <v>Överlapp</v>
      </c>
      <c r="W62" s="3" t="str">
        <f t="shared" si="10"/>
        <v>Överlapp</v>
      </c>
      <c r="X62" s="3" t="str">
        <f t="shared" si="11"/>
        <v/>
      </c>
    </row>
    <row r="63">
      <c r="A63" s="1" t="s">
        <v>69</v>
      </c>
      <c r="B63" s="3" t="str">
        <f>IFERROR(__xludf.DUMMYFUNCTION("SPLIT(A63, "","")"),"35-63")</f>
        <v>35-63</v>
      </c>
      <c r="C63" s="3" t="str">
        <f>IFERROR(__xludf.DUMMYFUNCTION("""COMPUTED_VALUE"""),"7-62")</f>
        <v>7-62</v>
      </c>
      <c r="D63" s="3">
        <f>IFERROR(__xludf.DUMMYFUNCTION("SPLIT(B63, ""-"")"),35.0)</f>
        <v>35</v>
      </c>
      <c r="E63" s="3">
        <f>IFERROR(__xludf.DUMMYFUNCTION("""COMPUTED_VALUE"""),63.0)</f>
        <v>63</v>
      </c>
      <c r="F63" s="3">
        <f>IFERROR(__xludf.DUMMYFUNCTION("SPLIT(C63, ""-"")"),7.0)</f>
        <v>7</v>
      </c>
      <c r="G63" s="3">
        <f>IFERROR(__xludf.DUMMYFUNCTION("""COMPUTED_VALUE"""),62.0)</f>
        <v>62</v>
      </c>
      <c r="I63" s="3" t="str">
        <f t="shared" si="1"/>
        <v/>
      </c>
      <c r="J63" s="3" t="str">
        <f t="shared" si="2"/>
        <v>y</v>
      </c>
      <c r="K63" s="3" t="str">
        <f t="shared" si="3"/>
        <v>y</v>
      </c>
      <c r="L63" s="3" t="str">
        <f t="shared" si="4"/>
        <v/>
      </c>
      <c r="N63" s="3" t="str">
        <f t="shared" si="5"/>
        <v/>
      </c>
      <c r="O63" s="3" t="str">
        <f t="shared" si="6"/>
        <v/>
      </c>
      <c r="Q63" s="3" t="str">
        <f t="shared" si="7"/>
        <v/>
      </c>
      <c r="U63" s="3">
        <f t="shared" si="8"/>
        <v>1</v>
      </c>
      <c r="V63" s="3" t="str">
        <f t="shared" si="9"/>
        <v>Överlapp</v>
      </c>
      <c r="W63" s="3" t="str">
        <f t="shared" si="10"/>
        <v>Överlapp</v>
      </c>
      <c r="X63" s="3" t="str">
        <f t="shared" si="11"/>
        <v/>
      </c>
    </row>
    <row r="64">
      <c r="A64" s="1" t="s">
        <v>70</v>
      </c>
      <c r="B64" s="3" t="str">
        <f>IFERROR(__xludf.DUMMYFUNCTION("SPLIT(A64, "","")"),"3-89")</f>
        <v>3-89</v>
      </c>
      <c r="C64" s="3" t="str">
        <f>IFERROR(__xludf.DUMMYFUNCTION("""COMPUTED_VALUE"""),"88-91")</f>
        <v>88-91</v>
      </c>
      <c r="D64" s="3">
        <f>IFERROR(__xludf.DUMMYFUNCTION("SPLIT(B64, ""-"")"),3.0)</f>
        <v>3</v>
      </c>
      <c r="E64" s="3">
        <f>IFERROR(__xludf.DUMMYFUNCTION("""COMPUTED_VALUE"""),89.0)</f>
        <v>89</v>
      </c>
      <c r="F64" s="3">
        <f>IFERROR(__xludf.DUMMYFUNCTION("SPLIT(C64, ""-"")"),88.0)</f>
        <v>88</v>
      </c>
      <c r="G64" s="3">
        <f>IFERROR(__xludf.DUMMYFUNCTION("""COMPUTED_VALUE"""),91.0)</f>
        <v>91</v>
      </c>
      <c r="I64" s="3" t="str">
        <f t="shared" si="1"/>
        <v>y</v>
      </c>
      <c r="J64" s="3" t="str">
        <f t="shared" si="2"/>
        <v/>
      </c>
      <c r="K64" s="3" t="str">
        <f t="shared" si="3"/>
        <v/>
      </c>
      <c r="L64" s="3" t="str">
        <f t="shared" si="4"/>
        <v>y</v>
      </c>
      <c r="N64" s="3" t="str">
        <f t="shared" si="5"/>
        <v/>
      </c>
      <c r="O64" s="3" t="str">
        <f t="shared" si="6"/>
        <v/>
      </c>
      <c r="Q64" s="3" t="str">
        <f t="shared" si="7"/>
        <v/>
      </c>
      <c r="U64" s="3">
        <f t="shared" si="8"/>
        <v>1</v>
      </c>
      <c r="V64" s="3" t="str">
        <f t="shared" si="9"/>
        <v>Överlapp</v>
      </c>
      <c r="W64" s="3" t="str">
        <f t="shared" si="10"/>
        <v>Överlapp</v>
      </c>
      <c r="X64" s="3" t="str">
        <f t="shared" si="11"/>
        <v/>
      </c>
    </row>
    <row r="65">
      <c r="A65" s="1" t="s">
        <v>71</v>
      </c>
      <c r="B65" s="3" t="str">
        <f>IFERROR(__xludf.DUMMYFUNCTION("SPLIT(A65, "","")"),"85-95")</f>
        <v>85-95</v>
      </c>
      <c r="C65" s="3" t="str">
        <f>IFERROR(__xludf.DUMMYFUNCTION("""COMPUTED_VALUE"""),"60-85")</f>
        <v>60-85</v>
      </c>
      <c r="D65" s="3">
        <f>IFERROR(__xludf.DUMMYFUNCTION("SPLIT(B65, ""-"")"),85.0)</f>
        <v>85</v>
      </c>
      <c r="E65" s="3">
        <f>IFERROR(__xludf.DUMMYFUNCTION("""COMPUTED_VALUE"""),95.0)</f>
        <v>95</v>
      </c>
      <c r="F65" s="3">
        <f>IFERROR(__xludf.DUMMYFUNCTION("SPLIT(C65, ""-"")"),60.0)</f>
        <v>60</v>
      </c>
      <c r="G65" s="3">
        <f>IFERROR(__xludf.DUMMYFUNCTION("""COMPUTED_VALUE"""),85.0)</f>
        <v>85</v>
      </c>
      <c r="I65" s="3" t="str">
        <f t="shared" si="1"/>
        <v/>
      </c>
      <c r="J65" s="3" t="str">
        <f t="shared" si="2"/>
        <v>y</v>
      </c>
      <c r="K65" s="3" t="str">
        <f t="shared" si="3"/>
        <v>y</v>
      </c>
      <c r="L65" s="3" t="str">
        <f t="shared" si="4"/>
        <v/>
      </c>
      <c r="N65" s="3" t="str">
        <f t="shared" si="5"/>
        <v/>
      </c>
      <c r="O65" s="3" t="str">
        <f t="shared" si="6"/>
        <v/>
      </c>
      <c r="Q65" s="3" t="str">
        <f t="shared" si="7"/>
        <v/>
      </c>
      <c r="U65" s="3" t="str">
        <f t="shared" si="8"/>
        <v>Överlapp</v>
      </c>
      <c r="V65" s="3" t="str">
        <f t="shared" si="9"/>
        <v>Överlapp</v>
      </c>
      <c r="W65" s="3" t="str">
        <f t="shared" si="10"/>
        <v>Överlapp</v>
      </c>
      <c r="X65" s="3" t="str">
        <f t="shared" si="11"/>
        <v/>
      </c>
    </row>
    <row r="66">
      <c r="A66" s="1" t="s">
        <v>72</v>
      </c>
      <c r="B66" s="3" t="str">
        <f>IFERROR(__xludf.DUMMYFUNCTION("SPLIT(A66, "","")"),"84-86")</f>
        <v>84-86</v>
      </c>
      <c r="C66" s="3" t="str">
        <f>IFERROR(__xludf.DUMMYFUNCTION("""COMPUTED_VALUE"""),"39-85")</f>
        <v>39-85</v>
      </c>
      <c r="D66" s="3">
        <f>IFERROR(__xludf.DUMMYFUNCTION("SPLIT(B66, ""-"")"),84.0)</f>
        <v>84</v>
      </c>
      <c r="E66" s="3">
        <f>IFERROR(__xludf.DUMMYFUNCTION("""COMPUTED_VALUE"""),86.0)</f>
        <v>86</v>
      </c>
      <c r="F66" s="3">
        <f>IFERROR(__xludf.DUMMYFUNCTION("SPLIT(C66, ""-"")"),39.0)</f>
        <v>39</v>
      </c>
      <c r="G66" s="3">
        <f>IFERROR(__xludf.DUMMYFUNCTION("""COMPUTED_VALUE"""),85.0)</f>
        <v>85</v>
      </c>
      <c r="I66" s="3" t="str">
        <f t="shared" si="1"/>
        <v/>
      </c>
      <c r="J66" s="3" t="str">
        <f t="shared" si="2"/>
        <v>y</v>
      </c>
      <c r="K66" s="3" t="str">
        <f t="shared" si="3"/>
        <v>y</v>
      </c>
      <c r="L66" s="3" t="str">
        <f t="shared" si="4"/>
        <v/>
      </c>
      <c r="N66" s="3" t="str">
        <f t="shared" si="5"/>
        <v/>
      </c>
      <c r="O66" s="3" t="str">
        <f t="shared" si="6"/>
        <v/>
      </c>
      <c r="Q66" s="3" t="str">
        <f t="shared" si="7"/>
        <v/>
      </c>
      <c r="U66" s="3">
        <f t="shared" si="8"/>
        <v>1</v>
      </c>
      <c r="V66" s="3" t="str">
        <f t="shared" si="9"/>
        <v>Överlapp</v>
      </c>
      <c r="W66" s="3" t="str">
        <f t="shared" si="10"/>
        <v>Överlapp</v>
      </c>
      <c r="X66" s="3" t="str">
        <f t="shared" si="11"/>
        <v/>
      </c>
    </row>
    <row r="67">
      <c r="A67" s="1" t="s">
        <v>73</v>
      </c>
      <c r="B67" s="3" t="str">
        <f>IFERROR(__xludf.DUMMYFUNCTION("SPLIT(A67, "","")"),"83-83")</f>
        <v>83-83</v>
      </c>
      <c r="C67" s="3" t="str">
        <f>IFERROR(__xludf.DUMMYFUNCTION("""COMPUTED_VALUE"""),"82-85")</f>
        <v>82-85</v>
      </c>
      <c r="D67" s="3">
        <f>IFERROR(__xludf.DUMMYFUNCTION("SPLIT(B67, ""-"")"),83.0)</f>
        <v>83</v>
      </c>
      <c r="E67" s="3">
        <f>IFERROR(__xludf.DUMMYFUNCTION("""COMPUTED_VALUE"""),83.0)</f>
        <v>83</v>
      </c>
      <c r="F67" s="3">
        <f>IFERROR(__xludf.DUMMYFUNCTION("SPLIT(C67, ""-"")"),82.0)</f>
        <v>82</v>
      </c>
      <c r="G67" s="3">
        <f>IFERROR(__xludf.DUMMYFUNCTION("""COMPUTED_VALUE"""),85.0)</f>
        <v>85</v>
      </c>
      <c r="I67" s="3" t="str">
        <f t="shared" si="1"/>
        <v/>
      </c>
      <c r="J67" s="3" t="str">
        <f t="shared" si="2"/>
        <v/>
      </c>
      <c r="K67" s="3" t="str">
        <f t="shared" si="3"/>
        <v>y</v>
      </c>
      <c r="L67" s="3" t="str">
        <f t="shared" si="4"/>
        <v>y</v>
      </c>
      <c r="N67" s="3" t="str">
        <f t="shared" si="5"/>
        <v/>
      </c>
      <c r="O67" s="3">
        <f t="shared" si="6"/>
        <v>1</v>
      </c>
      <c r="Q67" s="3">
        <f t="shared" si="7"/>
        <v>1</v>
      </c>
      <c r="U67" s="3">
        <f t="shared" si="8"/>
        <v>1</v>
      </c>
      <c r="V67" s="3" t="str">
        <f t="shared" si="9"/>
        <v>Överlapp</v>
      </c>
      <c r="W67" s="3" t="str">
        <f t="shared" si="10"/>
        <v>Överlapp</v>
      </c>
      <c r="X67" s="3" t="str">
        <f t="shared" si="11"/>
        <v/>
      </c>
    </row>
    <row r="68">
      <c r="A68" s="1" t="s">
        <v>74</v>
      </c>
      <c r="B68" s="3" t="str">
        <f>IFERROR(__xludf.DUMMYFUNCTION("SPLIT(A68, "","")"),"39-60")</f>
        <v>39-60</v>
      </c>
      <c r="C68" s="3" t="str">
        <f>IFERROR(__xludf.DUMMYFUNCTION("""COMPUTED_VALUE"""),"40-60")</f>
        <v>40-60</v>
      </c>
      <c r="D68" s="3">
        <f>IFERROR(__xludf.DUMMYFUNCTION("SPLIT(B68, ""-"")"),39.0)</f>
        <v>39</v>
      </c>
      <c r="E68" s="3">
        <f>IFERROR(__xludf.DUMMYFUNCTION("""COMPUTED_VALUE"""),60.0)</f>
        <v>60</v>
      </c>
      <c r="F68" s="3">
        <f>IFERROR(__xludf.DUMMYFUNCTION("SPLIT(C68, ""-"")"),40.0)</f>
        <v>40</v>
      </c>
      <c r="G68" s="3">
        <f>IFERROR(__xludf.DUMMYFUNCTION("""COMPUTED_VALUE"""),60.0)</f>
        <v>60</v>
      </c>
      <c r="I68" s="3" t="str">
        <f t="shared" si="1"/>
        <v>y</v>
      </c>
      <c r="J68" s="3" t="str">
        <f t="shared" si="2"/>
        <v>y</v>
      </c>
      <c r="K68" s="3" t="str">
        <f t="shared" si="3"/>
        <v/>
      </c>
      <c r="L68" s="3" t="str">
        <f t="shared" si="4"/>
        <v>y</v>
      </c>
      <c r="N68" s="3">
        <f t="shared" si="5"/>
        <v>1</v>
      </c>
      <c r="O68" s="3" t="str">
        <f t="shared" si="6"/>
        <v/>
      </c>
      <c r="Q68" s="3">
        <f t="shared" si="7"/>
        <v>1</v>
      </c>
      <c r="U68" s="3" t="str">
        <f t="shared" si="8"/>
        <v>Överlapp</v>
      </c>
      <c r="V68" s="3" t="str">
        <f t="shared" si="9"/>
        <v>Överlapp</v>
      </c>
      <c r="W68" s="3" t="str">
        <f t="shared" si="10"/>
        <v>Överlapp</v>
      </c>
      <c r="X68" s="3" t="str">
        <f t="shared" si="11"/>
        <v/>
      </c>
    </row>
    <row r="69">
      <c r="A69" s="1" t="s">
        <v>75</v>
      </c>
      <c r="B69" s="3" t="str">
        <f>IFERROR(__xludf.DUMMYFUNCTION("SPLIT(A69, "","")"),"34-83")</f>
        <v>34-83</v>
      </c>
      <c r="C69" s="3" t="str">
        <f>IFERROR(__xludf.DUMMYFUNCTION("""COMPUTED_VALUE"""),"12-96")</f>
        <v>12-96</v>
      </c>
      <c r="D69" s="3">
        <f>IFERROR(__xludf.DUMMYFUNCTION("SPLIT(B69, ""-"")"),34.0)</f>
        <v>34</v>
      </c>
      <c r="E69" s="3">
        <f>IFERROR(__xludf.DUMMYFUNCTION("""COMPUTED_VALUE"""),83.0)</f>
        <v>83</v>
      </c>
      <c r="F69" s="3">
        <f>IFERROR(__xludf.DUMMYFUNCTION("SPLIT(C69, ""-"")"),12.0)</f>
        <v>12</v>
      </c>
      <c r="G69" s="3">
        <f>IFERROR(__xludf.DUMMYFUNCTION("""COMPUTED_VALUE"""),96.0)</f>
        <v>96</v>
      </c>
      <c r="I69" s="3" t="str">
        <f t="shared" si="1"/>
        <v/>
      </c>
      <c r="J69" s="3" t="str">
        <f t="shared" si="2"/>
        <v/>
      </c>
      <c r="K69" s="3" t="str">
        <f t="shared" si="3"/>
        <v>y</v>
      </c>
      <c r="L69" s="3" t="str">
        <f t="shared" si="4"/>
        <v>y</v>
      </c>
      <c r="N69" s="3" t="str">
        <f t="shared" si="5"/>
        <v/>
      </c>
      <c r="O69" s="3">
        <f t="shared" si="6"/>
        <v>1</v>
      </c>
      <c r="Q69" s="3">
        <f t="shared" si="7"/>
        <v>1</v>
      </c>
      <c r="U69" s="3">
        <f t="shared" si="8"/>
        <v>1</v>
      </c>
      <c r="V69" s="3" t="str">
        <f t="shared" si="9"/>
        <v>Överlapp</v>
      </c>
      <c r="W69" s="3" t="str">
        <f t="shared" si="10"/>
        <v>Överlapp</v>
      </c>
      <c r="X69" s="3" t="str">
        <f t="shared" si="11"/>
        <v/>
      </c>
    </row>
    <row r="70">
      <c r="A70" s="1" t="s">
        <v>76</v>
      </c>
      <c r="B70" s="3" t="str">
        <f>IFERROR(__xludf.DUMMYFUNCTION("SPLIT(A70, "","")"),"6-97")</f>
        <v>6-97</v>
      </c>
      <c r="C70" s="3" t="str">
        <f>IFERROR(__xludf.DUMMYFUNCTION("""COMPUTED_VALUE"""),"7-94")</f>
        <v>7-94</v>
      </c>
      <c r="D70" s="3">
        <f>IFERROR(__xludf.DUMMYFUNCTION("SPLIT(B70, ""-"")"),6.0)</f>
        <v>6</v>
      </c>
      <c r="E70" s="3">
        <f>IFERROR(__xludf.DUMMYFUNCTION("""COMPUTED_VALUE"""),97.0)</f>
        <v>97</v>
      </c>
      <c r="F70" s="3">
        <f>IFERROR(__xludf.DUMMYFUNCTION("SPLIT(C70, ""-"")"),7.0)</f>
        <v>7</v>
      </c>
      <c r="G70" s="3">
        <f>IFERROR(__xludf.DUMMYFUNCTION("""COMPUTED_VALUE"""),94.0)</f>
        <v>94</v>
      </c>
      <c r="I70" s="3" t="str">
        <f t="shared" si="1"/>
        <v>y</v>
      </c>
      <c r="J70" s="3" t="str">
        <f t="shared" si="2"/>
        <v>y</v>
      </c>
      <c r="K70" s="3" t="str">
        <f t="shared" si="3"/>
        <v/>
      </c>
      <c r="L70" s="3" t="str">
        <f t="shared" si="4"/>
        <v/>
      </c>
      <c r="N70" s="3">
        <f t="shared" si="5"/>
        <v>1</v>
      </c>
      <c r="O70" s="3" t="str">
        <f t="shared" si="6"/>
        <v/>
      </c>
      <c r="Q70" s="3">
        <f t="shared" si="7"/>
        <v>1</v>
      </c>
      <c r="U70" s="3">
        <f t="shared" si="8"/>
        <v>1</v>
      </c>
      <c r="V70" s="3" t="str">
        <f t="shared" si="9"/>
        <v>Överlapp</v>
      </c>
      <c r="W70" s="3" t="str">
        <f t="shared" si="10"/>
        <v>Överlapp</v>
      </c>
      <c r="X70" s="3" t="str">
        <f t="shared" si="11"/>
        <v/>
      </c>
    </row>
    <row r="71">
      <c r="A71" s="1" t="s">
        <v>77</v>
      </c>
      <c r="B71" s="3" t="str">
        <f>IFERROR(__xludf.DUMMYFUNCTION("SPLIT(A71, "","")"),"89-94")</f>
        <v>89-94</v>
      </c>
      <c r="C71" s="3" t="str">
        <f>IFERROR(__xludf.DUMMYFUNCTION("""COMPUTED_VALUE"""),"1-90")</f>
        <v>1-90</v>
      </c>
      <c r="D71" s="3">
        <f>IFERROR(__xludf.DUMMYFUNCTION("SPLIT(B71, ""-"")"),89.0)</f>
        <v>89</v>
      </c>
      <c r="E71" s="3">
        <f>IFERROR(__xludf.DUMMYFUNCTION("""COMPUTED_VALUE"""),94.0)</f>
        <v>94</v>
      </c>
      <c r="F71" s="3">
        <f>IFERROR(__xludf.DUMMYFUNCTION("SPLIT(C71, ""-"")"),1.0)</f>
        <v>1</v>
      </c>
      <c r="G71" s="3">
        <f>IFERROR(__xludf.DUMMYFUNCTION("""COMPUTED_VALUE"""),90.0)</f>
        <v>90</v>
      </c>
      <c r="I71" s="3" t="str">
        <f t="shared" si="1"/>
        <v/>
      </c>
      <c r="J71" s="3" t="str">
        <f t="shared" si="2"/>
        <v>y</v>
      </c>
      <c r="K71" s="3" t="str">
        <f t="shared" si="3"/>
        <v>y</v>
      </c>
      <c r="L71" s="3" t="str">
        <f t="shared" si="4"/>
        <v/>
      </c>
      <c r="N71" s="3" t="str">
        <f t="shared" si="5"/>
        <v/>
      </c>
      <c r="O71" s="3" t="str">
        <f t="shared" si="6"/>
        <v/>
      </c>
      <c r="Q71" s="3" t="str">
        <f t="shared" si="7"/>
        <v/>
      </c>
      <c r="U71" s="3">
        <f t="shared" si="8"/>
        <v>1</v>
      </c>
      <c r="V71" s="3" t="str">
        <f t="shared" si="9"/>
        <v>Överlapp</v>
      </c>
      <c r="W71" s="3" t="str">
        <f t="shared" si="10"/>
        <v>Överlapp</v>
      </c>
      <c r="X71" s="3" t="str">
        <f t="shared" si="11"/>
        <v/>
      </c>
    </row>
    <row r="72">
      <c r="A72" s="1" t="s">
        <v>78</v>
      </c>
      <c r="B72" s="3" t="str">
        <f>IFERROR(__xludf.DUMMYFUNCTION("SPLIT(A72, "","")"),"57-81")</f>
        <v>57-81</v>
      </c>
      <c r="C72" s="3" t="str">
        <f>IFERROR(__xludf.DUMMYFUNCTION("""COMPUTED_VALUE"""),"8-78")</f>
        <v>8-78</v>
      </c>
      <c r="D72" s="3">
        <f>IFERROR(__xludf.DUMMYFUNCTION("SPLIT(B72, ""-"")"),57.0)</f>
        <v>57</v>
      </c>
      <c r="E72" s="3">
        <f>IFERROR(__xludf.DUMMYFUNCTION("""COMPUTED_VALUE"""),81.0)</f>
        <v>81</v>
      </c>
      <c r="F72" s="3">
        <f>IFERROR(__xludf.DUMMYFUNCTION("SPLIT(C72, ""-"")"),8.0)</f>
        <v>8</v>
      </c>
      <c r="G72" s="3">
        <f>IFERROR(__xludf.DUMMYFUNCTION("""COMPUTED_VALUE"""),78.0)</f>
        <v>78</v>
      </c>
      <c r="I72" s="3" t="str">
        <f t="shared" si="1"/>
        <v/>
      </c>
      <c r="J72" s="3" t="str">
        <f t="shared" si="2"/>
        <v>y</v>
      </c>
      <c r="K72" s="3" t="str">
        <f t="shared" si="3"/>
        <v>y</v>
      </c>
      <c r="L72" s="3" t="str">
        <f t="shared" si="4"/>
        <v/>
      </c>
      <c r="N72" s="3" t="str">
        <f t="shared" si="5"/>
        <v/>
      </c>
      <c r="O72" s="3" t="str">
        <f t="shared" si="6"/>
        <v/>
      </c>
      <c r="Q72" s="3" t="str">
        <f t="shared" si="7"/>
        <v/>
      </c>
      <c r="U72" s="3">
        <f t="shared" si="8"/>
        <v>1</v>
      </c>
      <c r="V72" s="3" t="str">
        <f t="shared" si="9"/>
        <v>Överlapp</v>
      </c>
      <c r="W72" s="3" t="str">
        <f t="shared" si="10"/>
        <v>Överlapp</v>
      </c>
      <c r="X72" s="3" t="str">
        <f t="shared" si="11"/>
        <v/>
      </c>
    </row>
    <row r="73">
      <c r="A73" s="1" t="s">
        <v>79</v>
      </c>
      <c r="B73" s="4">
        <f>IFERROR(__xludf.DUMMYFUNCTION("SPLIT(A73, "","")"),44906.0)</f>
        <v>44906</v>
      </c>
      <c r="C73" s="3" t="str">
        <f>IFERROR(__xludf.DUMMYFUNCTION("""COMPUTED_VALUE"""),"12-88")</f>
        <v>12-88</v>
      </c>
      <c r="D73" s="3">
        <f>IFERROR(__xludf.DUMMYFUNCTION("SPLIT(B73, ""-"")"),11.0)</f>
        <v>11</v>
      </c>
      <c r="E73" s="3">
        <f>IFERROR(__xludf.DUMMYFUNCTION("""COMPUTED_VALUE"""),12.0)</f>
        <v>12</v>
      </c>
      <c r="F73" s="3">
        <f>IFERROR(__xludf.DUMMYFUNCTION("SPLIT(C73, ""-"")"),12.0)</f>
        <v>12</v>
      </c>
      <c r="G73" s="3">
        <f>IFERROR(__xludf.DUMMYFUNCTION("""COMPUTED_VALUE"""),88.0)</f>
        <v>88</v>
      </c>
      <c r="I73" s="3" t="str">
        <f t="shared" si="1"/>
        <v>y</v>
      </c>
      <c r="J73" s="3" t="str">
        <f t="shared" si="2"/>
        <v/>
      </c>
      <c r="K73" s="3" t="str">
        <f t="shared" si="3"/>
        <v/>
      </c>
      <c r="L73" s="3" t="str">
        <f t="shared" si="4"/>
        <v>y</v>
      </c>
      <c r="N73" s="3" t="str">
        <f t="shared" si="5"/>
        <v/>
      </c>
      <c r="O73" s="3" t="str">
        <f t="shared" si="6"/>
        <v/>
      </c>
      <c r="Q73" s="3" t="str">
        <f t="shared" si="7"/>
        <v/>
      </c>
      <c r="U73" s="3" t="str">
        <f t="shared" si="8"/>
        <v>Överlapp</v>
      </c>
      <c r="V73" s="3" t="str">
        <f t="shared" si="9"/>
        <v>Överlapp</v>
      </c>
      <c r="W73" s="3" t="str">
        <f t="shared" si="10"/>
        <v>Överlapp</v>
      </c>
      <c r="X73" s="3" t="str">
        <f t="shared" si="11"/>
        <v/>
      </c>
    </row>
    <row r="74">
      <c r="A74" s="1" t="s">
        <v>80</v>
      </c>
      <c r="B74" s="3" t="str">
        <f>IFERROR(__xludf.DUMMYFUNCTION("SPLIT(A74, "","")"),"75-97")</f>
        <v>75-97</v>
      </c>
      <c r="C74" s="3" t="str">
        <f>IFERROR(__xludf.DUMMYFUNCTION("""COMPUTED_VALUE"""),"14-89")</f>
        <v>14-89</v>
      </c>
      <c r="D74" s="3">
        <f>IFERROR(__xludf.DUMMYFUNCTION("SPLIT(B74, ""-"")"),75.0)</f>
        <v>75</v>
      </c>
      <c r="E74" s="3">
        <f>IFERROR(__xludf.DUMMYFUNCTION("""COMPUTED_VALUE"""),97.0)</f>
        <v>97</v>
      </c>
      <c r="F74" s="3">
        <f>IFERROR(__xludf.DUMMYFUNCTION("SPLIT(C74, ""-"")"),14.0)</f>
        <v>14</v>
      </c>
      <c r="G74" s="3">
        <f>IFERROR(__xludf.DUMMYFUNCTION("""COMPUTED_VALUE"""),89.0)</f>
        <v>89</v>
      </c>
      <c r="I74" s="3" t="str">
        <f t="shared" si="1"/>
        <v/>
      </c>
      <c r="J74" s="3" t="str">
        <f t="shared" si="2"/>
        <v>y</v>
      </c>
      <c r="K74" s="3" t="str">
        <f t="shared" si="3"/>
        <v>y</v>
      </c>
      <c r="L74" s="3" t="str">
        <f t="shared" si="4"/>
        <v/>
      </c>
      <c r="N74" s="3" t="str">
        <f t="shared" si="5"/>
        <v/>
      </c>
      <c r="O74" s="3" t="str">
        <f t="shared" si="6"/>
        <v/>
      </c>
      <c r="Q74" s="3" t="str">
        <f t="shared" si="7"/>
        <v/>
      </c>
      <c r="U74" s="3">
        <f t="shared" si="8"/>
        <v>1</v>
      </c>
      <c r="V74" s="3" t="str">
        <f t="shared" si="9"/>
        <v>Överlapp</v>
      </c>
      <c r="W74" s="3" t="str">
        <f t="shared" si="10"/>
        <v>Överlapp</v>
      </c>
      <c r="X74" s="3" t="str">
        <f t="shared" si="11"/>
        <v/>
      </c>
    </row>
    <row r="75">
      <c r="A75" s="1" t="s">
        <v>81</v>
      </c>
      <c r="B75" s="3" t="str">
        <f>IFERROR(__xludf.DUMMYFUNCTION("SPLIT(A75, "","")"),"53-87")</f>
        <v>53-87</v>
      </c>
      <c r="C75" s="3" t="str">
        <f>IFERROR(__xludf.DUMMYFUNCTION("""COMPUTED_VALUE"""),"52-88")</f>
        <v>52-88</v>
      </c>
      <c r="D75" s="3">
        <f>IFERROR(__xludf.DUMMYFUNCTION("SPLIT(B75, ""-"")"),53.0)</f>
        <v>53</v>
      </c>
      <c r="E75" s="3">
        <f>IFERROR(__xludf.DUMMYFUNCTION("""COMPUTED_VALUE"""),87.0)</f>
        <v>87</v>
      </c>
      <c r="F75" s="3">
        <f>IFERROR(__xludf.DUMMYFUNCTION("SPLIT(C75, ""-"")"),52.0)</f>
        <v>52</v>
      </c>
      <c r="G75" s="3">
        <f>IFERROR(__xludf.DUMMYFUNCTION("""COMPUTED_VALUE"""),88.0)</f>
        <v>88</v>
      </c>
      <c r="I75" s="3" t="str">
        <f t="shared" si="1"/>
        <v/>
      </c>
      <c r="J75" s="3" t="str">
        <f t="shared" si="2"/>
        <v/>
      </c>
      <c r="K75" s="3" t="str">
        <f t="shared" si="3"/>
        <v>y</v>
      </c>
      <c r="L75" s="3" t="str">
        <f t="shared" si="4"/>
        <v>y</v>
      </c>
      <c r="N75" s="3" t="str">
        <f t="shared" si="5"/>
        <v/>
      </c>
      <c r="O75" s="3">
        <f t="shared" si="6"/>
        <v>1</v>
      </c>
      <c r="Q75" s="3">
        <f t="shared" si="7"/>
        <v>1</v>
      </c>
      <c r="U75" s="3">
        <f t="shared" si="8"/>
        <v>1</v>
      </c>
      <c r="V75" s="3" t="str">
        <f t="shared" si="9"/>
        <v>Överlapp</v>
      </c>
      <c r="W75" s="3" t="str">
        <f t="shared" si="10"/>
        <v>Överlapp</v>
      </c>
      <c r="X75" s="3" t="str">
        <f t="shared" si="11"/>
        <v/>
      </c>
    </row>
    <row r="76">
      <c r="A76" s="1" t="s">
        <v>82</v>
      </c>
      <c r="B76" s="3" t="str">
        <f>IFERROR(__xludf.DUMMYFUNCTION("SPLIT(A76, "","")"),"23-45")</f>
        <v>23-45</v>
      </c>
      <c r="C76" s="3" t="str">
        <f>IFERROR(__xludf.DUMMYFUNCTION("""COMPUTED_VALUE"""),"22-86")</f>
        <v>22-86</v>
      </c>
      <c r="D76" s="3">
        <f>IFERROR(__xludf.DUMMYFUNCTION("SPLIT(B76, ""-"")"),23.0)</f>
        <v>23</v>
      </c>
      <c r="E76" s="3">
        <f>IFERROR(__xludf.DUMMYFUNCTION("""COMPUTED_VALUE"""),45.0)</f>
        <v>45</v>
      </c>
      <c r="F76" s="3">
        <f>IFERROR(__xludf.DUMMYFUNCTION("SPLIT(C76, ""-"")"),22.0)</f>
        <v>22</v>
      </c>
      <c r="G76" s="3">
        <f>IFERROR(__xludf.DUMMYFUNCTION("""COMPUTED_VALUE"""),86.0)</f>
        <v>86</v>
      </c>
      <c r="I76" s="3" t="str">
        <f t="shared" si="1"/>
        <v/>
      </c>
      <c r="J76" s="3" t="str">
        <f t="shared" si="2"/>
        <v/>
      </c>
      <c r="K76" s="3" t="str">
        <f t="shared" si="3"/>
        <v>y</v>
      </c>
      <c r="L76" s="3" t="str">
        <f t="shared" si="4"/>
        <v>y</v>
      </c>
      <c r="N76" s="3" t="str">
        <f t="shared" si="5"/>
        <v/>
      </c>
      <c r="O76" s="3">
        <f t="shared" si="6"/>
        <v>1</v>
      </c>
      <c r="Q76" s="3">
        <f t="shared" si="7"/>
        <v>1</v>
      </c>
      <c r="U76" s="3">
        <f t="shared" si="8"/>
        <v>1</v>
      </c>
      <c r="V76" s="3" t="str">
        <f t="shared" si="9"/>
        <v>Överlapp</v>
      </c>
      <c r="W76" s="3" t="str">
        <f t="shared" si="10"/>
        <v>Överlapp</v>
      </c>
      <c r="X76" s="3" t="str">
        <f t="shared" si="11"/>
        <v/>
      </c>
    </row>
    <row r="77">
      <c r="A77" s="1" t="s">
        <v>83</v>
      </c>
      <c r="B77" s="3" t="str">
        <f>IFERROR(__xludf.DUMMYFUNCTION("SPLIT(A77, "","")"),"32-78")</f>
        <v>32-78</v>
      </c>
      <c r="C77" s="3" t="str">
        <f>IFERROR(__xludf.DUMMYFUNCTION("""COMPUTED_VALUE"""),"31-78")</f>
        <v>31-78</v>
      </c>
      <c r="D77" s="3">
        <f>IFERROR(__xludf.DUMMYFUNCTION("SPLIT(B77, ""-"")"),32.0)</f>
        <v>32</v>
      </c>
      <c r="E77" s="3">
        <f>IFERROR(__xludf.DUMMYFUNCTION("""COMPUTED_VALUE"""),78.0)</f>
        <v>78</v>
      </c>
      <c r="F77" s="3">
        <f>IFERROR(__xludf.DUMMYFUNCTION("SPLIT(C77, ""-"")"),31.0)</f>
        <v>31</v>
      </c>
      <c r="G77" s="3">
        <f>IFERROR(__xludf.DUMMYFUNCTION("""COMPUTED_VALUE"""),78.0)</f>
        <v>78</v>
      </c>
      <c r="I77" s="3" t="str">
        <f t="shared" si="1"/>
        <v/>
      </c>
      <c r="J77" s="3" t="str">
        <f t="shared" si="2"/>
        <v>y</v>
      </c>
      <c r="K77" s="3" t="str">
        <f t="shared" si="3"/>
        <v>y</v>
      </c>
      <c r="L77" s="3" t="str">
        <f t="shared" si="4"/>
        <v>y</v>
      </c>
      <c r="N77" s="3" t="str">
        <f t="shared" si="5"/>
        <v/>
      </c>
      <c r="O77" s="3">
        <f t="shared" si="6"/>
        <v>1</v>
      </c>
      <c r="Q77" s="3">
        <f t="shared" si="7"/>
        <v>1</v>
      </c>
      <c r="U77" s="3" t="str">
        <f t="shared" si="8"/>
        <v>Överlapp</v>
      </c>
      <c r="V77" s="3" t="str">
        <f t="shared" si="9"/>
        <v>Överlapp</v>
      </c>
      <c r="W77" s="3" t="str">
        <f t="shared" si="10"/>
        <v>Överlapp</v>
      </c>
      <c r="X77" s="3" t="str">
        <f t="shared" si="11"/>
        <v/>
      </c>
    </row>
    <row r="78">
      <c r="A78" s="1" t="s">
        <v>84</v>
      </c>
      <c r="B78" s="3" t="str">
        <f>IFERROR(__xludf.DUMMYFUNCTION("SPLIT(A78, "","")"),"48-81")</f>
        <v>48-81</v>
      </c>
      <c r="C78" s="3" t="str">
        <f>IFERROR(__xludf.DUMMYFUNCTION("""COMPUTED_VALUE"""),"49-80")</f>
        <v>49-80</v>
      </c>
      <c r="D78" s="3">
        <f>IFERROR(__xludf.DUMMYFUNCTION("SPLIT(B78, ""-"")"),48.0)</f>
        <v>48</v>
      </c>
      <c r="E78" s="3">
        <f>IFERROR(__xludf.DUMMYFUNCTION("""COMPUTED_VALUE"""),81.0)</f>
        <v>81</v>
      </c>
      <c r="F78" s="3">
        <f>IFERROR(__xludf.DUMMYFUNCTION("SPLIT(C78, ""-"")"),49.0)</f>
        <v>49</v>
      </c>
      <c r="G78" s="3">
        <f>IFERROR(__xludf.DUMMYFUNCTION("""COMPUTED_VALUE"""),80.0)</f>
        <v>80</v>
      </c>
      <c r="I78" s="3" t="str">
        <f t="shared" si="1"/>
        <v>y</v>
      </c>
      <c r="J78" s="3" t="str">
        <f t="shared" si="2"/>
        <v>y</v>
      </c>
      <c r="K78" s="3" t="str">
        <f t="shared" si="3"/>
        <v/>
      </c>
      <c r="L78" s="3" t="str">
        <f t="shared" si="4"/>
        <v/>
      </c>
      <c r="N78" s="3">
        <f t="shared" si="5"/>
        <v>1</v>
      </c>
      <c r="O78" s="3" t="str">
        <f t="shared" si="6"/>
        <v/>
      </c>
      <c r="Q78" s="3">
        <f t="shared" si="7"/>
        <v>1</v>
      </c>
      <c r="U78" s="3">
        <f t="shared" si="8"/>
        <v>1</v>
      </c>
      <c r="V78" s="3" t="str">
        <f t="shared" si="9"/>
        <v>Överlapp</v>
      </c>
      <c r="W78" s="3" t="str">
        <f t="shared" si="10"/>
        <v>Överlapp</v>
      </c>
      <c r="X78" s="3" t="str">
        <f t="shared" si="11"/>
        <v/>
      </c>
    </row>
    <row r="79">
      <c r="A79" s="1" t="s">
        <v>85</v>
      </c>
      <c r="B79" s="3" t="str">
        <f>IFERROR(__xludf.DUMMYFUNCTION("SPLIT(A79, "","")"),"28-28")</f>
        <v>28-28</v>
      </c>
      <c r="C79" s="3" t="str">
        <f>IFERROR(__xludf.DUMMYFUNCTION("""COMPUTED_VALUE"""),"11-29")</f>
        <v>11-29</v>
      </c>
      <c r="D79" s="3">
        <f>IFERROR(__xludf.DUMMYFUNCTION("SPLIT(B79, ""-"")"),28.0)</f>
        <v>28</v>
      </c>
      <c r="E79" s="3">
        <f>IFERROR(__xludf.DUMMYFUNCTION("""COMPUTED_VALUE"""),28.0)</f>
        <v>28</v>
      </c>
      <c r="F79" s="3">
        <f>IFERROR(__xludf.DUMMYFUNCTION("SPLIT(C79, ""-"")"),11.0)</f>
        <v>11</v>
      </c>
      <c r="G79" s="3">
        <f>IFERROR(__xludf.DUMMYFUNCTION("""COMPUTED_VALUE"""),29.0)</f>
        <v>29</v>
      </c>
      <c r="I79" s="3" t="str">
        <f t="shared" si="1"/>
        <v/>
      </c>
      <c r="J79" s="3" t="str">
        <f t="shared" si="2"/>
        <v/>
      </c>
      <c r="K79" s="3" t="str">
        <f t="shared" si="3"/>
        <v>y</v>
      </c>
      <c r="L79" s="3" t="str">
        <f t="shared" si="4"/>
        <v>y</v>
      </c>
      <c r="N79" s="3" t="str">
        <f t="shared" si="5"/>
        <v/>
      </c>
      <c r="O79" s="3">
        <f t="shared" si="6"/>
        <v>1</v>
      </c>
      <c r="Q79" s="3">
        <f t="shared" si="7"/>
        <v>1</v>
      </c>
      <c r="U79" s="3">
        <f t="shared" si="8"/>
        <v>1</v>
      </c>
      <c r="V79" s="3" t="str">
        <f t="shared" si="9"/>
        <v>Överlapp</v>
      </c>
      <c r="W79" s="3" t="str">
        <f t="shared" si="10"/>
        <v>Överlapp</v>
      </c>
      <c r="X79" s="3" t="str">
        <f t="shared" si="11"/>
        <v/>
      </c>
    </row>
    <row r="80">
      <c r="A80" s="1" t="s">
        <v>86</v>
      </c>
      <c r="B80" s="3" t="str">
        <f>IFERROR(__xludf.DUMMYFUNCTION("SPLIT(A80, "","")"),"49-84")</f>
        <v>49-84</v>
      </c>
      <c r="C80" s="3" t="str">
        <f>IFERROR(__xludf.DUMMYFUNCTION("""COMPUTED_VALUE"""),"49-83")</f>
        <v>49-83</v>
      </c>
      <c r="D80" s="3">
        <f>IFERROR(__xludf.DUMMYFUNCTION("SPLIT(B80, ""-"")"),49.0)</f>
        <v>49</v>
      </c>
      <c r="E80" s="3">
        <f>IFERROR(__xludf.DUMMYFUNCTION("""COMPUTED_VALUE"""),84.0)</f>
        <v>84</v>
      </c>
      <c r="F80" s="3">
        <f>IFERROR(__xludf.DUMMYFUNCTION("SPLIT(C80, ""-"")"),49.0)</f>
        <v>49</v>
      </c>
      <c r="G80" s="3">
        <f>IFERROR(__xludf.DUMMYFUNCTION("""COMPUTED_VALUE"""),83.0)</f>
        <v>83</v>
      </c>
      <c r="I80" s="3" t="str">
        <f t="shared" si="1"/>
        <v>y</v>
      </c>
      <c r="J80" s="3" t="str">
        <f t="shared" si="2"/>
        <v>y</v>
      </c>
      <c r="K80" s="3" t="str">
        <f t="shared" si="3"/>
        <v>y</v>
      </c>
      <c r="L80" s="3" t="str">
        <f t="shared" si="4"/>
        <v/>
      </c>
      <c r="N80" s="3">
        <f t="shared" si="5"/>
        <v>1</v>
      </c>
      <c r="O80" s="3" t="str">
        <f t="shared" si="6"/>
        <v/>
      </c>
      <c r="Q80" s="3">
        <f t="shared" si="7"/>
        <v>1</v>
      </c>
      <c r="U80" s="3" t="str">
        <f t="shared" si="8"/>
        <v>Överlapp</v>
      </c>
      <c r="V80" s="3" t="str">
        <f t="shared" si="9"/>
        <v>Överlapp</v>
      </c>
      <c r="W80" s="3" t="str">
        <f t="shared" si="10"/>
        <v>Överlapp</v>
      </c>
      <c r="X80" s="3" t="str">
        <f t="shared" si="11"/>
        <v/>
      </c>
    </row>
    <row r="81">
      <c r="A81" s="1" t="s">
        <v>87</v>
      </c>
      <c r="B81" s="3" t="str">
        <f>IFERROR(__xludf.DUMMYFUNCTION("SPLIT(A81, "","")"),"19-24")</f>
        <v>19-24</v>
      </c>
      <c r="C81" s="3" t="str">
        <f>IFERROR(__xludf.DUMMYFUNCTION("""COMPUTED_VALUE"""),"20-26")</f>
        <v>20-26</v>
      </c>
      <c r="D81" s="3">
        <f>IFERROR(__xludf.DUMMYFUNCTION("SPLIT(B81, ""-"")"),19.0)</f>
        <v>19</v>
      </c>
      <c r="E81" s="3">
        <f>IFERROR(__xludf.DUMMYFUNCTION("""COMPUTED_VALUE"""),24.0)</f>
        <v>24</v>
      </c>
      <c r="F81" s="3">
        <f>IFERROR(__xludf.DUMMYFUNCTION("SPLIT(C81, ""-"")"),20.0)</f>
        <v>20</v>
      </c>
      <c r="G81" s="3">
        <f>IFERROR(__xludf.DUMMYFUNCTION("""COMPUTED_VALUE"""),26.0)</f>
        <v>26</v>
      </c>
      <c r="I81" s="3" t="str">
        <f t="shared" si="1"/>
        <v>y</v>
      </c>
      <c r="J81" s="3" t="str">
        <f t="shared" si="2"/>
        <v/>
      </c>
      <c r="K81" s="3" t="str">
        <f t="shared" si="3"/>
        <v/>
      </c>
      <c r="L81" s="3" t="str">
        <f t="shared" si="4"/>
        <v>y</v>
      </c>
      <c r="N81" s="3" t="str">
        <f t="shared" si="5"/>
        <v/>
      </c>
      <c r="O81" s="3" t="str">
        <f t="shared" si="6"/>
        <v/>
      </c>
      <c r="Q81" s="3" t="str">
        <f t="shared" si="7"/>
        <v/>
      </c>
      <c r="U81" s="3">
        <f t="shared" si="8"/>
        <v>1</v>
      </c>
      <c r="V81" s="3" t="str">
        <f t="shared" si="9"/>
        <v>Överlapp</v>
      </c>
      <c r="W81" s="3" t="str">
        <f t="shared" si="10"/>
        <v>Överlapp</v>
      </c>
      <c r="X81" s="3" t="str">
        <f t="shared" si="11"/>
        <v/>
      </c>
    </row>
    <row r="82">
      <c r="A82" s="1" t="s">
        <v>88</v>
      </c>
      <c r="B82" s="3" t="str">
        <f>IFERROR(__xludf.DUMMYFUNCTION("SPLIT(A82, "","")"),"22-32")</f>
        <v>22-32</v>
      </c>
      <c r="C82" s="3" t="str">
        <f>IFERROR(__xludf.DUMMYFUNCTION("""COMPUTED_VALUE"""),"22-31")</f>
        <v>22-31</v>
      </c>
      <c r="D82" s="3">
        <f>IFERROR(__xludf.DUMMYFUNCTION("SPLIT(B82, ""-"")"),22.0)</f>
        <v>22</v>
      </c>
      <c r="E82" s="3">
        <f>IFERROR(__xludf.DUMMYFUNCTION("""COMPUTED_VALUE"""),32.0)</f>
        <v>32</v>
      </c>
      <c r="F82" s="3">
        <f>IFERROR(__xludf.DUMMYFUNCTION("SPLIT(C82, ""-"")"),22.0)</f>
        <v>22</v>
      </c>
      <c r="G82" s="3">
        <f>IFERROR(__xludf.DUMMYFUNCTION("""COMPUTED_VALUE"""),31.0)</f>
        <v>31</v>
      </c>
      <c r="I82" s="3" t="str">
        <f t="shared" si="1"/>
        <v>y</v>
      </c>
      <c r="J82" s="3" t="str">
        <f t="shared" si="2"/>
        <v>y</v>
      </c>
      <c r="K82" s="3" t="str">
        <f t="shared" si="3"/>
        <v>y</v>
      </c>
      <c r="L82" s="3" t="str">
        <f t="shared" si="4"/>
        <v/>
      </c>
      <c r="N82" s="3">
        <f t="shared" si="5"/>
        <v>1</v>
      </c>
      <c r="O82" s="3" t="str">
        <f t="shared" si="6"/>
        <v/>
      </c>
      <c r="Q82" s="3">
        <f t="shared" si="7"/>
        <v>1</v>
      </c>
      <c r="U82" s="3" t="str">
        <f t="shared" si="8"/>
        <v>Överlapp</v>
      </c>
      <c r="V82" s="3" t="str">
        <f t="shared" si="9"/>
        <v>Överlapp</v>
      </c>
      <c r="W82" s="3" t="str">
        <f t="shared" si="10"/>
        <v>Överlapp</v>
      </c>
      <c r="X82" s="3" t="str">
        <f t="shared" si="11"/>
        <v/>
      </c>
    </row>
    <row r="83">
      <c r="A83" s="1" t="s">
        <v>89</v>
      </c>
      <c r="B83" s="3" t="str">
        <f>IFERROR(__xludf.DUMMYFUNCTION("SPLIT(A83, "","")"),"41-51")</f>
        <v>41-51</v>
      </c>
      <c r="C83" s="3" t="str">
        <f>IFERROR(__xludf.DUMMYFUNCTION("""COMPUTED_VALUE"""),"26-46")</f>
        <v>26-46</v>
      </c>
      <c r="D83" s="3">
        <f>IFERROR(__xludf.DUMMYFUNCTION("SPLIT(B83, ""-"")"),41.0)</f>
        <v>41</v>
      </c>
      <c r="E83" s="3">
        <f>IFERROR(__xludf.DUMMYFUNCTION("""COMPUTED_VALUE"""),51.0)</f>
        <v>51</v>
      </c>
      <c r="F83" s="3">
        <f>IFERROR(__xludf.DUMMYFUNCTION("SPLIT(C83, ""-"")"),26.0)</f>
        <v>26</v>
      </c>
      <c r="G83" s="3">
        <f>IFERROR(__xludf.DUMMYFUNCTION("""COMPUTED_VALUE"""),46.0)</f>
        <v>46</v>
      </c>
      <c r="I83" s="3" t="str">
        <f t="shared" si="1"/>
        <v/>
      </c>
      <c r="J83" s="3" t="str">
        <f t="shared" si="2"/>
        <v>y</v>
      </c>
      <c r="K83" s="3" t="str">
        <f t="shared" si="3"/>
        <v>y</v>
      </c>
      <c r="L83" s="3" t="str">
        <f t="shared" si="4"/>
        <v/>
      </c>
      <c r="N83" s="3" t="str">
        <f t="shared" si="5"/>
        <v/>
      </c>
      <c r="O83" s="3" t="str">
        <f t="shared" si="6"/>
        <v/>
      </c>
      <c r="Q83" s="3" t="str">
        <f t="shared" si="7"/>
        <v/>
      </c>
      <c r="U83" s="3">
        <f t="shared" si="8"/>
        <v>1</v>
      </c>
      <c r="V83" s="3" t="str">
        <f t="shared" si="9"/>
        <v>Överlapp</v>
      </c>
      <c r="W83" s="3" t="str">
        <f t="shared" si="10"/>
        <v>Överlapp</v>
      </c>
      <c r="X83" s="3" t="str">
        <f t="shared" si="11"/>
        <v/>
      </c>
    </row>
    <row r="84">
      <c r="A84" s="1" t="s">
        <v>90</v>
      </c>
      <c r="B84" s="3" t="str">
        <f>IFERROR(__xludf.DUMMYFUNCTION("SPLIT(A84, "","")"),"2-93")</f>
        <v>2-93</v>
      </c>
      <c r="C84" s="3" t="str">
        <f>IFERROR(__xludf.DUMMYFUNCTION("""COMPUTED_VALUE"""),"2-93")</f>
        <v>2-93</v>
      </c>
      <c r="D84" s="3">
        <f>IFERROR(__xludf.DUMMYFUNCTION("SPLIT(B84, ""-"")"),2.0)</f>
        <v>2</v>
      </c>
      <c r="E84" s="3">
        <f>IFERROR(__xludf.DUMMYFUNCTION("""COMPUTED_VALUE"""),93.0)</f>
        <v>93</v>
      </c>
      <c r="F84" s="3">
        <f>IFERROR(__xludf.DUMMYFUNCTION("SPLIT(C84, ""-"")"),2.0)</f>
        <v>2</v>
      </c>
      <c r="G84" s="3">
        <f>IFERROR(__xludf.DUMMYFUNCTION("""COMPUTED_VALUE"""),93.0)</f>
        <v>93</v>
      </c>
      <c r="I84" s="3" t="str">
        <f t="shared" si="1"/>
        <v>y</v>
      </c>
      <c r="J84" s="3" t="str">
        <f t="shared" si="2"/>
        <v>y</v>
      </c>
      <c r="K84" s="3" t="str">
        <f t="shared" si="3"/>
        <v>y</v>
      </c>
      <c r="L84" s="3" t="str">
        <f t="shared" si="4"/>
        <v>y</v>
      </c>
      <c r="N84" s="3">
        <f t="shared" si="5"/>
        <v>1</v>
      </c>
      <c r="O84" s="3">
        <f t="shared" si="6"/>
        <v>1</v>
      </c>
      <c r="Q84" s="3">
        <f t="shared" si="7"/>
        <v>1</v>
      </c>
      <c r="U84" s="3" t="str">
        <f t="shared" si="8"/>
        <v>Överlapp</v>
      </c>
      <c r="V84" s="3" t="str">
        <f t="shared" si="9"/>
        <v>Överlapp</v>
      </c>
      <c r="W84" s="3" t="str">
        <f t="shared" si="10"/>
        <v>Överlapp</v>
      </c>
      <c r="X84" s="3" t="str">
        <f t="shared" si="11"/>
        <v/>
      </c>
    </row>
    <row r="85">
      <c r="A85" s="1" t="s">
        <v>91</v>
      </c>
      <c r="B85" s="3" t="str">
        <f>IFERROR(__xludf.DUMMYFUNCTION("SPLIT(A85, "","")"),"24-33")</f>
        <v>24-33</v>
      </c>
      <c r="C85" s="3" t="str">
        <f>IFERROR(__xludf.DUMMYFUNCTION("""COMPUTED_VALUE"""),"27-81")</f>
        <v>27-81</v>
      </c>
      <c r="D85" s="3">
        <f>IFERROR(__xludf.DUMMYFUNCTION("SPLIT(B85, ""-"")"),24.0)</f>
        <v>24</v>
      </c>
      <c r="E85" s="3">
        <f>IFERROR(__xludf.DUMMYFUNCTION("""COMPUTED_VALUE"""),33.0)</f>
        <v>33</v>
      </c>
      <c r="F85" s="3">
        <f>IFERROR(__xludf.DUMMYFUNCTION("SPLIT(C85, ""-"")"),27.0)</f>
        <v>27</v>
      </c>
      <c r="G85" s="3">
        <f>IFERROR(__xludf.DUMMYFUNCTION("""COMPUTED_VALUE"""),81.0)</f>
        <v>81</v>
      </c>
      <c r="I85" s="3" t="str">
        <f t="shared" si="1"/>
        <v>y</v>
      </c>
      <c r="J85" s="3" t="str">
        <f t="shared" si="2"/>
        <v/>
      </c>
      <c r="K85" s="3" t="str">
        <f t="shared" si="3"/>
        <v/>
      </c>
      <c r="L85" s="3" t="str">
        <f t="shared" si="4"/>
        <v>y</v>
      </c>
      <c r="N85" s="3" t="str">
        <f t="shared" si="5"/>
        <v/>
      </c>
      <c r="O85" s="3" t="str">
        <f t="shared" si="6"/>
        <v/>
      </c>
      <c r="Q85" s="3" t="str">
        <f t="shared" si="7"/>
        <v/>
      </c>
      <c r="U85" s="3">
        <f t="shared" si="8"/>
        <v>1</v>
      </c>
      <c r="V85" s="3" t="str">
        <f t="shared" si="9"/>
        <v>Överlapp</v>
      </c>
      <c r="W85" s="3" t="str">
        <f t="shared" si="10"/>
        <v>Överlapp</v>
      </c>
      <c r="X85" s="3" t="str">
        <f t="shared" si="11"/>
        <v/>
      </c>
    </row>
    <row r="86">
      <c r="A86" s="1" t="s">
        <v>92</v>
      </c>
      <c r="B86" s="3" t="str">
        <f>IFERROR(__xludf.DUMMYFUNCTION("SPLIT(A86, "","")"),"94-94")</f>
        <v>94-94</v>
      </c>
      <c r="C86" s="3" t="str">
        <f>IFERROR(__xludf.DUMMYFUNCTION("""COMPUTED_VALUE"""),"8-94")</f>
        <v>8-94</v>
      </c>
      <c r="D86" s="3">
        <f>IFERROR(__xludf.DUMMYFUNCTION("SPLIT(B86, ""-"")"),94.0)</f>
        <v>94</v>
      </c>
      <c r="E86" s="3">
        <f>IFERROR(__xludf.DUMMYFUNCTION("""COMPUTED_VALUE"""),94.0)</f>
        <v>94</v>
      </c>
      <c r="F86" s="3">
        <f>IFERROR(__xludf.DUMMYFUNCTION("SPLIT(C86, ""-"")"),8.0)</f>
        <v>8</v>
      </c>
      <c r="G86" s="3">
        <f>IFERROR(__xludf.DUMMYFUNCTION("""COMPUTED_VALUE"""),94.0)</f>
        <v>94</v>
      </c>
      <c r="I86" s="3" t="str">
        <f t="shared" si="1"/>
        <v/>
      </c>
      <c r="J86" s="3" t="str">
        <f t="shared" si="2"/>
        <v>y</v>
      </c>
      <c r="K86" s="3" t="str">
        <f t="shared" si="3"/>
        <v>y</v>
      </c>
      <c r="L86" s="3" t="str">
        <f t="shared" si="4"/>
        <v>y</v>
      </c>
      <c r="N86" s="3" t="str">
        <f t="shared" si="5"/>
        <v/>
      </c>
      <c r="O86" s="3">
        <f t="shared" si="6"/>
        <v>1</v>
      </c>
      <c r="Q86" s="3">
        <f t="shared" si="7"/>
        <v>1</v>
      </c>
      <c r="U86" s="3" t="str">
        <f t="shared" si="8"/>
        <v>Överlapp</v>
      </c>
      <c r="V86" s="3" t="str">
        <f t="shared" si="9"/>
        <v>Överlapp</v>
      </c>
      <c r="W86" s="3" t="str">
        <f t="shared" si="10"/>
        <v>Överlapp</v>
      </c>
      <c r="X86" s="3" t="str">
        <f t="shared" si="11"/>
        <v/>
      </c>
    </row>
    <row r="87">
      <c r="A87" s="1" t="s">
        <v>93</v>
      </c>
      <c r="B87" s="3" t="str">
        <f>IFERROR(__xludf.DUMMYFUNCTION("SPLIT(A87, "","")"),"49-51")</f>
        <v>49-51</v>
      </c>
      <c r="C87" s="3" t="str">
        <f>IFERROR(__xludf.DUMMYFUNCTION("""COMPUTED_VALUE"""),"50-96")</f>
        <v>50-96</v>
      </c>
      <c r="D87" s="3">
        <f>IFERROR(__xludf.DUMMYFUNCTION("SPLIT(B87, ""-"")"),49.0)</f>
        <v>49</v>
      </c>
      <c r="E87" s="3">
        <f>IFERROR(__xludf.DUMMYFUNCTION("""COMPUTED_VALUE"""),51.0)</f>
        <v>51</v>
      </c>
      <c r="F87" s="3">
        <f>IFERROR(__xludf.DUMMYFUNCTION("SPLIT(C87, ""-"")"),50.0)</f>
        <v>50</v>
      </c>
      <c r="G87" s="3">
        <f>IFERROR(__xludf.DUMMYFUNCTION("""COMPUTED_VALUE"""),96.0)</f>
        <v>96</v>
      </c>
      <c r="I87" s="3" t="str">
        <f t="shared" si="1"/>
        <v>y</v>
      </c>
      <c r="J87" s="3" t="str">
        <f t="shared" si="2"/>
        <v/>
      </c>
      <c r="K87" s="3" t="str">
        <f t="shared" si="3"/>
        <v/>
      </c>
      <c r="L87" s="3" t="str">
        <f t="shared" si="4"/>
        <v>y</v>
      </c>
      <c r="N87" s="3" t="str">
        <f t="shared" si="5"/>
        <v/>
      </c>
      <c r="O87" s="3" t="str">
        <f t="shared" si="6"/>
        <v/>
      </c>
      <c r="Q87" s="3" t="str">
        <f t="shared" si="7"/>
        <v/>
      </c>
      <c r="U87" s="3">
        <f t="shared" si="8"/>
        <v>1</v>
      </c>
      <c r="V87" s="3" t="str">
        <f t="shared" si="9"/>
        <v>Överlapp</v>
      </c>
      <c r="W87" s="3" t="str">
        <f t="shared" si="10"/>
        <v>Överlapp</v>
      </c>
      <c r="X87" s="3" t="str">
        <f t="shared" si="11"/>
        <v/>
      </c>
    </row>
    <row r="88">
      <c r="A88" s="1" t="s">
        <v>94</v>
      </c>
      <c r="B88" s="3" t="str">
        <f>IFERROR(__xludf.DUMMYFUNCTION("SPLIT(A88, "","")"),"17-98")</f>
        <v>17-98</v>
      </c>
      <c r="C88" s="3" t="str">
        <f>IFERROR(__xludf.DUMMYFUNCTION("""COMPUTED_VALUE"""),"16-99")</f>
        <v>16-99</v>
      </c>
      <c r="D88" s="3">
        <f>IFERROR(__xludf.DUMMYFUNCTION("SPLIT(B88, ""-"")"),17.0)</f>
        <v>17</v>
      </c>
      <c r="E88" s="3">
        <f>IFERROR(__xludf.DUMMYFUNCTION("""COMPUTED_VALUE"""),98.0)</f>
        <v>98</v>
      </c>
      <c r="F88" s="3">
        <f>IFERROR(__xludf.DUMMYFUNCTION("SPLIT(C88, ""-"")"),16.0)</f>
        <v>16</v>
      </c>
      <c r="G88" s="3">
        <f>IFERROR(__xludf.DUMMYFUNCTION("""COMPUTED_VALUE"""),99.0)</f>
        <v>99</v>
      </c>
      <c r="I88" s="3" t="str">
        <f t="shared" si="1"/>
        <v/>
      </c>
      <c r="J88" s="3" t="str">
        <f t="shared" si="2"/>
        <v/>
      </c>
      <c r="K88" s="3" t="str">
        <f t="shared" si="3"/>
        <v>y</v>
      </c>
      <c r="L88" s="3" t="str">
        <f t="shared" si="4"/>
        <v>y</v>
      </c>
      <c r="N88" s="3" t="str">
        <f t="shared" si="5"/>
        <v/>
      </c>
      <c r="O88" s="3">
        <f t="shared" si="6"/>
        <v>1</v>
      </c>
      <c r="Q88" s="3">
        <f t="shared" si="7"/>
        <v>1</v>
      </c>
      <c r="U88" s="3">
        <f t="shared" si="8"/>
        <v>1</v>
      </c>
      <c r="V88" s="3" t="str">
        <f t="shared" si="9"/>
        <v>Överlapp</v>
      </c>
      <c r="W88" s="3" t="str">
        <f t="shared" si="10"/>
        <v>Överlapp</v>
      </c>
      <c r="X88" s="3" t="str">
        <f t="shared" si="11"/>
        <v/>
      </c>
    </row>
    <row r="89">
      <c r="A89" s="1" t="s">
        <v>95</v>
      </c>
      <c r="B89" s="3" t="str">
        <f>IFERROR(__xludf.DUMMYFUNCTION("SPLIT(A89, "","")"),"9-85")</f>
        <v>9-85</v>
      </c>
      <c r="C89" s="3" t="str">
        <f>IFERROR(__xludf.DUMMYFUNCTION("""COMPUTED_VALUE"""),"12-84")</f>
        <v>12-84</v>
      </c>
      <c r="D89" s="3">
        <f>IFERROR(__xludf.DUMMYFUNCTION("SPLIT(B89, ""-"")"),9.0)</f>
        <v>9</v>
      </c>
      <c r="E89" s="3">
        <f>IFERROR(__xludf.DUMMYFUNCTION("""COMPUTED_VALUE"""),85.0)</f>
        <v>85</v>
      </c>
      <c r="F89" s="3">
        <f>IFERROR(__xludf.DUMMYFUNCTION("SPLIT(C89, ""-"")"),12.0)</f>
        <v>12</v>
      </c>
      <c r="G89" s="3">
        <f>IFERROR(__xludf.DUMMYFUNCTION("""COMPUTED_VALUE"""),84.0)</f>
        <v>84</v>
      </c>
      <c r="I89" s="3" t="str">
        <f t="shared" si="1"/>
        <v>y</v>
      </c>
      <c r="J89" s="3" t="str">
        <f t="shared" si="2"/>
        <v>y</v>
      </c>
      <c r="K89" s="3" t="str">
        <f t="shared" si="3"/>
        <v/>
      </c>
      <c r="L89" s="3" t="str">
        <f t="shared" si="4"/>
        <v/>
      </c>
      <c r="N89" s="3">
        <f t="shared" si="5"/>
        <v>1</v>
      </c>
      <c r="O89" s="3" t="str">
        <f t="shared" si="6"/>
        <v/>
      </c>
      <c r="Q89" s="3">
        <f t="shared" si="7"/>
        <v>1</v>
      </c>
      <c r="U89" s="3">
        <f t="shared" si="8"/>
        <v>1</v>
      </c>
      <c r="V89" s="3" t="str">
        <f t="shared" si="9"/>
        <v>Överlapp</v>
      </c>
      <c r="W89" s="3" t="str">
        <f t="shared" si="10"/>
        <v>Överlapp</v>
      </c>
      <c r="X89" s="3" t="str">
        <f t="shared" si="11"/>
        <v/>
      </c>
    </row>
    <row r="90">
      <c r="A90" s="1" t="s">
        <v>96</v>
      </c>
      <c r="B90" s="3" t="str">
        <f>IFERROR(__xludf.DUMMYFUNCTION("SPLIT(A90, "","")"),"29-84")</f>
        <v>29-84</v>
      </c>
      <c r="C90" s="3" t="str">
        <f>IFERROR(__xludf.DUMMYFUNCTION("""COMPUTED_VALUE"""),"30-70")</f>
        <v>30-70</v>
      </c>
      <c r="D90" s="3">
        <f>IFERROR(__xludf.DUMMYFUNCTION("SPLIT(B90, ""-"")"),29.0)</f>
        <v>29</v>
      </c>
      <c r="E90" s="3">
        <f>IFERROR(__xludf.DUMMYFUNCTION("""COMPUTED_VALUE"""),84.0)</f>
        <v>84</v>
      </c>
      <c r="F90" s="3">
        <f>IFERROR(__xludf.DUMMYFUNCTION("SPLIT(C90, ""-"")"),30.0)</f>
        <v>30</v>
      </c>
      <c r="G90" s="3">
        <f>IFERROR(__xludf.DUMMYFUNCTION("""COMPUTED_VALUE"""),70.0)</f>
        <v>70</v>
      </c>
      <c r="I90" s="3" t="str">
        <f t="shared" si="1"/>
        <v>y</v>
      </c>
      <c r="J90" s="3" t="str">
        <f t="shared" si="2"/>
        <v>y</v>
      </c>
      <c r="K90" s="3" t="str">
        <f t="shared" si="3"/>
        <v/>
      </c>
      <c r="L90" s="3" t="str">
        <f t="shared" si="4"/>
        <v/>
      </c>
      <c r="N90" s="3">
        <f t="shared" si="5"/>
        <v>1</v>
      </c>
      <c r="O90" s="3" t="str">
        <f t="shared" si="6"/>
        <v/>
      </c>
      <c r="Q90" s="3">
        <f t="shared" si="7"/>
        <v>1</v>
      </c>
      <c r="U90" s="3">
        <f t="shared" si="8"/>
        <v>1</v>
      </c>
      <c r="V90" s="3" t="str">
        <f t="shared" si="9"/>
        <v>Överlapp</v>
      </c>
      <c r="W90" s="3" t="str">
        <f t="shared" si="10"/>
        <v>Överlapp</v>
      </c>
      <c r="X90" s="3" t="str">
        <f t="shared" si="11"/>
        <v/>
      </c>
    </row>
    <row r="91">
      <c r="A91" s="1" t="s">
        <v>97</v>
      </c>
      <c r="B91" s="3" t="str">
        <f>IFERROR(__xludf.DUMMYFUNCTION("SPLIT(A91, "","")"),"1-99")</f>
        <v>1-99</v>
      </c>
      <c r="C91" s="3" t="str">
        <f>IFERROR(__xludf.DUMMYFUNCTION("""COMPUTED_VALUE"""),"4-98")</f>
        <v>4-98</v>
      </c>
      <c r="D91" s="3">
        <f>IFERROR(__xludf.DUMMYFUNCTION("SPLIT(B91, ""-"")"),1.0)</f>
        <v>1</v>
      </c>
      <c r="E91" s="3">
        <f>IFERROR(__xludf.DUMMYFUNCTION("""COMPUTED_VALUE"""),99.0)</f>
        <v>99</v>
      </c>
      <c r="F91" s="3">
        <f>IFERROR(__xludf.DUMMYFUNCTION("SPLIT(C91, ""-"")"),4.0)</f>
        <v>4</v>
      </c>
      <c r="G91" s="3">
        <f>IFERROR(__xludf.DUMMYFUNCTION("""COMPUTED_VALUE"""),98.0)</f>
        <v>98</v>
      </c>
      <c r="I91" s="3" t="str">
        <f t="shared" si="1"/>
        <v>y</v>
      </c>
      <c r="J91" s="3" t="str">
        <f t="shared" si="2"/>
        <v>y</v>
      </c>
      <c r="K91" s="3" t="str">
        <f t="shared" si="3"/>
        <v/>
      </c>
      <c r="L91" s="3" t="str">
        <f t="shared" si="4"/>
        <v/>
      </c>
      <c r="N91" s="3">
        <f t="shared" si="5"/>
        <v>1</v>
      </c>
      <c r="O91" s="3" t="str">
        <f t="shared" si="6"/>
        <v/>
      </c>
      <c r="Q91" s="3">
        <f t="shared" si="7"/>
        <v>1</v>
      </c>
      <c r="U91" s="3">
        <f t="shared" si="8"/>
        <v>1</v>
      </c>
      <c r="V91" s="3" t="str">
        <f t="shared" si="9"/>
        <v>Överlapp</v>
      </c>
      <c r="W91" s="3" t="str">
        <f t="shared" si="10"/>
        <v>Överlapp</v>
      </c>
      <c r="X91" s="3" t="str">
        <f t="shared" si="11"/>
        <v/>
      </c>
    </row>
    <row r="92">
      <c r="A92" s="1" t="s">
        <v>98</v>
      </c>
      <c r="B92" s="3" t="str">
        <f>IFERROR(__xludf.DUMMYFUNCTION("SPLIT(A92, "","")"),"7-87")</f>
        <v>7-87</v>
      </c>
      <c r="C92" s="4">
        <f>IFERROR(__xludf.DUMMYFUNCTION("""COMPUTED_VALUE"""),44779.0)</f>
        <v>44779</v>
      </c>
      <c r="D92" s="3">
        <f>IFERROR(__xludf.DUMMYFUNCTION("SPLIT(B92, ""-"")"),7.0)</f>
        <v>7</v>
      </c>
      <c r="E92" s="3">
        <f>IFERROR(__xludf.DUMMYFUNCTION("""COMPUTED_VALUE"""),87.0)</f>
        <v>87</v>
      </c>
      <c r="F92" s="3">
        <f>IFERROR(__xludf.DUMMYFUNCTION("SPLIT(C92, ""-"")"),6.0)</f>
        <v>6</v>
      </c>
      <c r="G92" s="3">
        <f>IFERROR(__xludf.DUMMYFUNCTION("""COMPUTED_VALUE"""),8.0)</f>
        <v>8</v>
      </c>
      <c r="I92" s="3" t="str">
        <f t="shared" si="1"/>
        <v/>
      </c>
      <c r="J92" s="3" t="str">
        <f t="shared" si="2"/>
        <v>y</v>
      </c>
      <c r="K92" s="3" t="str">
        <f t="shared" si="3"/>
        <v>y</v>
      </c>
      <c r="L92" s="3" t="str">
        <f t="shared" si="4"/>
        <v/>
      </c>
      <c r="N92" s="3" t="str">
        <f t="shared" si="5"/>
        <v/>
      </c>
      <c r="O92" s="3" t="str">
        <f t="shared" si="6"/>
        <v/>
      </c>
      <c r="Q92" s="3" t="str">
        <f t="shared" si="7"/>
        <v/>
      </c>
      <c r="U92" s="3">
        <f t="shared" si="8"/>
        <v>1</v>
      </c>
      <c r="V92" s="3" t="str">
        <f t="shared" si="9"/>
        <v>Överlapp</v>
      </c>
      <c r="W92" s="3" t="str">
        <f t="shared" si="10"/>
        <v>Överlapp</v>
      </c>
      <c r="X92" s="3" t="str">
        <f t="shared" si="11"/>
        <v/>
      </c>
    </row>
    <row r="93">
      <c r="A93" s="1" t="s">
        <v>99</v>
      </c>
      <c r="B93" s="3" t="str">
        <f>IFERROR(__xludf.DUMMYFUNCTION("SPLIT(A93, "","")"),"7-58")</f>
        <v>7-58</v>
      </c>
      <c r="C93" s="3" t="str">
        <f>IFERROR(__xludf.DUMMYFUNCTION("""COMPUTED_VALUE"""),"19-78")</f>
        <v>19-78</v>
      </c>
      <c r="D93" s="3">
        <f>IFERROR(__xludf.DUMMYFUNCTION("SPLIT(B93, ""-"")"),7.0)</f>
        <v>7</v>
      </c>
      <c r="E93" s="3">
        <f>IFERROR(__xludf.DUMMYFUNCTION("""COMPUTED_VALUE"""),58.0)</f>
        <v>58</v>
      </c>
      <c r="F93" s="3">
        <f>IFERROR(__xludf.DUMMYFUNCTION("SPLIT(C93, ""-"")"),19.0)</f>
        <v>19</v>
      </c>
      <c r="G93" s="3">
        <f>IFERROR(__xludf.DUMMYFUNCTION("""COMPUTED_VALUE"""),78.0)</f>
        <v>78</v>
      </c>
      <c r="I93" s="3" t="str">
        <f t="shared" si="1"/>
        <v>y</v>
      </c>
      <c r="J93" s="3" t="str">
        <f t="shared" si="2"/>
        <v/>
      </c>
      <c r="K93" s="3" t="str">
        <f t="shared" si="3"/>
        <v/>
      </c>
      <c r="L93" s="3" t="str">
        <f t="shared" si="4"/>
        <v>y</v>
      </c>
      <c r="N93" s="3" t="str">
        <f t="shared" si="5"/>
        <v/>
      </c>
      <c r="O93" s="3" t="str">
        <f t="shared" si="6"/>
        <v/>
      </c>
      <c r="Q93" s="3" t="str">
        <f t="shared" si="7"/>
        <v/>
      </c>
      <c r="U93" s="3">
        <f t="shared" si="8"/>
        <v>1</v>
      </c>
      <c r="V93" s="3" t="str">
        <f t="shared" si="9"/>
        <v>Överlapp</v>
      </c>
      <c r="W93" s="3" t="str">
        <f t="shared" si="10"/>
        <v>Överlapp</v>
      </c>
      <c r="X93" s="3" t="str">
        <f t="shared" si="11"/>
        <v/>
      </c>
    </row>
    <row r="94">
      <c r="A94" s="1" t="s">
        <v>100</v>
      </c>
      <c r="B94" s="3" t="str">
        <f>IFERROR(__xludf.DUMMYFUNCTION("SPLIT(A94, "","")"),"4-94")</f>
        <v>4-94</v>
      </c>
      <c r="C94" s="4">
        <f>IFERROR(__xludf.DUMMYFUNCTION("""COMPUTED_VALUE"""),44684.0)</f>
        <v>44684</v>
      </c>
      <c r="D94" s="3">
        <f>IFERROR(__xludf.DUMMYFUNCTION("SPLIT(B94, ""-"")"),4.0)</f>
        <v>4</v>
      </c>
      <c r="E94" s="3">
        <f>IFERROR(__xludf.DUMMYFUNCTION("""COMPUTED_VALUE"""),94.0)</f>
        <v>94</v>
      </c>
      <c r="F94" s="3">
        <f>IFERROR(__xludf.DUMMYFUNCTION("SPLIT(C94, ""-"")"),3.0)</f>
        <v>3</v>
      </c>
      <c r="G94" s="3">
        <f>IFERROR(__xludf.DUMMYFUNCTION("""COMPUTED_VALUE"""),5.0)</f>
        <v>5</v>
      </c>
      <c r="I94" s="3" t="str">
        <f t="shared" si="1"/>
        <v/>
      </c>
      <c r="J94" s="3" t="str">
        <f t="shared" si="2"/>
        <v>y</v>
      </c>
      <c r="K94" s="3" t="str">
        <f t="shared" si="3"/>
        <v>y</v>
      </c>
      <c r="L94" s="3" t="str">
        <f t="shared" si="4"/>
        <v/>
      </c>
      <c r="N94" s="3" t="str">
        <f t="shared" si="5"/>
        <v/>
      </c>
      <c r="O94" s="3" t="str">
        <f t="shared" si="6"/>
        <v/>
      </c>
      <c r="Q94" s="3" t="str">
        <f t="shared" si="7"/>
        <v/>
      </c>
      <c r="U94" s="3">
        <f t="shared" si="8"/>
        <v>1</v>
      </c>
      <c r="V94" s="3" t="str">
        <f t="shared" si="9"/>
        <v>Överlapp</v>
      </c>
      <c r="W94" s="3" t="str">
        <f t="shared" si="10"/>
        <v>Överlapp</v>
      </c>
      <c r="X94" s="3" t="str">
        <f t="shared" si="11"/>
        <v/>
      </c>
    </row>
    <row r="95">
      <c r="A95" s="1" t="s">
        <v>101</v>
      </c>
      <c r="B95" s="3" t="str">
        <f>IFERROR(__xludf.DUMMYFUNCTION("SPLIT(A95, "","")"),"2-99")</f>
        <v>2-99</v>
      </c>
      <c r="C95" s="4">
        <f>IFERROR(__xludf.DUMMYFUNCTION("""COMPUTED_VALUE"""),44562.0)</f>
        <v>44562</v>
      </c>
      <c r="D95" s="3">
        <f>IFERROR(__xludf.DUMMYFUNCTION("SPLIT(B95, ""-"")"),2.0)</f>
        <v>2</v>
      </c>
      <c r="E95" s="3">
        <f>IFERROR(__xludf.DUMMYFUNCTION("""COMPUTED_VALUE"""),99.0)</f>
        <v>99</v>
      </c>
      <c r="F95" s="3">
        <f>IFERROR(__xludf.DUMMYFUNCTION("SPLIT(C95, ""-"")"),1.0)</f>
        <v>1</v>
      </c>
      <c r="G95" s="3">
        <f>IFERROR(__xludf.DUMMYFUNCTION("""COMPUTED_VALUE"""),1.0)</f>
        <v>1</v>
      </c>
      <c r="I95" s="3" t="str">
        <f t="shared" si="1"/>
        <v/>
      </c>
      <c r="J95" s="3" t="str">
        <f t="shared" si="2"/>
        <v>y</v>
      </c>
      <c r="K95" s="3" t="str">
        <f t="shared" si="3"/>
        <v>y</v>
      </c>
      <c r="L95" s="3" t="str">
        <f t="shared" si="4"/>
        <v/>
      </c>
      <c r="N95" s="3" t="str">
        <f t="shared" si="5"/>
        <v/>
      </c>
      <c r="O95" s="3" t="str">
        <f t="shared" si="6"/>
        <v/>
      </c>
      <c r="Q95" s="3" t="str">
        <f t="shared" si="7"/>
        <v/>
      </c>
      <c r="U95" s="3">
        <f t="shared" si="8"/>
        <v>1</v>
      </c>
      <c r="V95" s="3" t="str">
        <f t="shared" si="9"/>
        <v>Överlapp</v>
      </c>
      <c r="W95" s="3">
        <f t="shared" si="10"/>
        <v>1</v>
      </c>
      <c r="X95" s="3">
        <f t="shared" si="11"/>
        <v>1</v>
      </c>
    </row>
    <row r="96">
      <c r="A96" s="1" t="s">
        <v>102</v>
      </c>
      <c r="B96" s="3" t="str">
        <f>IFERROR(__xludf.DUMMYFUNCTION("SPLIT(A96, "","")"),"8-57")</f>
        <v>8-57</v>
      </c>
      <c r="C96" s="3" t="str">
        <f>IFERROR(__xludf.DUMMYFUNCTION("""COMPUTED_VALUE"""),"2-77")</f>
        <v>2-77</v>
      </c>
      <c r="D96" s="3">
        <f>IFERROR(__xludf.DUMMYFUNCTION("SPLIT(B96, ""-"")"),8.0)</f>
        <v>8</v>
      </c>
      <c r="E96" s="3">
        <f>IFERROR(__xludf.DUMMYFUNCTION("""COMPUTED_VALUE"""),57.0)</f>
        <v>57</v>
      </c>
      <c r="F96" s="3">
        <f>IFERROR(__xludf.DUMMYFUNCTION("SPLIT(C96, ""-"")"),2.0)</f>
        <v>2</v>
      </c>
      <c r="G96" s="3">
        <f>IFERROR(__xludf.DUMMYFUNCTION("""COMPUTED_VALUE"""),77.0)</f>
        <v>77</v>
      </c>
      <c r="I96" s="3" t="str">
        <f t="shared" si="1"/>
        <v/>
      </c>
      <c r="J96" s="3" t="str">
        <f t="shared" si="2"/>
        <v/>
      </c>
      <c r="K96" s="3" t="str">
        <f t="shared" si="3"/>
        <v>y</v>
      </c>
      <c r="L96" s="3" t="str">
        <f t="shared" si="4"/>
        <v>y</v>
      </c>
      <c r="N96" s="3" t="str">
        <f t="shared" si="5"/>
        <v/>
      </c>
      <c r="O96" s="3">
        <f t="shared" si="6"/>
        <v>1</v>
      </c>
      <c r="Q96" s="3">
        <f t="shared" si="7"/>
        <v>1</v>
      </c>
      <c r="U96" s="3">
        <f t="shared" si="8"/>
        <v>1</v>
      </c>
      <c r="V96" s="3" t="str">
        <f t="shared" si="9"/>
        <v>Överlapp</v>
      </c>
      <c r="W96" s="3" t="str">
        <f t="shared" si="10"/>
        <v>Överlapp</v>
      </c>
      <c r="X96" s="3" t="str">
        <f t="shared" si="11"/>
        <v/>
      </c>
    </row>
    <row r="97">
      <c r="A97" s="1" t="s">
        <v>103</v>
      </c>
      <c r="B97" s="3" t="str">
        <f>IFERROR(__xludf.DUMMYFUNCTION("SPLIT(A97, "","")"),"19-57")</f>
        <v>19-57</v>
      </c>
      <c r="C97" s="3" t="str">
        <f>IFERROR(__xludf.DUMMYFUNCTION("""COMPUTED_VALUE"""),"20-57")</f>
        <v>20-57</v>
      </c>
      <c r="D97" s="3">
        <f>IFERROR(__xludf.DUMMYFUNCTION("SPLIT(B97, ""-"")"),19.0)</f>
        <v>19</v>
      </c>
      <c r="E97" s="3">
        <f>IFERROR(__xludf.DUMMYFUNCTION("""COMPUTED_VALUE"""),57.0)</f>
        <v>57</v>
      </c>
      <c r="F97" s="3">
        <f>IFERROR(__xludf.DUMMYFUNCTION("SPLIT(C97, ""-"")"),20.0)</f>
        <v>20</v>
      </c>
      <c r="G97" s="3">
        <f>IFERROR(__xludf.DUMMYFUNCTION("""COMPUTED_VALUE"""),57.0)</f>
        <v>57</v>
      </c>
      <c r="I97" s="3" t="str">
        <f t="shared" si="1"/>
        <v>y</v>
      </c>
      <c r="J97" s="3" t="str">
        <f t="shared" si="2"/>
        <v>y</v>
      </c>
      <c r="K97" s="3" t="str">
        <f t="shared" si="3"/>
        <v/>
      </c>
      <c r="L97" s="3" t="str">
        <f t="shared" si="4"/>
        <v>y</v>
      </c>
      <c r="N97" s="3">
        <f t="shared" si="5"/>
        <v>1</v>
      </c>
      <c r="O97" s="3" t="str">
        <f t="shared" si="6"/>
        <v/>
      </c>
      <c r="Q97" s="3">
        <f t="shared" si="7"/>
        <v>1</v>
      </c>
      <c r="U97" s="3" t="str">
        <f t="shared" si="8"/>
        <v>Överlapp</v>
      </c>
      <c r="V97" s="3" t="str">
        <f t="shared" si="9"/>
        <v>Överlapp</v>
      </c>
      <c r="W97" s="3" t="str">
        <f t="shared" si="10"/>
        <v>Överlapp</v>
      </c>
      <c r="X97" s="3" t="str">
        <f t="shared" si="11"/>
        <v/>
      </c>
    </row>
    <row r="98">
      <c r="A98" s="1" t="s">
        <v>104</v>
      </c>
      <c r="B98" s="3" t="str">
        <f>IFERROR(__xludf.DUMMYFUNCTION("SPLIT(A98, "","")"),"73-73")</f>
        <v>73-73</v>
      </c>
      <c r="C98" s="3" t="str">
        <f>IFERROR(__xludf.DUMMYFUNCTION("""COMPUTED_VALUE"""),"38-74")</f>
        <v>38-74</v>
      </c>
      <c r="D98" s="3">
        <f>IFERROR(__xludf.DUMMYFUNCTION("SPLIT(B98, ""-"")"),73.0)</f>
        <v>73</v>
      </c>
      <c r="E98" s="3">
        <f>IFERROR(__xludf.DUMMYFUNCTION("""COMPUTED_VALUE"""),73.0)</f>
        <v>73</v>
      </c>
      <c r="F98" s="3">
        <f>IFERROR(__xludf.DUMMYFUNCTION("SPLIT(C98, ""-"")"),38.0)</f>
        <v>38</v>
      </c>
      <c r="G98" s="3">
        <f>IFERROR(__xludf.DUMMYFUNCTION("""COMPUTED_VALUE"""),74.0)</f>
        <v>74</v>
      </c>
      <c r="I98" s="3" t="str">
        <f t="shared" si="1"/>
        <v/>
      </c>
      <c r="J98" s="3" t="str">
        <f t="shared" si="2"/>
        <v/>
      </c>
      <c r="K98" s="3" t="str">
        <f t="shared" si="3"/>
        <v>y</v>
      </c>
      <c r="L98" s="3" t="str">
        <f t="shared" si="4"/>
        <v>y</v>
      </c>
      <c r="N98" s="3" t="str">
        <f t="shared" si="5"/>
        <v/>
      </c>
      <c r="O98" s="3">
        <f t="shared" si="6"/>
        <v>1</v>
      </c>
      <c r="Q98" s="3">
        <f t="shared" si="7"/>
        <v>1</v>
      </c>
      <c r="U98" s="3">
        <f t="shared" si="8"/>
        <v>1</v>
      </c>
      <c r="V98" s="3" t="str">
        <f t="shared" si="9"/>
        <v>Överlapp</v>
      </c>
      <c r="W98" s="3" t="str">
        <f t="shared" si="10"/>
        <v>Överlapp</v>
      </c>
      <c r="X98" s="3" t="str">
        <f t="shared" si="11"/>
        <v/>
      </c>
    </row>
    <row r="99">
      <c r="A99" s="1" t="s">
        <v>105</v>
      </c>
      <c r="B99" s="3" t="str">
        <f>IFERROR(__xludf.DUMMYFUNCTION("SPLIT(A99, "","")"),"33-99")</f>
        <v>33-99</v>
      </c>
      <c r="C99" s="3" t="str">
        <f>IFERROR(__xludf.DUMMYFUNCTION("""COMPUTED_VALUE"""),"26-98")</f>
        <v>26-98</v>
      </c>
      <c r="D99" s="3">
        <f>IFERROR(__xludf.DUMMYFUNCTION("SPLIT(B99, ""-"")"),33.0)</f>
        <v>33</v>
      </c>
      <c r="E99" s="3">
        <f>IFERROR(__xludf.DUMMYFUNCTION("""COMPUTED_VALUE"""),99.0)</f>
        <v>99</v>
      </c>
      <c r="F99" s="3">
        <f>IFERROR(__xludf.DUMMYFUNCTION("SPLIT(C99, ""-"")"),26.0)</f>
        <v>26</v>
      </c>
      <c r="G99" s="3">
        <f>IFERROR(__xludf.DUMMYFUNCTION("""COMPUTED_VALUE"""),98.0)</f>
        <v>98</v>
      </c>
      <c r="I99" s="3" t="str">
        <f t="shared" si="1"/>
        <v/>
      </c>
      <c r="J99" s="3" t="str">
        <f t="shared" si="2"/>
        <v>y</v>
      </c>
      <c r="K99" s="3" t="str">
        <f t="shared" si="3"/>
        <v>y</v>
      </c>
      <c r="L99" s="3" t="str">
        <f t="shared" si="4"/>
        <v/>
      </c>
      <c r="N99" s="3" t="str">
        <f t="shared" si="5"/>
        <v/>
      </c>
      <c r="O99" s="3" t="str">
        <f t="shared" si="6"/>
        <v/>
      </c>
      <c r="Q99" s="3" t="str">
        <f t="shared" si="7"/>
        <v/>
      </c>
      <c r="U99" s="3">
        <f t="shared" si="8"/>
        <v>1</v>
      </c>
      <c r="V99" s="3" t="str">
        <f t="shared" si="9"/>
        <v>Överlapp</v>
      </c>
      <c r="W99" s="3" t="str">
        <f t="shared" si="10"/>
        <v>Överlapp</v>
      </c>
      <c r="X99" s="3" t="str">
        <f t="shared" si="11"/>
        <v/>
      </c>
    </row>
    <row r="100">
      <c r="A100" s="1" t="s">
        <v>106</v>
      </c>
      <c r="B100" s="3" t="str">
        <f>IFERROR(__xludf.DUMMYFUNCTION("SPLIT(A100, "","")"),"32-64")</f>
        <v>32-64</v>
      </c>
      <c r="C100" s="3" t="str">
        <f>IFERROR(__xludf.DUMMYFUNCTION("""COMPUTED_VALUE"""),"45-65")</f>
        <v>45-65</v>
      </c>
      <c r="D100" s="3">
        <f>IFERROR(__xludf.DUMMYFUNCTION("SPLIT(B100, ""-"")"),32.0)</f>
        <v>32</v>
      </c>
      <c r="E100" s="3">
        <f>IFERROR(__xludf.DUMMYFUNCTION("""COMPUTED_VALUE"""),64.0)</f>
        <v>64</v>
      </c>
      <c r="F100" s="3">
        <f>IFERROR(__xludf.DUMMYFUNCTION("SPLIT(C100, ""-"")"),45.0)</f>
        <v>45</v>
      </c>
      <c r="G100" s="3">
        <f>IFERROR(__xludf.DUMMYFUNCTION("""COMPUTED_VALUE"""),65.0)</f>
        <v>65</v>
      </c>
      <c r="I100" s="3" t="str">
        <f t="shared" si="1"/>
        <v>y</v>
      </c>
      <c r="J100" s="3" t="str">
        <f t="shared" si="2"/>
        <v/>
      </c>
      <c r="K100" s="3" t="str">
        <f t="shared" si="3"/>
        <v/>
      </c>
      <c r="L100" s="3" t="str">
        <f t="shared" si="4"/>
        <v>y</v>
      </c>
      <c r="N100" s="3" t="str">
        <f t="shared" si="5"/>
        <v/>
      </c>
      <c r="O100" s="3" t="str">
        <f t="shared" si="6"/>
        <v/>
      </c>
      <c r="Q100" s="3" t="str">
        <f t="shared" si="7"/>
        <v/>
      </c>
      <c r="U100" s="3">
        <f t="shared" si="8"/>
        <v>1</v>
      </c>
      <c r="V100" s="3" t="str">
        <f t="shared" si="9"/>
        <v>Överlapp</v>
      </c>
      <c r="W100" s="3" t="str">
        <f t="shared" si="10"/>
        <v>Överlapp</v>
      </c>
      <c r="X100" s="3" t="str">
        <f t="shared" si="11"/>
        <v/>
      </c>
    </row>
    <row r="101">
      <c r="A101" s="1" t="s">
        <v>107</v>
      </c>
      <c r="B101" s="3" t="str">
        <f>IFERROR(__xludf.DUMMYFUNCTION("SPLIT(A101, "","")"),"3-89")</f>
        <v>3-89</v>
      </c>
      <c r="C101" s="3" t="str">
        <f>IFERROR(__xludf.DUMMYFUNCTION("""COMPUTED_VALUE"""),"1-99")</f>
        <v>1-99</v>
      </c>
      <c r="D101" s="3">
        <f>IFERROR(__xludf.DUMMYFUNCTION("SPLIT(B101, ""-"")"),3.0)</f>
        <v>3</v>
      </c>
      <c r="E101" s="3">
        <f>IFERROR(__xludf.DUMMYFUNCTION("""COMPUTED_VALUE"""),89.0)</f>
        <v>89</v>
      </c>
      <c r="F101" s="3">
        <f>IFERROR(__xludf.DUMMYFUNCTION("SPLIT(C101, ""-"")"),1.0)</f>
        <v>1</v>
      </c>
      <c r="G101" s="3">
        <f>IFERROR(__xludf.DUMMYFUNCTION("""COMPUTED_VALUE"""),99.0)</f>
        <v>99</v>
      </c>
      <c r="I101" s="3" t="str">
        <f t="shared" si="1"/>
        <v/>
      </c>
      <c r="J101" s="3" t="str">
        <f t="shared" si="2"/>
        <v/>
      </c>
      <c r="K101" s="3" t="str">
        <f t="shared" si="3"/>
        <v>y</v>
      </c>
      <c r="L101" s="3" t="str">
        <f t="shared" si="4"/>
        <v>y</v>
      </c>
      <c r="N101" s="3" t="str">
        <f t="shared" si="5"/>
        <v/>
      </c>
      <c r="O101" s="3">
        <f t="shared" si="6"/>
        <v>1</v>
      </c>
      <c r="Q101" s="3">
        <f t="shared" si="7"/>
        <v>1</v>
      </c>
      <c r="U101" s="3">
        <f t="shared" si="8"/>
        <v>1</v>
      </c>
      <c r="V101" s="3" t="str">
        <f t="shared" si="9"/>
        <v>Överlapp</v>
      </c>
      <c r="W101" s="3" t="str">
        <f t="shared" si="10"/>
        <v>Överlapp</v>
      </c>
      <c r="X101" s="3" t="str">
        <f t="shared" si="11"/>
        <v/>
      </c>
    </row>
    <row r="102">
      <c r="A102" s="1" t="s">
        <v>108</v>
      </c>
      <c r="B102" s="3" t="str">
        <f>IFERROR(__xludf.DUMMYFUNCTION("SPLIT(A102, "","")"),"35-78")</f>
        <v>35-78</v>
      </c>
      <c r="C102" s="3" t="str">
        <f>IFERROR(__xludf.DUMMYFUNCTION("""COMPUTED_VALUE"""),"34-78")</f>
        <v>34-78</v>
      </c>
      <c r="D102" s="3">
        <f>IFERROR(__xludf.DUMMYFUNCTION("SPLIT(B102, ""-"")"),35.0)</f>
        <v>35</v>
      </c>
      <c r="E102" s="3">
        <f>IFERROR(__xludf.DUMMYFUNCTION("""COMPUTED_VALUE"""),78.0)</f>
        <v>78</v>
      </c>
      <c r="F102" s="3">
        <f>IFERROR(__xludf.DUMMYFUNCTION("SPLIT(C102, ""-"")"),34.0)</f>
        <v>34</v>
      </c>
      <c r="G102" s="3">
        <f>IFERROR(__xludf.DUMMYFUNCTION("""COMPUTED_VALUE"""),78.0)</f>
        <v>78</v>
      </c>
      <c r="I102" s="3" t="str">
        <f t="shared" si="1"/>
        <v/>
      </c>
      <c r="J102" s="3" t="str">
        <f t="shared" si="2"/>
        <v>y</v>
      </c>
      <c r="K102" s="3" t="str">
        <f t="shared" si="3"/>
        <v>y</v>
      </c>
      <c r="L102" s="3" t="str">
        <f t="shared" si="4"/>
        <v>y</v>
      </c>
      <c r="N102" s="3" t="str">
        <f t="shared" si="5"/>
        <v/>
      </c>
      <c r="O102" s="3">
        <f t="shared" si="6"/>
        <v>1</v>
      </c>
      <c r="Q102" s="3">
        <f t="shared" si="7"/>
        <v>1</v>
      </c>
      <c r="U102" s="3" t="str">
        <f t="shared" si="8"/>
        <v>Överlapp</v>
      </c>
      <c r="V102" s="3" t="str">
        <f t="shared" si="9"/>
        <v>Överlapp</v>
      </c>
      <c r="W102" s="3" t="str">
        <f t="shared" si="10"/>
        <v>Överlapp</v>
      </c>
      <c r="X102" s="3" t="str">
        <f t="shared" si="11"/>
        <v/>
      </c>
    </row>
    <row r="103">
      <c r="A103" s="1" t="s">
        <v>109</v>
      </c>
      <c r="B103" s="3" t="str">
        <f>IFERROR(__xludf.DUMMYFUNCTION("SPLIT(A103, "","")"),"32-58")</f>
        <v>32-58</v>
      </c>
      <c r="C103" s="3" t="str">
        <f>IFERROR(__xludf.DUMMYFUNCTION("""COMPUTED_VALUE"""),"32-57")</f>
        <v>32-57</v>
      </c>
      <c r="D103" s="3">
        <f>IFERROR(__xludf.DUMMYFUNCTION("SPLIT(B103, ""-"")"),32.0)</f>
        <v>32</v>
      </c>
      <c r="E103" s="3">
        <f>IFERROR(__xludf.DUMMYFUNCTION("""COMPUTED_VALUE"""),58.0)</f>
        <v>58</v>
      </c>
      <c r="F103" s="3">
        <f>IFERROR(__xludf.DUMMYFUNCTION("SPLIT(C103, ""-"")"),32.0)</f>
        <v>32</v>
      </c>
      <c r="G103" s="3">
        <f>IFERROR(__xludf.DUMMYFUNCTION("""COMPUTED_VALUE"""),57.0)</f>
        <v>57</v>
      </c>
      <c r="I103" s="3" t="str">
        <f t="shared" si="1"/>
        <v>y</v>
      </c>
      <c r="J103" s="3" t="str">
        <f t="shared" si="2"/>
        <v>y</v>
      </c>
      <c r="K103" s="3" t="str">
        <f t="shared" si="3"/>
        <v>y</v>
      </c>
      <c r="L103" s="3" t="str">
        <f t="shared" si="4"/>
        <v/>
      </c>
      <c r="N103" s="3">
        <f t="shared" si="5"/>
        <v>1</v>
      </c>
      <c r="O103" s="3" t="str">
        <f t="shared" si="6"/>
        <v/>
      </c>
      <c r="Q103" s="3">
        <f t="shared" si="7"/>
        <v>1</v>
      </c>
      <c r="U103" s="3" t="str">
        <f t="shared" si="8"/>
        <v>Överlapp</v>
      </c>
      <c r="V103" s="3" t="str">
        <f t="shared" si="9"/>
        <v>Överlapp</v>
      </c>
      <c r="W103" s="3" t="str">
        <f t="shared" si="10"/>
        <v>Överlapp</v>
      </c>
      <c r="X103" s="3" t="str">
        <f t="shared" si="11"/>
        <v/>
      </c>
    </row>
    <row r="104">
      <c r="A104" s="1" t="s">
        <v>110</v>
      </c>
      <c r="B104" s="3" t="str">
        <f>IFERROR(__xludf.DUMMYFUNCTION("SPLIT(A104, "","")"),"6-98")</f>
        <v>6-98</v>
      </c>
      <c r="C104" s="3" t="str">
        <f>IFERROR(__xludf.DUMMYFUNCTION("""COMPUTED_VALUE"""),"85-88")</f>
        <v>85-88</v>
      </c>
      <c r="D104" s="3">
        <f>IFERROR(__xludf.DUMMYFUNCTION("SPLIT(B104, ""-"")"),6.0)</f>
        <v>6</v>
      </c>
      <c r="E104" s="3">
        <f>IFERROR(__xludf.DUMMYFUNCTION("""COMPUTED_VALUE"""),98.0)</f>
        <v>98</v>
      </c>
      <c r="F104" s="3">
        <f>IFERROR(__xludf.DUMMYFUNCTION("SPLIT(C104, ""-"")"),85.0)</f>
        <v>85</v>
      </c>
      <c r="G104" s="3">
        <f>IFERROR(__xludf.DUMMYFUNCTION("""COMPUTED_VALUE"""),88.0)</f>
        <v>88</v>
      </c>
      <c r="I104" s="3" t="str">
        <f t="shared" si="1"/>
        <v>y</v>
      </c>
      <c r="J104" s="3" t="str">
        <f t="shared" si="2"/>
        <v>y</v>
      </c>
      <c r="K104" s="3" t="str">
        <f t="shared" si="3"/>
        <v/>
      </c>
      <c r="L104" s="3" t="str">
        <f t="shared" si="4"/>
        <v/>
      </c>
      <c r="N104" s="3">
        <f t="shared" si="5"/>
        <v>1</v>
      </c>
      <c r="O104" s="3" t="str">
        <f t="shared" si="6"/>
        <v/>
      </c>
      <c r="Q104" s="3">
        <f t="shared" si="7"/>
        <v>1</v>
      </c>
      <c r="U104" s="3">
        <f t="shared" si="8"/>
        <v>1</v>
      </c>
      <c r="V104" s="3" t="str">
        <f t="shared" si="9"/>
        <v>Överlapp</v>
      </c>
      <c r="W104" s="3" t="str">
        <f t="shared" si="10"/>
        <v>Överlapp</v>
      </c>
      <c r="X104" s="3" t="str">
        <f t="shared" si="11"/>
        <v/>
      </c>
    </row>
    <row r="105">
      <c r="A105" s="1" t="s">
        <v>111</v>
      </c>
      <c r="B105" s="3" t="str">
        <f>IFERROR(__xludf.DUMMYFUNCTION("SPLIT(A105, "","")"),"68-85")</f>
        <v>68-85</v>
      </c>
      <c r="C105" s="3" t="str">
        <f>IFERROR(__xludf.DUMMYFUNCTION("""COMPUTED_VALUE"""),"72-95")</f>
        <v>72-95</v>
      </c>
      <c r="D105" s="3">
        <f>IFERROR(__xludf.DUMMYFUNCTION("SPLIT(B105, ""-"")"),68.0)</f>
        <v>68</v>
      </c>
      <c r="E105" s="3">
        <f>IFERROR(__xludf.DUMMYFUNCTION("""COMPUTED_VALUE"""),85.0)</f>
        <v>85</v>
      </c>
      <c r="F105" s="3">
        <f>IFERROR(__xludf.DUMMYFUNCTION("SPLIT(C105, ""-"")"),72.0)</f>
        <v>72</v>
      </c>
      <c r="G105" s="3">
        <f>IFERROR(__xludf.DUMMYFUNCTION("""COMPUTED_VALUE"""),95.0)</f>
        <v>95</v>
      </c>
      <c r="I105" s="3" t="str">
        <f t="shared" si="1"/>
        <v>y</v>
      </c>
      <c r="J105" s="3" t="str">
        <f t="shared" si="2"/>
        <v/>
      </c>
      <c r="K105" s="3" t="str">
        <f t="shared" si="3"/>
        <v/>
      </c>
      <c r="L105" s="3" t="str">
        <f t="shared" si="4"/>
        <v>y</v>
      </c>
      <c r="N105" s="3" t="str">
        <f t="shared" si="5"/>
        <v/>
      </c>
      <c r="O105" s="3" t="str">
        <f t="shared" si="6"/>
        <v/>
      </c>
      <c r="Q105" s="3" t="str">
        <f t="shared" si="7"/>
        <v/>
      </c>
      <c r="U105" s="3">
        <f t="shared" si="8"/>
        <v>1</v>
      </c>
      <c r="V105" s="3" t="str">
        <f t="shared" si="9"/>
        <v>Överlapp</v>
      </c>
      <c r="W105" s="3" t="str">
        <f t="shared" si="10"/>
        <v>Överlapp</v>
      </c>
      <c r="X105" s="3" t="str">
        <f t="shared" si="11"/>
        <v/>
      </c>
    </row>
    <row r="106">
      <c r="A106" s="1" t="s">
        <v>112</v>
      </c>
      <c r="B106" s="3" t="str">
        <f>IFERROR(__xludf.DUMMYFUNCTION("SPLIT(A106, "","")"),"2-92")</f>
        <v>2-92</v>
      </c>
      <c r="C106" s="3" t="str">
        <f>IFERROR(__xludf.DUMMYFUNCTION("""COMPUTED_VALUE"""),"2-92")</f>
        <v>2-92</v>
      </c>
      <c r="D106" s="3">
        <f>IFERROR(__xludf.DUMMYFUNCTION("SPLIT(B106, ""-"")"),2.0)</f>
        <v>2</v>
      </c>
      <c r="E106" s="3">
        <f>IFERROR(__xludf.DUMMYFUNCTION("""COMPUTED_VALUE"""),92.0)</f>
        <v>92</v>
      </c>
      <c r="F106" s="3">
        <f>IFERROR(__xludf.DUMMYFUNCTION("SPLIT(C106, ""-"")"),2.0)</f>
        <v>2</v>
      </c>
      <c r="G106" s="3">
        <f>IFERROR(__xludf.DUMMYFUNCTION("""COMPUTED_VALUE"""),92.0)</f>
        <v>92</v>
      </c>
      <c r="I106" s="3" t="str">
        <f t="shared" si="1"/>
        <v>y</v>
      </c>
      <c r="J106" s="3" t="str">
        <f t="shared" si="2"/>
        <v>y</v>
      </c>
      <c r="K106" s="3" t="str">
        <f t="shared" si="3"/>
        <v>y</v>
      </c>
      <c r="L106" s="3" t="str">
        <f t="shared" si="4"/>
        <v>y</v>
      </c>
      <c r="N106" s="3">
        <f t="shared" si="5"/>
        <v>1</v>
      </c>
      <c r="O106" s="3">
        <f t="shared" si="6"/>
        <v>1</v>
      </c>
      <c r="Q106" s="3">
        <f t="shared" si="7"/>
        <v>1</v>
      </c>
      <c r="U106" s="3" t="str">
        <f t="shared" si="8"/>
        <v>Överlapp</v>
      </c>
      <c r="V106" s="3" t="str">
        <f t="shared" si="9"/>
        <v>Överlapp</v>
      </c>
      <c r="W106" s="3" t="str">
        <f t="shared" si="10"/>
        <v>Överlapp</v>
      </c>
      <c r="X106" s="3" t="str">
        <f t="shared" si="11"/>
        <v/>
      </c>
    </row>
    <row r="107">
      <c r="A107" s="1" t="s">
        <v>113</v>
      </c>
      <c r="B107" s="3" t="str">
        <f>IFERROR(__xludf.DUMMYFUNCTION("SPLIT(A107, "","")"),"10-41")</f>
        <v>10-41</v>
      </c>
      <c r="C107" s="3" t="str">
        <f>IFERROR(__xludf.DUMMYFUNCTION("""COMPUTED_VALUE"""),"9-74")</f>
        <v>9-74</v>
      </c>
      <c r="D107" s="3">
        <f>IFERROR(__xludf.DUMMYFUNCTION("SPLIT(B107, ""-"")"),10.0)</f>
        <v>10</v>
      </c>
      <c r="E107" s="3">
        <f>IFERROR(__xludf.DUMMYFUNCTION("""COMPUTED_VALUE"""),41.0)</f>
        <v>41</v>
      </c>
      <c r="F107" s="3">
        <f>IFERROR(__xludf.DUMMYFUNCTION("SPLIT(C107, ""-"")"),9.0)</f>
        <v>9</v>
      </c>
      <c r="G107" s="3">
        <f>IFERROR(__xludf.DUMMYFUNCTION("""COMPUTED_VALUE"""),74.0)</f>
        <v>74</v>
      </c>
      <c r="I107" s="3" t="str">
        <f t="shared" si="1"/>
        <v/>
      </c>
      <c r="J107" s="3" t="str">
        <f t="shared" si="2"/>
        <v/>
      </c>
      <c r="K107" s="3" t="str">
        <f t="shared" si="3"/>
        <v>y</v>
      </c>
      <c r="L107" s="3" t="str">
        <f t="shared" si="4"/>
        <v>y</v>
      </c>
      <c r="N107" s="3" t="str">
        <f t="shared" si="5"/>
        <v/>
      </c>
      <c r="O107" s="3">
        <f t="shared" si="6"/>
        <v>1</v>
      </c>
      <c r="Q107" s="3">
        <f t="shared" si="7"/>
        <v>1</v>
      </c>
      <c r="U107" s="3">
        <f t="shared" si="8"/>
        <v>1</v>
      </c>
      <c r="V107" s="3" t="str">
        <f t="shared" si="9"/>
        <v>Överlapp</v>
      </c>
      <c r="W107" s="3" t="str">
        <f t="shared" si="10"/>
        <v>Överlapp</v>
      </c>
      <c r="X107" s="3" t="str">
        <f t="shared" si="11"/>
        <v/>
      </c>
    </row>
    <row r="108">
      <c r="A108" s="1" t="s">
        <v>114</v>
      </c>
      <c r="B108" s="3" t="str">
        <f>IFERROR(__xludf.DUMMYFUNCTION("SPLIT(A108, "","")"),"4-43")</f>
        <v>4-43</v>
      </c>
      <c r="C108" s="3" t="str">
        <f>IFERROR(__xludf.DUMMYFUNCTION("""COMPUTED_VALUE"""),"1-39")</f>
        <v>1-39</v>
      </c>
      <c r="D108" s="3">
        <f>IFERROR(__xludf.DUMMYFUNCTION("SPLIT(B108, ""-"")"),4.0)</f>
        <v>4</v>
      </c>
      <c r="E108" s="3">
        <f>IFERROR(__xludf.DUMMYFUNCTION("""COMPUTED_VALUE"""),43.0)</f>
        <v>43</v>
      </c>
      <c r="F108" s="3">
        <f>IFERROR(__xludf.DUMMYFUNCTION("SPLIT(C108, ""-"")"),1.0)</f>
        <v>1</v>
      </c>
      <c r="G108" s="3">
        <f>IFERROR(__xludf.DUMMYFUNCTION("""COMPUTED_VALUE"""),39.0)</f>
        <v>39</v>
      </c>
      <c r="I108" s="3" t="str">
        <f t="shared" si="1"/>
        <v/>
      </c>
      <c r="J108" s="3" t="str">
        <f t="shared" si="2"/>
        <v>y</v>
      </c>
      <c r="K108" s="3" t="str">
        <f t="shared" si="3"/>
        <v>y</v>
      </c>
      <c r="L108" s="3" t="str">
        <f t="shared" si="4"/>
        <v/>
      </c>
      <c r="N108" s="3" t="str">
        <f t="shared" si="5"/>
        <v/>
      </c>
      <c r="O108" s="3" t="str">
        <f t="shared" si="6"/>
        <v/>
      </c>
      <c r="Q108" s="3" t="str">
        <f t="shared" si="7"/>
        <v/>
      </c>
      <c r="U108" s="3">
        <f t="shared" si="8"/>
        <v>1</v>
      </c>
      <c r="V108" s="3" t="str">
        <f t="shared" si="9"/>
        <v>Överlapp</v>
      </c>
      <c r="W108" s="3" t="str">
        <f t="shared" si="10"/>
        <v>Överlapp</v>
      </c>
      <c r="X108" s="3" t="str">
        <f t="shared" si="11"/>
        <v/>
      </c>
    </row>
    <row r="109">
      <c r="A109" s="1" t="s">
        <v>115</v>
      </c>
      <c r="B109" s="3" t="str">
        <f>IFERROR(__xludf.DUMMYFUNCTION("SPLIT(A109, "","")"),"14-72")</f>
        <v>14-72</v>
      </c>
      <c r="C109" s="3" t="str">
        <f>IFERROR(__xludf.DUMMYFUNCTION("""COMPUTED_VALUE"""),"42-72")</f>
        <v>42-72</v>
      </c>
      <c r="D109" s="3">
        <f>IFERROR(__xludf.DUMMYFUNCTION("SPLIT(B109, ""-"")"),14.0)</f>
        <v>14</v>
      </c>
      <c r="E109" s="3">
        <f>IFERROR(__xludf.DUMMYFUNCTION("""COMPUTED_VALUE"""),72.0)</f>
        <v>72</v>
      </c>
      <c r="F109" s="3">
        <f>IFERROR(__xludf.DUMMYFUNCTION("SPLIT(C109, ""-"")"),42.0)</f>
        <v>42</v>
      </c>
      <c r="G109" s="3">
        <f>IFERROR(__xludf.DUMMYFUNCTION("""COMPUTED_VALUE"""),72.0)</f>
        <v>72</v>
      </c>
      <c r="I109" s="3" t="str">
        <f t="shared" si="1"/>
        <v>y</v>
      </c>
      <c r="J109" s="3" t="str">
        <f t="shared" si="2"/>
        <v>y</v>
      </c>
      <c r="K109" s="3" t="str">
        <f t="shared" si="3"/>
        <v/>
      </c>
      <c r="L109" s="3" t="str">
        <f t="shared" si="4"/>
        <v>y</v>
      </c>
      <c r="N109" s="3">
        <f t="shared" si="5"/>
        <v>1</v>
      </c>
      <c r="O109" s="3" t="str">
        <f t="shared" si="6"/>
        <v/>
      </c>
      <c r="Q109" s="3">
        <f t="shared" si="7"/>
        <v>1</v>
      </c>
      <c r="U109" s="3" t="str">
        <f t="shared" si="8"/>
        <v>Överlapp</v>
      </c>
      <c r="V109" s="3" t="str">
        <f t="shared" si="9"/>
        <v>Överlapp</v>
      </c>
      <c r="W109" s="3" t="str">
        <f t="shared" si="10"/>
        <v>Överlapp</v>
      </c>
      <c r="X109" s="3" t="str">
        <f t="shared" si="11"/>
        <v/>
      </c>
    </row>
    <row r="110">
      <c r="A110" s="1" t="s">
        <v>116</v>
      </c>
      <c r="B110" s="3" t="str">
        <f>IFERROR(__xludf.DUMMYFUNCTION("SPLIT(A110, "","")"),"86-99")</f>
        <v>86-99</v>
      </c>
      <c r="C110" s="3" t="str">
        <f>IFERROR(__xludf.DUMMYFUNCTION("""COMPUTED_VALUE"""),"1-99")</f>
        <v>1-99</v>
      </c>
      <c r="D110" s="3">
        <f>IFERROR(__xludf.DUMMYFUNCTION("SPLIT(B110, ""-"")"),86.0)</f>
        <v>86</v>
      </c>
      <c r="E110" s="3">
        <f>IFERROR(__xludf.DUMMYFUNCTION("""COMPUTED_VALUE"""),99.0)</f>
        <v>99</v>
      </c>
      <c r="F110" s="3">
        <f>IFERROR(__xludf.DUMMYFUNCTION("SPLIT(C110, ""-"")"),1.0)</f>
        <v>1</v>
      </c>
      <c r="G110" s="3">
        <f>IFERROR(__xludf.DUMMYFUNCTION("""COMPUTED_VALUE"""),99.0)</f>
        <v>99</v>
      </c>
      <c r="I110" s="3" t="str">
        <f t="shared" si="1"/>
        <v/>
      </c>
      <c r="J110" s="3" t="str">
        <f t="shared" si="2"/>
        <v>y</v>
      </c>
      <c r="K110" s="3" t="str">
        <f t="shared" si="3"/>
        <v>y</v>
      </c>
      <c r="L110" s="3" t="str">
        <f t="shared" si="4"/>
        <v>y</v>
      </c>
      <c r="N110" s="3" t="str">
        <f t="shared" si="5"/>
        <v/>
      </c>
      <c r="O110" s="3">
        <f t="shared" si="6"/>
        <v>1</v>
      </c>
      <c r="Q110" s="3">
        <f t="shared" si="7"/>
        <v>1</v>
      </c>
      <c r="U110" s="3" t="str">
        <f t="shared" si="8"/>
        <v>Överlapp</v>
      </c>
      <c r="V110" s="3" t="str">
        <f t="shared" si="9"/>
        <v>Överlapp</v>
      </c>
      <c r="W110" s="3" t="str">
        <f t="shared" si="10"/>
        <v>Överlapp</v>
      </c>
      <c r="X110" s="3" t="str">
        <f t="shared" si="11"/>
        <v/>
      </c>
    </row>
    <row r="111">
      <c r="A111" s="1" t="s">
        <v>117</v>
      </c>
      <c r="B111" s="3" t="str">
        <f>IFERROR(__xludf.DUMMYFUNCTION("SPLIT(A111, "","")"),"20-48")</f>
        <v>20-48</v>
      </c>
      <c r="C111" s="3" t="str">
        <f>IFERROR(__xludf.DUMMYFUNCTION("""COMPUTED_VALUE"""),"20-47")</f>
        <v>20-47</v>
      </c>
      <c r="D111" s="3">
        <f>IFERROR(__xludf.DUMMYFUNCTION("SPLIT(B111, ""-"")"),20.0)</f>
        <v>20</v>
      </c>
      <c r="E111" s="3">
        <f>IFERROR(__xludf.DUMMYFUNCTION("""COMPUTED_VALUE"""),48.0)</f>
        <v>48</v>
      </c>
      <c r="F111" s="3">
        <f>IFERROR(__xludf.DUMMYFUNCTION("SPLIT(C111, ""-"")"),20.0)</f>
        <v>20</v>
      </c>
      <c r="G111" s="3">
        <f>IFERROR(__xludf.DUMMYFUNCTION("""COMPUTED_VALUE"""),47.0)</f>
        <v>47</v>
      </c>
      <c r="I111" s="3" t="str">
        <f t="shared" si="1"/>
        <v>y</v>
      </c>
      <c r="J111" s="3" t="str">
        <f t="shared" si="2"/>
        <v>y</v>
      </c>
      <c r="K111" s="3" t="str">
        <f t="shared" si="3"/>
        <v>y</v>
      </c>
      <c r="L111" s="3" t="str">
        <f t="shared" si="4"/>
        <v/>
      </c>
      <c r="N111" s="3">
        <f t="shared" si="5"/>
        <v>1</v>
      </c>
      <c r="O111" s="3" t="str">
        <f t="shared" si="6"/>
        <v/>
      </c>
      <c r="Q111" s="3">
        <f t="shared" si="7"/>
        <v>1</v>
      </c>
      <c r="U111" s="3" t="str">
        <f t="shared" si="8"/>
        <v>Överlapp</v>
      </c>
      <c r="V111" s="3" t="str">
        <f t="shared" si="9"/>
        <v>Överlapp</v>
      </c>
      <c r="W111" s="3" t="str">
        <f t="shared" si="10"/>
        <v>Överlapp</v>
      </c>
      <c r="X111" s="3" t="str">
        <f t="shared" si="11"/>
        <v/>
      </c>
    </row>
    <row r="112">
      <c r="A112" s="1" t="s">
        <v>118</v>
      </c>
      <c r="B112" s="3" t="str">
        <f>IFERROR(__xludf.DUMMYFUNCTION("SPLIT(A112, "","")"),"86-98")</f>
        <v>86-98</v>
      </c>
      <c r="C112" s="3" t="str">
        <f>IFERROR(__xludf.DUMMYFUNCTION("""COMPUTED_VALUE"""),"49-87")</f>
        <v>49-87</v>
      </c>
      <c r="D112" s="3">
        <f>IFERROR(__xludf.DUMMYFUNCTION("SPLIT(B112, ""-"")"),86.0)</f>
        <v>86</v>
      </c>
      <c r="E112" s="3">
        <f>IFERROR(__xludf.DUMMYFUNCTION("""COMPUTED_VALUE"""),98.0)</f>
        <v>98</v>
      </c>
      <c r="F112" s="3">
        <f>IFERROR(__xludf.DUMMYFUNCTION("SPLIT(C112, ""-"")"),49.0)</f>
        <v>49</v>
      </c>
      <c r="G112" s="3">
        <f>IFERROR(__xludf.DUMMYFUNCTION("""COMPUTED_VALUE"""),87.0)</f>
        <v>87</v>
      </c>
      <c r="I112" s="3" t="str">
        <f t="shared" si="1"/>
        <v/>
      </c>
      <c r="J112" s="3" t="str">
        <f t="shared" si="2"/>
        <v>y</v>
      </c>
      <c r="K112" s="3" t="str">
        <f t="shared" si="3"/>
        <v>y</v>
      </c>
      <c r="L112" s="3" t="str">
        <f t="shared" si="4"/>
        <v/>
      </c>
      <c r="N112" s="3" t="str">
        <f t="shared" si="5"/>
        <v/>
      </c>
      <c r="O112" s="3" t="str">
        <f t="shared" si="6"/>
        <v/>
      </c>
      <c r="Q112" s="3" t="str">
        <f t="shared" si="7"/>
        <v/>
      </c>
      <c r="U112" s="3">
        <f t="shared" si="8"/>
        <v>1</v>
      </c>
      <c r="V112" s="3" t="str">
        <f t="shared" si="9"/>
        <v>Överlapp</v>
      </c>
      <c r="W112" s="3" t="str">
        <f t="shared" si="10"/>
        <v>Överlapp</v>
      </c>
      <c r="X112" s="3" t="str">
        <f t="shared" si="11"/>
        <v/>
      </c>
    </row>
    <row r="113">
      <c r="A113" s="1" t="s">
        <v>119</v>
      </c>
      <c r="B113" s="3" t="str">
        <f>IFERROR(__xludf.DUMMYFUNCTION("SPLIT(A113, "","")"),"43-52")</f>
        <v>43-52</v>
      </c>
      <c r="C113" s="3" t="str">
        <f>IFERROR(__xludf.DUMMYFUNCTION("""COMPUTED_VALUE"""),"42-52")</f>
        <v>42-52</v>
      </c>
      <c r="D113" s="3">
        <f>IFERROR(__xludf.DUMMYFUNCTION("SPLIT(B113, ""-"")"),43.0)</f>
        <v>43</v>
      </c>
      <c r="E113" s="3">
        <f>IFERROR(__xludf.DUMMYFUNCTION("""COMPUTED_VALUE"""),52.0)</f>
        <v>52</v>
      </c>
      <c r="F113" s="3">
        <f>IFERROR(__xludf.DUMMYFUNCTION("SPLIT(C113, ""-"")"),42.0)</f>
        <v>42</v>
      </c>
      <c r="G113" s="3">
        <f>IFERROR(__xludf.DUMMYFUNCTION("""COMPUTED_VALUE"""),52.0)</f>
        <v>52</v>
      </c>
      <c r="I113" s="3" t="str">
        <f t="shared" si="1"/>
        <v/>
      </c>
      <c r="J113" s="3" t="str">
        <f t="shared" si="2"/>
        <v>y</v>
      </c>
      <c r="K113" s="3" t="str">
        <f t="shared" si="3"/>
        <v>y</v>
      </c>
      <c r="L113" s="3" t="str">
        <f t="shared" si="4"/>
        <v>y</v>
      </c>
      <c r="N113" s="3" t="str">
        <f t="shared" si="5"/>
        <v/>
      </c>
      <c r="O113" s="3">
        <f t="shared" si="6"/>
        <v>1</v>
      </c>
      <c r="Q113" s="3">
        <f t="shared" si="7"/>
        <v>1</v>
      </c>
      <c r="U113" s="3" t="str">
        <f t="shared" si="8"/>
        <v>Överlapp</v>
      </c>
      <c r="V113" s="3" t="str">
        <f t="shared" si="9"/>
        <v>Överlapp</v>
      </c>
      <c r="W113" s="3" t="str">
        <f t="shared" si="10"/>
        <v>Överlapp</v>
      </c>
      <c r="X113" s="3" t="str">
        <f t="shared" si="11"/>
        <v/>
      </c>
    </row>
    <row r="114">
      <c r="A114" s="1" t="s">
        <v>120</v>
      </c>
      <c r="B114" s="3" t="str">
        <f>IFERROR(__xludf.DUMMYFUNCTION("SPLIT(A114, "","")"),"85-90")</f>
        <v>85-90</v>
      </c>
      <c r="C114" s="3" t="str">
        <f>IFERROR(__xludf.DUMMYFUNCTION("""COMPUTED_VALUE"""),"68-85")</f>
        <v>68-85</v>
      </c>
      <c r="D114" s="3">
        <f>IFERROR(__xludf.DUMMYFUNCTION("SPLIT(B114, ""-"")"),85.0)</f>
        <v>85</v>
      </c>
      <c r="E114" s="3">
        <f>IFERROR(__xludf.DUMMYFUNCTION("""COMPUTED_VALUE"""),90.0)</f>
        <v>90</v>
      </c>
      <c r="F114" s="3">
        <f>IFERROR(__xludf.DUMMYFUNCTION("SPLIT(C114, ""-"")"),68.0)</f>
        <v>68</v>
      </c>
      <c r="G114" s="3">
        <f>IFERROR(__xludf.DUMMYFUNCTION("""COMPUTED_VALUE"""),85.0)</f>
        <v>85</v>
      </c>
      <c r="I114" s="3" t="str">
        <f t="shared" si="1"/>
        <v/>
      </c>
      <c r="J114" s="3" t="str">
        <f t="shared" si="2"/>
        <v>y</v>
      </c>
      <c r="K114" s="3" t="str">
        <f t="shared" si="3"/>
        <v>y</v>
      </c>
      <c r="L114" s="3" t="str">
        <f t="shared" si="4"/>
        <v/>
      </c>
      <c r="N114" s="3" t="str">
        <f t="shared" si="5"/>
        <v/>
      </c>
      <c r="O114" s="3" t="str">
        <f t="shared" si="6"/>
        <v/>
      </c>
      <c r="Q114" s="3" t="str">
        <f t="shared" si="7"/>
        <v/>
      </c>
      <c r="U114" s="3" t="str">
        <f t="shared" si="8"/>
        <v>Överlapp</v>
      </c>
      <c r="V114" s="3" t="str">
        <f t="shared" si="9"/>
        <v>Överlapp</v>
      </c>
      <c r="W114" s="3" t="str">
        <f t="shared" si="10"/>
        <v>Överlapp</v>
      </c>
      <c r="X114" s="3" t="str">
        <f t="shared" si="11"/>
        <v/>
      </c>
    </row>
    <row r="115">
      <c r="A115" s="1" t="s">
        <v>121</v>
      </c>
      <c r="B115" s="3" t="str">
        <f>IFERROR(__xludf.DUMMYFUNCTION("SPLIT(A115, "","")"),"3-27")</f>
        <v>3-27</v>
      </c>
      <c r="C115" s="3" t="str">
        <f>IFERROR(__xludf.DUMMYFUNCTION("""COMPUTED_VALUE"""),"2-27")</f>
        <v>2-27</v>
      </c>
      <c r="D115" s="3">
        <f>IFERROR(__xludf.DUMMYFUNCTION("SPLIT(B115, ""-"")"),3.0)</f>
        <v>3</v>
      </c>
      <c r="E115" s="3">
        <f>IFERROR(__xludf.DUMMYFUNCTION("""COMPUTED_VALUE"""),27.0)</f>
        <v>27</v>
      </c>
      <c r="F115" s="3">
        <f>IFERROR(__xludf.DUMMYFUNCTION("SPLIT(C115, ""-"")"),2.0)</f>
        <v>2</v>
      </c>
      <c r="G115" s="3">
        <f>IFERROR(__xludf.DUMMYFUNCTION("""COMPUTED_VALUE"""),27.0)</f>
        <v>27</v>
      </c>
      <c r="I115" s="3" t="str">
        <f t="shared" si="1"/>
        <v/>
      </c>
      <c r="J115" s="3" t="str">
        <f t="shared" si="2"/>
        <v>y</v>
      </c>
      <c r="K115" s="3" t="str">
        <f t="shared" si="3"/>
        <v>y</v>
      </c>
      <c r="L115" s="3" t="str">
        <f t="shared" si="4"/>
        <v>y</v>
      </c>
      <c r="N115" s="3" t="str">
        <f t="shared" si="5"/>
        <v/>
      </c>
      <c r="O115" s="3">
        <f t="shared" si="6"/>
        <v>1</v>
      </c>
      <c r="Q115" s="3">
        <f t="shared" si="7"/>
        <v>1</v>
      </c>
      <c r="U115" s="3" t="str">
        <f t="shared" si="8"/>
        <v>Överlapp</v>
      </c>
      <c r="V115" s="3" t="str">
        <f t="shared" si="9"/>
        <v>Överlapp</v>
      </c>
      <c r="W115" s="3" t="str">
        <f t="shared" si="10"/>
        <v>Överlapp</v>
      </c>
      <c r="X115" s="3" t="str">
        <f t="shared" si="11"/>
        <v/>
      </c>
    </row>
    <row r="116">
      <c r="A116" s="1" t="s">
        <v>122</v>
      </c>
      <c r="B116" s="3" t="str">
        <f>IFERROR(__xludf.DUMMYFUNCTION("SPLIT(A116, "","")"),"90-90")</f>
        <v>90-90</v>
      </c>
      <c r="C116" s="3" t="str">
        <f>IFERROR(__xludf.DUMMYFUNCTION("""COMPUTED_VALUE"""),"42-91")</f>
        <v>42-91</v>
      </c>
      <c r="D116" s="3">
        <f>IFERROR(__xludf.DUMMYFUNCTION("SPLIT(B116, ""-"")"),90.0)</f>
        <v>90</v>
      </c>
      <c r="E116" s="3">
        <f>IFERROR(__xludf.DUMMYFUNCTION("""COMPUTED_VALUE"""),90.0)</f>
        <v>90</v>
      </c>
      <c r="F116" s="3">
        <f>IFERROR(__xludf.DUMMYFUNCTION("SPLIT(C116, ""-"")"),42.0)</f>
        <v>42</v>
      </c>
      <c r="G116" s="3">
        <f>IFERROR(__xludf.DUMMYFUNCTION("""COMPUTED_VALUE"""),91.0)</f>
        <v>91</v>
      </c>
      <c r="I116" s="3" t="str">
        <f t="shared" si="1"/>
        <v/>
      </c>
      <c r="J116" s="3" t="str">
        <f t="shared" si="2"/>
        <v/>
      </c>
      <c r="K116" s="3" t="str">
        <f t="shared" si="3"/>
        <v>y</v>
      </c>
      <c r="L116" s="3" t="str">
        <f t="shared" si="4"/>
        <v>y</v>
      </c>
      <c r="N116" s="3" t="str">
        <f t="shared" si="5"/>
        <v/>
      </c>
      <c r="O116" s="3">
        <f t="shared" si="6"/>
        <v>1</v>
      </c>
      <c r="Q116" s="3">
        <f t="shared" si="7"/>
        <v>1</v>
      </c>
      <c r="U116" s="3">
        <f t="shared" si="8"/>
        <v>1</v>
      </c>
      <c r="V116" s="3" t="str">
        <f t="shared" si="9"/>
        <v>Överlapp</v>
      </c>
      <c r="W116" s="3" t="str">
        <f t="shared" si="10"/>
        <v>Överlapp</v>
      </c>
      <c r="X116" s="3" t="str">
        <f t="shared" si="11"/>
        <v/>
      </c>
    </row>
    <row r="117">
      <c r="A117" s="1" t="s">
        <v>123</v>
      </c>
      <c r="B117" s="3" t="str">
        <f>IFERROR(__xludf.DUMMYFUNCTION("SPLIT(A117, "","")"),"2-94")</f>
        <v>2-94</v>
      </c>
      <c r="C117" s="3" t="str">
        <f>IFERROR(__xludf.DUMMYFUNCTION("""COMPUTED_VALUE"""),"2-95")</f>
        <v>2-95</v>
      </c>
      <c r="D117" s="3">
        <f>IFERROR(__xludf.DUMMYFUNCTION("SPLIT(B117, ""-"")"),2.0)</f>
        <v>2</v>
      </c>
      <c r="E117" s="3">
        <f>IFERROR(__xludf.DUMMYFUNCTION("""COMPUTED_VALUE"""),94.0)</f>
        <v>94</v>
      </c>
      <c r="F117" s="3">
        <f>IFERROR(__xludf.DUMMYFUNCTION("SPLIT(C117, ""-"")"),2.0)</f>
        <v>2</v>
      </c>
      <c r="G117" s="3">
        <f>IFERROR(__xludf.DUMMYFUNCTION("""COMPUTED_VALUE"""),95.0)</f>
        <v>95</v>
      </c>
      <c r="I117" s="3" t="str">
        <f t="shared" si="1"/>
        <v>y</v>
      </c>
      <c r="J117" s="3" t="str">
        <f t="shared" si="2"/>
        <v/>
      </c>
      <c r="K117" s="3" t="str">
        <f t="shared" si="3"/>
        <v>y</v>
      </c>
      <c r="L117" s="3" t="str">
        <f t="shared" si="4"/>
        <v>y</v>
      </c>
      <c r="N117" s="3" t="str">
        <f t="shared" si="5"/>
        <v/>
      </c>
      <c r="O117" s="3">
        <f t="shared" si="6"/>
        <v>1</v>
      </c>
      <c r="Q117" s="3">
        <f t="shared" si="7"/>
        <v>1</v>
      </c>
      <c r="U117" s="3" t="str">
        <f t="shared" si="8"/>
        <v>Överlapp</v>
      </c>
      <c r="V117" s="3" t="str">
        <f t="shared" si="9"/>
        <v>Överlapp</v>
      </c>
      <c r="W117" s="3" t="str">
        <f t="shared" si="10"/>
        <v>Överlapp</v>
      </c>
      <c r="X117" s="3" t="str">
        <f t="shared" si="11"/>
        <v/>
      </c>
    </row>
    <row r="118">
      <c r="A118" s="1" t="s">
        <v>124</v>
      </c>
      <c r="B118" s="3" t="str">
        <f>IFERROR(__xludf.DUMMYFUNCTION("SPLIT(A118, "","")"),"24-81")</f>
        <v>24-81</v>
      </c>
      <c r="C118" s="3" t="str">
        <f>IFERROR(__xludf.DUMMYFUNCTION("""COMPUTED_VALUE"""),"23-99")</f>
        <v>23-99</v>
      </c>
      <c r="D118" s="3">
        <f>IFERROR(__xludf.DUMMYFUNCTION("SPLIT(B118, ""-"")"),24.0)</f>
        <v>24</v>
      </c>
      <c r="E118" s="3">
        <f>IFERROR(__xludf.DUMMYFUNCTION("""COMPUTED_VALUE"""),81.0)</f>
        <v>81</v>
      </c>
      <c r="F118" s="3">
        <f>IFERROR(__xludf.DUMMYFUNCTION("SPLIT(C118, ""-"")"),23.0)</f>
        <v>23</v>
      </c>
      <c r="G118" s="3">
        <f>IFERROR(__xludf.DUMMYFUNCTION("""COMPUTED_VALUE"""),99.0)</f>
        <v>99</v>
      </c>
      <c r="I118" s="3" t="str">
        <f t="shared" si="1"/>
        <v/>
      </c>
      <c r="J118" s="3" t="str">
        <f t="shared" si="2"/>
        <v/>
      </c>
      <c r="K118" s="3" t="str">
        <f t="shared" si="3"/>
        <v>y</v>
      </c>
      <c r="L118" s="3" t="str">
        <f t="shared" si="4"/>
        <v>y</v>
      </c>
      <c r="N118" s="3" t="str">
        <f t="shared" si="5"/>
        <v/>
      </c>
      <c r="O118" s="3">
        <f t="shared" si="6"/>
        <v>1</v>
      </c>
      <c r="Q118" s="3">
        <f t="shared" si="7"/>
        <v>1</v>
      </c>
      <c r="U118" s="3">
        <f t="shared" si="8"/>
        <v>1</v>
      </c>
      <c r="V118" s="3" t="str">
        <f t="shared" si="9"/>
        <v>Överlapp</v>
      </c>
      <c r="W118" s="3" t="str">
        <f t="shared" si="10"/>
        <v>Överlapp</v>
      </c>
      <c r="X118" s="3" t="str">
        <f t="shared" si="11"/>
        <v/>
      </c>
    </row>
    <row r="119">
      <c r="A119" s="1" t="s">
        <v>125</v>
      </c>
      <c r="B119" s="3" t="str">
        <f>IFERROR(__xludf.DUMMYFUNCTION("SPLIT(A119, "","")"),"77-87")</f>
        <v>77-87</v>
      </c>
      <c r="C119" s="3" t="str">
        <f>IFERROR(__xludf.DUMMYFUNCTION("""COMPUTED_VALUE"""),"78-87")</f>
        <v>78-87</v>
      </c>
      <c r="D119" s="3">
        <f>IFERROR(__xludf.DUMMYFUNCTION("SPLIT(B119, ""-"")"),77.0)</f>
        <v>77</v>
      </c>
      <c r="E119" s="3">
        <f>IFERROR(__xludf.DUMMYFUNCTION("""COMPUTED_VALUE"""),87.0)</f>
        <v>87</v>
      </c>
      <c r="F119" s="3">
        <f>IFERROR(__xludf.DUMMYFUNCTION("SPLIT(C119, ""-"")"),78.0)</f>
        <v>78</v>
      </c>
      <c r="G119" s="3">
        <f>IFERROR(__xludf.DUMMYFUNCTION("""COMPUTED_VALUE"""),87.0)</f>
        <v>87</v>
      </c>
      <c r="I119" s="3" t="str">
        <f t="shared" si="1"/>
        <v>y</v>
      </c>
      <c r="J119" s="3" t="str">
        <f t="shared" si="2"/>
        <v>y</v>
      </c>
      <c r="K119" s="3" t="str">
        <f t="shared" si="3"/>
        <v/>
      </c>
      <c r="L119" s="3" t="str">
        <f t="shared" si="4"/>
        <v>y</v>
      </c>
      <c r="N119" s="3">
        <f t="shared" si="5"/>
        <v>1</v>
      </c>
      <c r="O119" s="3" t="str">
        <f t="shared" si="6"/>
        <v/>
      </c>
      <c r="Q119" s="3">
        <f t="shared" si="7"/>
        <v>1</v>
      </c>
      <c r="U119" s="3" t="str">
        <f t="shared" si="8"/>
        <v>Överlapp</v>
      </c>
      <c r="V119" s="3" t="str">
        <f t="shared" si="9"/>
        <v>Överlapp</v>
      </c>
      <c r="W119" s="3" t="str">
        <f t="shared" si="10"/>
        <v>Överlapp</v>
      </c>
      <c r="X119" s="3" t="str">
        <f t="shared" si="11"/>
        <v/>
      </c>
    </row>
    <row r="120">
      <c r="A120" s="1" t="s">
        <v>126</v>
      </c>
      <c r="B120" s="3" t="str">
        <f>IFERROR(__xludf.DUMMYFUNCTION("SPLIT(A120, "","")"),"15-90")</f>
        <v>15-90</v>
      </c>
      <c r="C120" s="3" t="str">
        <f>IFERROR(__xludf.DUMMYFUNCTION("""COMPUTED_VALUE"""),"90-91")</f>
        <v>90-91</v>
      </c>
      <c r="D120" s="3">
        <f>IFERROR(__xludf.DUMMYFUNCTION("SPLIT(B120, ""-"")"),15.0)</f>
        <v>15</v>
      </c>
      <c r="E120" s="3">
        <f>IFERROR(__xludf.DUMMYFUNCTION("""COMPUTED_VALUE"""),90.0)</f>
        <v>90</v>
      </c>
      <c r="F120" s="3">
        <f>IFERROR(__xludf.DUMMYFUNCTION("SPLIT(C120, ""-"")"),90.0)</f>
        <v>90</v>
      </c>
      <c r="G120" s="3">
        <f>IFERROR(__xludf.DUMMYFUNCTION("""COMPUTED_VALUE"""),91.0)</f>
        <v>91</v>
      </c>
      <c r="I120" s="3" t="str">
        <f t="shared" si="1"/>
        <v>y</v>
      </c>
      <c r="J120" s="3" t="str">
        <f t="shared" si="2"/>
        <v/>
      </c>
      <c r="K120" s="3" t="str">
        <f t="shared" si="3"/>
        <v/>
      </c>
      <c r="L120" s="3" t="str">
        <f t="shared" si="4"/>
        <v>y</v>
      </c>
      <c r="N120" s="3" t="str">
        <f t="shared" si="5"/>
        <v/>
      </c>
      <c r="O120" s="3" t="str">
        <f t="shared" si="6"/>
        <v/>
      </c>
      <c r="Q120" s="3" t="str">
        <f t="shared" si="7"/>
        <v/>
      </c>
      <c r="U120" s="3" t="str">
        <f t="shared" si="8"/>
        <v>Överlapp</v>
      </c>
      <c r="V120" s="3" t="str">
        <f t="shared" si="9"/>
        <v>Överlapp</v>
      </c>
      <c r="W120" s="3" t="str">
        <f t="shared" si="10"/>
        <v>Överlapp</v>
      </c>
      <c r="X120" s="3" t="str">
        <f t="shared" si="11"/>
        <v/>
      </c>
    </row>
    <row r="121">
      <c r="A121" s="1" t="s">
        <v>127</v>
      </c>
      <c r="B121" s="3" t="str">
        <f>IFERROR(__xludf.DUMMYFUNCTION("SPLIT(A121, "","")"),"48-90")</f>
        <v>48-90</v>
      </c>
      <c r="C121" s="3" t="str">
        <f>IFERROR(__xludf.DUMMYFUNCTION("""COMPUTED_VALUE"""),"49-90")</f>
        <v>49-90</v>
      </c>
      <c r="D121" s="3">
        <f>IFERROR(__xludf.DUMMYFUNCTION("SPLIT(B121, ""-"")"),48.0)</f>
        <v>48</v>
      </c>
      <c r="E121" s="3">
        <f>IFERROR(__xludf.DUMMYFUNCTION("""COMPUTED_VALUE"""),90.0)</f>
        <v>90</v>
      </c>
      <c r="F121" s="3">
        <f>IFERROR(__xludf.DUMMYFUNCTION("SPLIT(C121, ""-"")"),49.0)</f>
        <v>49</v>
      </c>
      <c r="G121" s="3">
        <f>IFERROR(__xludf.DUMMYFUNCTION("""COMPUTED_VALUE"""),90.0)</f>
        <v>90</v>
      </c>
      <c r="I121" s="3" t="str">
        <f t="shared" si="1"/>
        <v>y</v>
      </c>
      <c r="J121" s="3" t="str">
        <f t="shared" si="2"/>
        <v>y</v>
      </c>
      <c r="K121" s="3" t="str">
        <f t="shared" si="3"/>
        <v/>
      </c>
      <c r="L121" s="3" t="str">
        <f t="shared" si="4"/>
        <v>y</v>
      </c>
      <c r="N121" s="3">
        <f t="shared" si="5"/>
        <v>1</v>
      </c>
      <c r="O121" s="3" t="str">
        <f t="shared" si="6"/>
        <v/>
      </c>
      <c r="Q121" s="3">
        <f t="shared" si="7"/>
        <v>1</v>
      </c>
      <c r="U121" s="3" t="str">
        <f t="shared" si="8"/>
        <v>Överlapp</v>
      </c>
      <c r="V121" s="3" t="str">
        <f t="shared" si="9"/>
        <v>Överlapp</v>
      </c>
      <c r="W121" s="3" t="str">
        <f t="shared" si="10"/>
        <v>Överlapp</v>
      </c>
      <c r="X121" s="3" t="str">
        <f t="shared" si="11"/>
        <v/>
      </c>
    </row>
    <row r="122">
      <c r="A122" s="1" t="s">
        <v>128</v>
      </c>
      <c r="B122" s="3" t="str">
        <f>IFERROR(__xludf.DUMMYFUNCTION("SPLIT(A122, "","")"),"72-97")</f>
        <v>72-97</v>
      </c>
      <c r="C122" s="3" t="str">
        <f>IFERROR(__xludf.DUMMYFUNCTION("""COMPUTED_VALUE"""),"9-67")</f>
        <v>9-67</v>
      </c>
      <c r="D122" s="3">
        <f>IFERROR(__xludf.DUMMYFUNCTION("SPLIT(B122, ""-"")"),72.0)</f>
        <v>72</v>
      </c>
      <c r="E122" s="3">
        <f>IFERROR(__xludf.DUMMYFUNCTION("""COMPUTED_VALUE"""),97.0)</f>
        <v>97</v>
      </c>
      <c r="F122" s="3">
        <f>IFERROR(__xludf.DUMMYFUNCTION("SPLIT(C122, ""-"")"),9.0)</f>
        <v>9</v>
      </c>
      <c r="G122" s="3">
        <f>IFERROR(__xludf.DUMMYFUNCTION("""COMPUTED_VALUE"""),67.0)</f>
        <v>67</v>
      </c>
      <c r="I122" s="3" t="str">
        <f t="shared" si="1"/>
        <v/>
      </c>
      <c r="J122" s="3" t="str">
        <f t="shared" si="2"/>
        <v>y</v>
      </c>
      <c r="K122" s="3" t="str">
        <f t="shared" si="3"/>
        <v>y</v>
      </c>
      <c r="L122" s="3" t="str">
        <f t="shared" si="4"/>
        <v/>
      </c>
      <c r="N122" s="3" t="str">
        <f t="shared" si="5"/>
        <v/>
      </c>
      <c r="O122" s="3" t="str">
        <f t="shared" si="6"/>
        <v/>
      </c>
      <c r="Q122" s="3" t="str">
        <f t="shared" si="7"/>
        <v/>
      </c>
      <c r="U122" s="3">
        <f t="shared" si="8"/>
        <v>1</v>
      </c>
      <c r="V122" s="3" t="str">
        <f t="shared" si="9"/>
        <v>Överlapp</v>
      </c>
      <c r="W122" s="3">
        <f t="shared" si="10"/>
        <v>1</v>
      </c>
      <c r="X122" s="3">
        <f t="shared" si="11"/>
        <v>1</v>
      </c>
    </row>
    <row r="123">
      <c r="A123" s="1" t="s">
        <v>129</v>
      </c>
      <c r="B123" s="3" t="str">
        <f>IFERROR(__xludf.DUMMYFUNCTION("SPLIT(A123, "","")"),"74-96")</f>
        <v>74-96</v>
      </c>
      <c r="C123" s="3" t="str">
        <f>IFERROR(__xludf.DUMMYFUNCTION("""COMPUTED_VALUE"""),"36-95")</f>
        <v>36-95</v>
      </c>
      <c r="D123" s="3">
        <f>IFERROR(__xludf.DUMMYFUNCTION("SPLIT(B123, ""-"")"),74.0)</f>
        <v>74</v>
      </c>
      <c r="E123" s="3">
        <f>IFERROR(__xludf.DUMMYFUNCTION("""COMPUTED_VALUE"""),96.0)</f>
        <v>96</v>
      </c>
      <c r="F123" s="3">
        <f>IFERROR(__xludf.DUMMYFUNCTION("SPLIT(C123, ""-"")"),36.0)</f>
        <v>36</v>
      </c>
      <c r="G123" s="3">
        <f>IFERROR(__xludf.DUMMYFUNCTION("""COMPUTED_VALUE"""),95.0)</f>
        <v>95</v>
      </c>
      <c r="I123" s="3" t="str">
        <f t="shared" si="1"/>
        <v/>
      </c>
      <c r="J123" s="3" t="str">
        <f t="shared" si="2"/>
        <v>y</v>
      </c>
      <c r="K123" s="3" t="str">
        <f t="shared" si="3"/>
        <v>y</v>
      </c>
      <c r="L123" s="3" t="str">
        <f t="shared" si="4"/>
        <v/>
      </c>
      <c r="N123" s="3" t="str">
        <f t="shared" si="5"/>
        <v/>
      </c>
      <c r="O123" s="3" t="str">
        <f t="shared" si="6"/>
        <v/>
      </c>
      <c r="Q123" s="3" t="str">
        <f t="shared" si="7"/>
        <v/>
      </c>
      <c r="U123" s="3">
        <f t="shared" si="8"/>
        <v>1</v>
      </c>
      <c r="V123" s="3" t="str">
        <f t="shared" si="9"/>
        <v>Överlapp</v>
      </c>
      <c r="W123" s="3" t="str">
        <f t="shared" si="10"/>
        <v>Överlapp</v>
      </c>
      <c r="X123" s="3" t="str">
        <f t="shared" si="11"/>
        <v/>
      </c>
    </row>
    <row r="124">
      <c r="A124" s="1" t="s">
        <v>130</v>
      </c>
      <c r="B124" s="3" t="str">
        <f>IFERROR(__xludf.DUMMYFUNCTION("SPLIT(A124, "","")"),"97-98")</f>
        <v>97-98</v>
      </c>
      <c r="C124" s="3" t="str">
        <f>IFERROR(__xludf.DUMMYFUNCTION("""COMPUTED_VALUE"""),"17-97")</f>
        <v>17-97</v>
      </c>
      <c r="D124" s="3">
        <f>IFERROR(__xludf.DUMMYFUNCTION("SPLIT(B124, ""-"")"),97.0)</f>
        <v>97</v>
      </c>
      <c r="E124" s="3">
        <f>IFERROR(__xludf.DUMMYFUNCTION("""COMPUTED_VALUE"""),98.0)</f>
        <v>98</v>
      </c>
      <c r="F124" s="3">
        <f>IFERROR(__xludf.DUMMYFUNCTION("SPLIT(C124, ""-"")"),17.0)</f>
        <v>17</v>
      </c>
      <c r="G124" s="3">
        <f>IFERROR(__xludf.DUMMYFUNCTION("""COMPUTED_VALUE"""),97.0)</f>
        <v>97</v>
      </c>
      <c r="I124" s="3" t="str">
        <f t="shared" si="1"/>
        <v/>
      </c>
      <c r="J124" s="3" t="str">
        <f t="shared" si="2"/>
        <v>y</v>
      </c>
      <c r="K124" s="3" t="str">
        <f t="shared" si="3"/>
        <v>y</v>
      </c>
      <c r="L124" s="3" t="str">
        <f t="shared" si="4"/>
        <v/>
      </c>
      <c r="N124" s="3" t="str">
        <f t="shared" si="5"/>
        <v/>
      </c>
      <c r="O124" s="3" t="str">
        <f t="shared" si="6"/>
        <v/>
      </c>
      <c r="Q124" s="3" t="str">
        <f t="shared" si="7"/>
        <v/>
      </c>
      <c r="U124" s="3" t="str">
        <f t="shared" si="8"/>
        <v>Överlapp</v>
      </c>
      <c r="V124" s="3" t="str">
        <f t="shared" si="9"/>
        <v>Överlapp</v>
      </c>
      <c r="W124" s="3" t="str">
        <f t="shared" si="10"/>
        <v>Överlapp</v>
      </c>
      <c r="X124" s="3" t="str">
        <f t="shared" si="11"/>
        <v/>
      </c>
    </row>
    <row r="125">
      <c r="A125" s="1" t="s">
        <v>131</v>
      </c>
      <c r="B125" s="3" t="str">
        <f>IFERROR(__xludf.DUMMYFUNCTION("SPLIT(A125, "","")"),"24-48")</f>
        <v>24-48</v>
      </c>
      <c r="C125" s="3" t="str">
        <f>IFERROR(__xludf.DUMMYFUNCTION("""COMPUTED_VALUE"""),"16-47")</f>
        <v>16-47</v>
      </c>
      <c r="D125" s="3">
        <f>IFERROR(__xludf.DUMMYFUNCTION("SPLIT(B125, ""-"")"),24.0)</f>
        <v>24</v>
      </c>
      <c r="E125" s="3">
        <f>IFERROR(__xludf.DUMMYFUNCTION("""COMPUTED_VALUE"""),48.0)</f>
        <v>48</v>
      </c>
      <c r="F125" s="3">
        <f>IFERROR(__xludf.DUMMYFUNCTION("SPLIT(C125, ""-"")"),16.0)</f>
        <v>16</v>
      </c>
      <c r="G125" s="3">
        <f>IFERROR(__xludf.DUMMYFUNCTION("""COMPUTED_VALUE"""),47.0)</f>
        <v>47</v>
      </c>
      <c r="I125" s="3" t="str">
        <f t="shared" si="1"/>
        <v/>
      </c>
      <c r="J125" s="3" t="str">
        <f t="shared" si="2"/>
        <v>y</v>
      </c>
      <c r="K125" s="3" t="str">
        <f t="shared" si="3"/>
        <v>y</v>
      </c>
      <c r="L125" s="3" t="str">
        <f t="shared" si="4"/>
        <v/>
      </c>
      <c r="N125" s="3" t="str">
        <f t="shared" si="5"/>
        <v/>
      </c>
      <c r="O125" s="3" t="str">
        <f t="shared" si="6"/>
        <v/>
      </c>
      <c r="Q125" s="3" t="str">
        <f t="shared" si="7"/>
        <v/>
      </c>
      <c r="U125" s="3">
        <f t="shared" si="8"/>
        <v>1</v>
      </c>
      <c r="V125" s="3" t="str">
        <f t="shared" si="9"/>
        <v>Överlapp</v>
      </c>
      <c r="W125" s="3" t="str">
        <f t="shared" si="10"/>
        <v>Överlapp</v>
      </c>
      <c r="X125" s="3" t="str">
        <f t="shared" si="11"/>
        <v/>
      </c>
    </row>
    <row r="126">
      <c r="A126" s="1" t="s">
        <v>132</v>
      </c>
      <c r="B126" s="3" t="str">
        <f>IFERROR(__xludf.DUMMYFUNCTION("SPLIT(A126, "","")"),"54-89")</f>
        <v>54-89</v>
      </c>
      <c r="C126" s="3" t="str">
        <f>IFERROR(__xludf.DUMMYFUNCTION("""COMPUTED_VALUE"""),"55-65")</f>
        <v>55-65</v>
      </c>
      <c r="D126" s="3">
        <f>IFERROR(__xludf.DUMMYFUNCTION("SPLIT(B126, ""-"")"),54.0)</f>
        <v>54</v>
      </c>
      <c r="E126" s="3">
        <f>IFERROR(__xludf.DUMMYFUNCTION("""COMPUTED_VALUE"""),89.0)</f>
        <v>89</v>
      </c>
      <c r="F126" s="3">
        <f>IFERROR(__xludf.DUMMYFUNCTION("SPLIT(C126, ""-"")"),55.0)</f>
        <v>55</v>
      </c>
      <c r="G126" s="3">
        <f>IFERROR(__xludf.DUMMYFUNCTION("""COMPUTED_VALUE"""),65.0)</f>
        <v>65</v>
      </c>
      <c r="I126" s="3" t="str">
        <f t="shared" si="1"/>
        <v>y</v>
      </c>
      <c r="J126" s="3" t="str">
        <f t="shared" si="2"/>
        <v>y</v>
      </c>
      <c r="K126" s="3" t="str">
        <f t="shared" si="3"/>
        <v/>
      </c>
      <c r="L126" s="3" t="str">
        <f t="shared" si="4"/>
        <v/>
      </c>
      <c r="N126" s="3">
        <f t="shared" si="5"/>
        <v>1</v>
      </c>
      <c r="O126" s="3" t="str">
        <f t="shared" si="6"/>
        <v/>
      </c>
      <c r="Q126" s="3">
        <f t="shared" si="7"/>
        <v>1</v>
      </c>
      <c r="U126" s="3">
        <f t="shared" si="8"/>
        <v>1</v>
      </c>
      <c r="V126" s="3" t="str">
        <f t="shared" si="9"/>
        <v>Överlapp</v>
      </c>
      <c r="W126" s="3" t="str">
        <f t="shared" si="10"/>
        <v>Överlapp</v>
      </c>
      <c r="X126" s="3" t="str">
        <f t="shared" si="11"/>
        <v/>
      </c>
    </row>
    <row r="127">
      <c r="A127" s="1" t="s">
        <v>133</v>
      </c>
      <c r="B127" s="3" t="str">
        <f>IFERROR(__xludf.DUMMYFUNCTION("SPLIT(A127, "","")"),"7-15")</f>
        <v>7-15</v>
      </c>
      <c r="C127" s="3" t="str">
        <f>IFERROR(__xludf.DUMMYFUNCTION("""COMPUTED_VALUE"""),"6-36")</f>
        <v>6-36</v>
      </c>
      <c r="D127" s="3">
        <f>IFERROR(__xludf.DUMMYFUNCTION("SPLIT(B127, ""-"")"),7.0)</f>
        <v>7</v>
      </c>
      <c r="E127" s="3">
        <f>IFERROR(__xludf.DUMMYFUNCTION("""COMPUTED_VALUE"""),15.0)</f>
        <v>15</v>
      </c>
      <c r="F127" s="3">
        <f>IFERROR(__xludf.DUMMYFUNCTION("SPLIT(C127, ""-"")"),6.0)</f>
        <v>6</v>
      </c>
      <c r="G127" s="3">
        <f>IFERROR(__xludf.DUMMYFUNCTION("""COMPUTED_VALUE"""),36.0)</f>
        <v>36</v>
      </c>
      <c r="I127" s="3" t="str">
        <f t="shared" si="1"/>
        <v/>
      </c>
      <c r="J127" s="3" t="str">
        <f t="shared" si="2"/>
        <v/>
      </c>
      <c r="K127" s="3" t="str">
        <f t="shared" si="3"/>
        <v>y</v>
      </c>
      <c r="L127" s="3" t="str">
        <f t="shared" si="4"/>
        <v>y</v>
      </c>
      <c r="N127" s="3" t="str">
        <f t="shared" si="5"/>
        <v/>
      </c>
      <c r="O127" s="3">
        <f t="shared" si="6"/>
        <v>1</v>
      </c>
      <c r="Q127" s="3">
        <f t="shared" si="7"/>
        <v>1</v>
      </c>
      <c r="U127" s="3">
        <f t="shared" si="8"/>
        <v>1</v>
      </c>
      <c r="V127" s="3" t="str">
        <f t="shared" si="9"/>
        <v>Överlapp</v>
      </c>
      <c r="W127" s="3" t="str">
        <f t="shared" si="10"/>
        <v>Överlapp</v>
      </c>
      <c r="X127" s="3" t="str">
        <f t="shared" si="11"/>
        <v/>
      </c>
    </row>
    <row r="128">
      <c r="A128" s="1" t="s">
        <v>134</v>
      </c>
      <c r="B128" s="3" t="str">
        <f>IFERROR(__xludf.DUMMYFUNCTION("SPLIT(A128, "","")"),"11-22")</f>
        <v>11-22</v>
      </c>
      <c r="C128" s="3" t="str">
        <f>IFERROR(__xludf.DUMMYFUNCTION("""COMPUTED_VALUE"""),"10-23")</f>
        <v>10-23</v>
      </c>
      <c r="D128" s="3">
        <f>IFERROR(__xludf.DUMMYFUNCTION("SPLIT(B128, ""-"")"),11.0)</f>
        <v>11</v>
      </c>
      <c r="E128" s="3">
        <f>IFERROR(__xludf.DUMMYFUNCTION("""COMPUTED_VALUE"""),22.0)</f>
        <v>22</v>
      </c>
      <c r="F128" s="3">
        <f>IFERROR(__xludf.DUMMYFUNCTION("SPLIT(C128, ""-"")"),10.0)</f>
        <v>10</v>
      </c>
      <c r="G128" s="3">
        <f>IFERROR(__xludf.DUMMYFUNCTION("""COMPUTED_VALUE"""),23.0)</f>
        <v>23</v>
      </c>
      <c r="I128" s="3" t="str">
        <f t="shared" si="1"/>
        <v/>
      </c>
      <c r="J128" s="3" t="str">
        <f t="shared" si="2"/>
        <v/>
      </c>
      <c r="K128" s="3" t="str">
        <f t="shared" si="3"/>
        <v>y</v>
      </c>
      <c r="L128" s="3" t="str">
        <f t="shared" si="4"/>
        <v>y</v>
      </c>
      <c r="N128" s="3" t="str">
        <f t="shared" si="5"/>
        <v/>
      </c>
      <c r="O128" s="3">
        <f t="shared" si="6"/>
        <v>1</v>
      </c>
      <c r="Q128" s="3">
        <f t="shared" si="7"/>
        <v>1</v>
      </c>
      <c r="U128" s="3">
        <f t="shared" si="8"/>
        <v>1</v>
      </c>
      <c r="V128" s="3" t="str">
        <f t="shared" si="9"/>
        <v>Överlapp</v>
      </c>
      <c r="W128" s="3" t="str">
        <f t="shared" si="10"/>
        <v>Överlapp</v>
      </c>
      <c r="X128" s="3" t="str">
        <f t="shared" si="11"/>
        <v/>
      </c>
    </row>
    <row r="129">
      <c r="A129" s="1" t="s">
        <v>135</v>
      </c>
      <c r="B129" s="3" t="str">
        <f>IFERROR(__xludf.DUMMYFUNCTION("SPLIT(A129, "","")"),"19-87")</f>
        <v>19-87</v>
      </c>
      <c r="C129" s="3" t="str">
        <f>IFERROR(__xludf.DUMMYFUNCTION("""COMPUTED_VALUE"""),"17-71")</f>
        <v>17-71</v>
      </c>
      <c r="D129" s="3">
        <f>IFERROR(__xludf.DUMMYFUNCTION("SPLIT(B129, ""-"")"),19.0)</f>
        <v>19</v>
      </c>
      <c r="E129" s="3">
        <f>IFERROR(__xludf.DUMMYFUNCTION("""COMPUTED_VALUE"""),87.0)</f>
        <v>87</v>
      </c>
      <c r="F129" s="3">
        <f>IFERROR(__xludf.DUMMYFUNCTION("SPLIT(C129, ""-"")"),17.0)</f>
        <v>17</v>
      </c>
      <c r="G129" s="3">
        <f>IFERROR(__xludf.DUMMYFUNCTION("""COMPUTED_VALUE"""),71.0)</f>
        <v>71</v>
      </c>
      <c r="I129" s="3" t="str">
        <f t="shared" si="1"/>
        <v/>
      </c>
      <c r="J129" s="3" t="str">
        <f t="shared" si="2"/>
        <v>y</v>
      </c>
      <c r="K129" s="3" t="str">
        <f t="shared" si="3"/>
        <v>y</v>
      </c>
      <c r="L129" s="3" t="str">
        <f t="shared" si="4"/>
        <v/>
      </c>
      <c r="N129" s="3" t="str">
        <f t="shared" si="5"/>
        <v/>
      </c>
      <c r="O129" s="3" t="str">
        <f t="shared" si="6"/>
        <v/>
      </c>
      <c r="Q129" s="3" t="str">
        <f t="shared" si="7"/>
        <v/>
      </c>
      <c r="U129" s="3">
        <f t="shared" si="8"/>
        <v>1</v>
      </c>
      <c r="V129" s="3" t="str">
        <f t="shared" si="9"/>
        <v>Överlapp</v>
      </c>
      <c r="W129" s="3" t="str">
        <f t="shared" si="10"/>
        <v>Överlapp</v>
      </c>
      <c r="X129" s="3" t="str">
        <f t="shared" si="11"/>
        <v/>
      </c>
    </row>
    <row r="130">
      <c r="A130" s="1" t="s">
        <v>136</v>
      </c>
      <c r="B130" s="3" t="str">
        <f>IFERROR(__xludf.DUMMYFUNCTION("SPLIT(A130, "","")"),"6-87")</f>
        <v>6-87</v>
      </c>
      <c r="C130" s="3" t="str">
        <f>IFERROR(__xludf.DUMMYFUNCTION("""COMPUTED_VALUE"""),"6-86")</f>
        <v>6-86</v>
      </c>
      <c r="D130" s="3">
        <f>IFERROR(__xludf.DUMMYFUNCTION("SPLIT(B130, ""-"")"),6.0)</f>
        <v>6</v>
      </c>
      <c r="E130" s="3">
        <f>IFERROR(__xludf.DUMMYFUNCTION("""COMPUTED_VALUE"""),87.0)</f>
        <v>87</v>
      </c>
      <c r="F130" s="3">
        <f>IFERROR(__xludf.DUMMYFUNCTION("SPLIT(C130, ""-"")"),6.0)</f>
        <v>6</v>
      </c>
      <c r="G130" s="3">
        <f>IFERROR(__xludf.DUMMYFUNCTION("""COMPUTED_VALUE"""),86.0)</f>
        <v>86</v>
      </c>
      <c r="I130" s="3" t="str">
        <f t="shared" si="1"/>
        <v>y</v>
      </c>
      <c r="J130" s="3" t="str">
        <f t="shared" si="2"/>
        <v>y</v>
      </c>
      <c r="K130" s="3" t="str">
        <f t="shared" si="3"/>
        <v>y</v>
      </c>
      <c r="L130" s="3" t="str">
        <f t="shared" si="4"/>
        <v/>
      </c>
      <c r="N130" s="3">
        <f t="shared" si="5"/>
        <v>1</v>
      </c>
      <c r="O130" s="3" t="str">
        <f t="shared" si="6"/>
        <v/>
      </c>
      <c r="Q130" s="3">
        <f t="shared" si="7"/>
        <v>1</v>
      </c>
      <c r="U130" s="3" t="str">
        <f t="shared" si="8"/>
        <v>Överlapp</v>
      </c>
      <c r="V130" s="3" t="str">
        <f t="shared" si="9"/>
        <v>Överlapp</v>
      </c>
      <c r="W130" s="3" t="str">
        <f t="shared" si="10"/>
        <v>Överlapp</v>
      </c>
      <c r="X130" s="3" t="str">
        <f t="shared" si="11"/>
        <v/>
      </c>
    </row>
    <row r="131">
      <c r="A131" s="1" t="s">
        <v>137</v>
      </c>
      <c r="B131" s="3" t="str">
        <f>IFERROR(__xludf.DUMMYFUNCTION("SPLIT(A131, "","")"),"83-87")</f>
        <v>83-87</v>
      </c>
      <c r="C131" s="3" t="str">
        <f>IFERROR(__xludf.DUMMYFUNCTION("""COMPUTED_VALUE"""),"24-52")</f>
        <v>24-52</v>
      </c>
      <c r="D131" s="3">
        <f>IFERROR(__xludf.DUMMYFUNCTION("SPLIT(B131, ""-"")"),83.0)</f>
        <v>83</v>
      </c>
      <c r="E131" s="3">
        <f>IFERROR(__xludf.DUMMYFUNCTION("""COMPUTED_VALUE"""),87.0)</f>
        <v>87</v>
      </c>
      <c r="F131" s="3">
        <f>IFERROR(__xludf.DUMMYFUNCTION("SPLIT(C131, ""-"")"),24.0)</f>
        <v>24</v>
      </c>
      <c r="G131" s="3">
        <f>IFERROR(__xludf.DUMMYFUNCTION("""COMPUTED_VALUE"""),52.0)</f>
        <v>52</v>
      </c>
      <c r="I131" s="3" t="str">
        <f t="shared" si="1"/>
        <v/>
      </c>
      <c r="J131" s="3" t="str">
        <f t="shared" si="2"/>
        <v>y</v>
      </c>
      <c r="K131" s="3" t="str">
        <f t="shared" si="3"/>
        <v>y</v>
      </c>
      <c r="L131" s="3" t="str">
        <f t="shared" si="4"/>
        <v/>
      </c>
      <c r="N131" s="3" t="str">
        <f t="shared" si="5"/>
        <v/>
      </c>
      <c r="O131" s="3" t="str">
        <f t="shared" si="6"/>
        <v/>
      </c>
      <c r="Q131" s="3" t="str">
        <f t="shared" si="7"/>
        <v/>
      </c>
      <c r="U131" s="3">
        <f t="shared" si="8"/>
        <v>1</v>
      </c>
      <c r="V131" s="3" t="str">
        <f t="shared" si="9"/>
        <v>Överlapp</v>
      </c>
      <c r="W131" s="3">
        <f t="shared" si="10"/>
        <v>1</v>
      </c>
      <c r="X131" s="3">
        <f t="shared" si="11"/>
        <v>1</v>
      </c>
    </row>
    <row r="132">
      <c r="A132" s="1" t="s">
        <v>138</v>
      </c>
      <c r="B132" s="3" t="str">
        <f>IFERROR(__xludf.DUMMYFUNCTION("SPLIT(A132, "","")"),"2-90")</f>
        <v>2-90</v>
      </c>
      <c r="C132" s="3" t="str">
        <f>IFERROR(__xludf.DUMMYFUNCTION("""COMPUTED_VALUE"""),"90-90")</f>
        <v>90-90</v>
      </c>
      <c r="D132" s="3">
        <f>IFERROR(__xludf.DUMMYFUNCTION("SPLIT(B132, ""-"")"),2.0)</f>
        <v>2</v>
      </c>
      <c r="E132" s="3">
        <f>IFERROR(__xludf.DUMMYFUNCTION("""COMPUTED_VALUE"""),90.0)</f>
        <v>90</v>
      </c>
      <c r="F132" s="3">
        <f>IFERROR(__xludf.DUMMYFUNCTION("SPLIT(C132, ""-"")"),90.0)</f>
        <v>90</v>
      </c>
      <c r="G132" s="3">
        <f>IFERROR(__xludf.DUMMYFUNCTION("""COMPUTED_VALUE"""),90.0)</f>
        <v>90</v>
      </c>
      <c r="I132" s="3" t="str">
        <f t="shared" si="1"/>
        <v>y</v>
      </c>
      <c r="J132" s="3" t="str">
        <f t="shared" si="2"/>
        <v>y</v>
      </c>
      <c r="K132" s="3" t="str">
        <f t="shared" si="3"/>
        <v/>
      </c>
      <c r="L132" s="3" t="str">
        <f t="shared" si="4"/>
        <v>y</v>
      </c>
      <c r="N132" s="3">
        <f t="shared" si="5"/>
        <v>1</v>
      </c>
      <c r="O132" s="3" t="str">
        <f t="shared" si="6"/>
        <v/>
      </c>
      <c r="Q132" s="3">
        <f t="shared" si="7"/>
        <v>1</v>
      </c>
      <c r="U132" s="3" t="str">
        <f t="shared" si="8"/>
        <v>Överlapp</v>
      </c>
      <c r="V132" s="3" t="str">
        <f t="shared" si="9"/>
        <v>Överlapp</v>
      </c>
      <c r="W132" s="3" t="str">
        <f t="shared" si="10"/>
        <v>Överlapp</v>
      </c>
      <c r="X132" s="3" t="str">
        <f t="shared" si="11"/>
        <v/>
      </c>
    </row>
    <row r="133">
      <c r="A133" s="1" t="s">
        <v>139</v>
      </c>
      <c r="B133" s="3" t="str">
        <f>IFERROR(__xludf.DUMMYFUNCTION("SPLIT(A133, "","")"),"5-68")</f>
        <v>5-68</v>
      </c>
      <c r="C133" s="3" t="str">
        <f>IFERROR(__xludf.DUMMYFUNCTION("""COMPUTED_VALUE"""),"63-94")</f>
        <v>63-94</v>
      </c>
      <c r="D133" s="3">
        <f>IFERROR(__xludf.DUMMYFUNCTION("SPLIT(B133, ""-"")"),5.0)</f>
        <v>5</v>
      </c>
      <c r="E133" s="3">
        <f>IFERROR(__xludf.DUMMYFUNCTION("""COMPUTED_VALUE"""),68.0)</f>
        <v>68</v>
      </c>
      <c r="F133" s="3">
        <f>IFERROR(__xludf.DUMMYFUNCTION("SPLIT(C133, ""-"")"),63.0)</f>
        <v>63</v>
      </c>
      <c r="G133" s="3">
        <f>IFERROR(__xludf.DUMMYFUNCTION("""COMPUTED_VALUE"""),94.0)</f>
        <v>94</v>
      </c>
      <c r="I133" s="3" t="str">
        <f t="shared" si="1"/>
        <v>y</v>
      </c>
      <c r="J133" s="3" t="str">
        <f t="shared" si="2"/>
        <v/>
      </c>
      <c r="K133" s="3" t="str">
        <f t="shared" si="3"/>
        <v/>
      </c>
      <c r="L133" s="3" t="str">
        <f t="shared" si="4"/>
        <v>y</v>
      </c>
      <c r="N133" s="3" t="str">
        <f t="shared" si="5"/>
        <v/>
      </c>
      <c r="O133" s="3" t="str">
        <f t="shared" si="6"/>
        <v/>
      </c>
      <c r="Q133" s="3" t="str">
        <f t="shared" si="7"/>
        <v/>
      </c>
      <c r="U133" s="3">
        <f t="shared" si="8"/>
        <v>1</v>
      </c>
      <c r="V133" s="3" t="str">
        <f t="shared" si="9"/>
        <v>Överlapp</v>
      </c>
      <c r="W133" s="3" t="str">
        <f t="shared" si="10"/>
        <v>Överlapp</v>
      </c>
      <c r="X133" s="3" t="str">
        <f t="shared" si="11"/>
        <v/>
      </c>
    </row>
    <row r="134">
      <c r="A134" s="1" t="s">
        <v>140</v>
      </c>
      <c r="B134" s="3" t="str">
        <f>IFERROR(__xludf.DUMMYFUNCTION("SPLIT(A134, "","")"),"10-87")</f>
        <v>10-87</v>
      </c>
      <c r="C134" s="3" t="str">
        <f>IFERROR(__xludf.DUMMYFUNCTION("""COMPUTED_VALUE"""),"87-88")</f>
        <v>87-88</v>
      </c>
      <c r="D134" s="3">
        <f>IFERROR(__xludf.DUMMYFUNCTION("SPLIT(B134, ""-"")"),10.0)</f>
        <v>10</v>
      </c>
      <c r="E134" s="3">
        <f>IFERROR(__xludf.DUMMYFUNCTION("""COMPUTED_VALUE"""),87.0)</f>
        <v>87</v>
      </c>
      <c r="F134" s="3">
        <f>IFERROR(__xludf.DUMMYFUNCTION("SPLIT(C134, ""-"")"),87.0)</f>
        <v>87</v>
      </c>
      <c r="G134" s="3">
        <f>IFERROR(__xludf.DUMMYFUNCTION("""COMPUTED_VALUE"""),88.0)</f>
        <v>88</v>
      </c>
      <c r="I134" s="3" t="str">
        <f t="shared" si="1"/>
        <v>y</v>
      </c>
      <c r="J134" s="3" t="str">
        <f t="shared" si="2"/>
        <v/>
      </c>
      <c r="K134" s="3" t="str">
        <f t="shared" si="3"/>
        <v/>
      </c>
      <c r="L134" s="3" t="str">
        <f t="shared" si="4"/>
        <v>y</v>
      </c>
      <c r="N134" s="3" t="str">
        <f t="shared" si="5"/>
        <v/>
      </c>
      <c r="O134" s="3" t="str">
        <f t="shared" si="6"/>
        <v/>
      </c>
      <c r="Q134" s="3" t="str">
        <f t="shared" si="7"/>
        <v/>
      </c>
      <c r="U134" s="3" t="str">
        <f t="shared" si="8"/>
        <v>Överlapp</v>
      </c>
      <c r="V134" s="3" t="str">
        <f t="shared" si="9"/>
        <v>Överlapp</v>
      </c>
      <c r="W134" s="3" t="str">
        <f t="shared" si="10"/>
        <v>Överlapp</v>
      </c>
      <c r="X134" s="3" t="str">
        <f t="shared" si="11"/>
        <v/>
      </c>
    </row>
    <row r="135">
      <c r="A135" s="1" t="s">
        <v>141</v>
      </c>
      <c r="B135" s="3" t="str">
        <f>IFERROR(__xludf.DUMMYFUNCTION("SPLIT(A135, "","")"),"37-88")</f>
        <v>37-88</v>
      </c>
      <c r="C135" s="3" t="str">
        <f>IFERROR(__xludf.DUMMYFUNCTION("""COMPUTED_VALUE"""),"37-89")</f>
        <v>37-89</v>
      </c>
      <c r="D135" s="3">
        <f>IFERROR(__xludf.DUMMYFUNCTION("SPLIT(B135, ""-"")"),37.0)</f>
        <v>37</v>
      </c>
      <c r="E135" s="3">
        <f>IFERROR(__xludf.DUMMYFUNCTION("""COMPUTED_VALUE"""),88.0)</f>
        <v>88</v>
      </c>
      <c r="F135" s="3">
        <f>IFERROR(__xludf.DUMMYFUNCTION("SPLIT(C135, ""-"")"),37.0)</f>
        <v>37</v>
      </c>
      <c r="G135" s="3">
        <f>IFERROR(__xludf.DUMMYFUNCTION("""COMPUTED_VALUE"""),89.0)</f>
        <v>89</v>
      </c>
      <c r="I135" s="3" t="str">
        <f t="shared" si="1"/>
        <v>y</v>
      </c>
      <c r="J135" s="3" t="str">
        <f t="shared" si="2"/>
        <v/>
      </c>
      <c r="K135" s="3" t="str">
        <f t="shared" si="3"/>
        <v>y</v>
      </c>
      <c r="L135" s="3" t="str">
        <f t="shared" si="4"/>
        <v>y</v>
      </c>
      <c r="N135" s="3" t="str">
        <f t="shared" si="5"/>
        <v/>
      </c>
      <c r="O135" s="3">
        <f t="shared" si="6"/>
        <v>1</v>
      </c>
      <c r="Q135" s="3">
        <f t="shared" si="7"/>
        <v>1</v>
      </c>
      <c r="U135" s="3" t="str">
        <f t="shared" si="8"/>
        <v>Överlapp</v>
      </c>
      <c r="V135" s="3" t="str">
        <f t="shared" si="9"/>
        <v>Överlapp</v>
      </c>
      <c r="W135" s="3" t="str">
        <f t="shared" si="10"/>
        <v>Överlapp</v>
      </c>
      <c r="X135" s="3" t="str">
        <f t="shared" si="11"/>
        <v/>
      </c>
    </row>
    <row r="136">
      <c r="A136" s="1" t="s">
        <v>142</v>
      </c>
      <c r="B136" s="3" t="str">
        <f>IFERROR(__xludf.DUMMYFUNCTION("SPLIT(A136, "","")"),"1-94")</f>
        <v>1-94</v>
      </c>
      <c r="C136" s="3" t="str">
        <f>IFERROR(__xludf.DUMMYFUNCTION("""COMPUTED_VALUE"""),"3-93")</f>
        <v>3-93</v>
      </c>
      <c r="D136" s="3">
        <f>IFERROR(__xludf.DUMMYFUNCTION("SPLIT(B136, ""-"")"),1.0)</f>
        <v>1</v>
      </c>
      <c r="E136" s="3">
        <f>IFERROR(__xludf.DUMMYFUNCTION("""COMPUTED_VALUE"""),94.0)</f>
        <v>94</v>
      </c>
      <c r="F136" s="3">
        <f>IFERROR(__xludf.DUMMYFUNCTION("SPLIT(C136, ""-"")"),3.0)</f>
        <v>3</v>
      </c>
      <c r="G136" s="3">
        <f>IFERROR(__xludf.DUMMYFUNCTION("""COMPUTED_VALUE"""),93.0)</f>
        <v>93</v>
      </c>
      <c r="I136" s="3" t="str">
        <f t="shared" si="1"/>
        <v>y</v>
      </c>
      <c r="J136" s="3" t="str">
        <f t="shared" si="2"/>
        <v>y</v>
      </c>
      <c r="K136" s="3" t="str">
        <f t="shared" si="3"/>
        <v/>
      </c>
      <c r="L136" s="3" t="str">
        <f t="shared" si="4"/>
        <v/>
      </c>
      <c r="N136" s="3">
        <f t="shared" si="5"/>
        <v>1</v>
      </c>
      <c r="O136" s="3" t="str">
        <f t="shared" si="6"/>
        <v/>
      </c>
      <c r="Q136" s="3">
        <f t="shared" si="7"/>
        <v>1</v>
      </c>
      <c r="U136" s="3">
        <f t="shared" si="8"/>
        <v>1</v>
      </c>
      <c r="V136" s="3" t="str">
        <f t="shared" si="9"/>
        <v>Överlapp</v>
      </c>
      <c r="W136" s="3" t="str">
        <f t="shared" si="10"/>
        <v>Överlapp</v>
      </c>
      <c r="X136" s="3" t="str">
        <f t="shared" si="11"/>
        <v/>
      </c>
    </row>
    <row r="137">
      <c r="A137" s="1" t="s">
        <v>143</v>
      </c>
      <c r="B137" s="3" t="str">
        <f>IFERROR(__xludf.DUMMYFUNCTION("SPLIT(A137, "","")"),"48-89")</f>
        <v>48-89</v>
      </c>
      <c r="C137" s="3" t="str">
        <f>IFERROR(__xludf.DUMMYFUNCTION("""COMPUTED_VALUE"""),"89-91")</f>
        <v>89-91</v>
      </c>
      <c r="D137" s="3">
        <f>IFERROR(__xludf.DUMMYFUNCTION("SPLIT(B137, ""-"")"),48.0)</f>
        <v>48</v>
      </c>
      <c r="E137" s="3">
        <f>IFERROR(__xludf.DUMMYFUNCTION("""COMPUTED_VALUE"""),89.0)</f>
        <v>89</v>
      </c>
      <c r="F137" s="3">
        <f>IFERROR(__xludf.DUMMYFUNCTION("SPLIT(C137, ""-"")"),89.0)</f>
        <v>89</v>
      </c>
      <c r="G137" s="3">
        <f>IFERROR(__xludf.DUMMYFUNCTION("""COMPUTED_VALUE"""),91.0)</f>
        <v>91</v>
      </c>
      <c r="I137" s="3" t="str">
        <f t="shared" si="1"/>
        <v>y</v>
      </c>
      <c r="J137" s="3" t="str">
        <f t="shared" si="2"/>
        <v/>
      </c>
      <c r="K137" s="3" t="str">
        <f t="shared" si="3"/>
        <v/>
      </c>
      <c r="L137" s="3" t="str">
        <f t="shared" si="4"/>
        <v>y</v>
      </c>
      <c r="N137" s="3" t="str">
        <f t="shared" si="5"/>
        <v/>
      </c>
      <c r="O137" s="3" t="str">
        <f t="shared" si="6"/>
        <v/>
      </c>
      <c r="Q137" s="3" t="str">
        <f t="shared" si="7"/>
        <v/>
      </c>
      <c r="U137" s="3" t="str">
        <f t="shared" si="8"/>
        <v>Överlapp</v>
      </c>
      <c r="V137" s="3" t="str">
        <f t="shared" si="9"/>
        <v>Överlapp</v>
      </c>
      <c r="W137" s="3" t="str">
        <f t="shared" si="10"/>
        <v>Överlapp</v>
      </c>
      <c r="X137" s="3" t="str">
        <f t="shared" si="11"/>
        <v/>
      </c>
    </row>
    <row r="138">
      <c r="A138" s="1" t="s">
        <v>144</v>
      </c>
      <c r="B138" s="3" t="str">
        <f>IFERROR(__xludf.DUMMYFUNCTION("SPLIT(A138, "","")"),"21-94")</f>
        <v>21-94</v>
      </c>
      <c r="C138" s="3" t="str">
        <f>IFERROR(__xludf.DUMMYFUNCTION("""COMPUTED_VALUE"""),"20-21")</f>
        <v>20-21</v>
      </c>
      <c r="D138" s="3">
        <f>IFERROR(__xludf.DUMMYFUNCTION("SPLIT(B138, ""-"")"),21.0)</f>
        <v>21</v>
      </c>
      <c r="E138" s="3">
        <f>IFERROR(__xludf.DUMMYFUNCTION("""COMPUTED_VALUE"""),94.0)</f>
        <v>94</v>
      </c>
      <c r="F138" s="3">
        <f>IFERROR(__xludf.DUMMYFUNCTION("SPLIT(C138, ""-"")"),20.0)</f>
        <v>20</v>
      </c>
      <c r="G138" s="3">
        <f>IFERROR(__xludf.DUMMYFUNCTION("""COMPUTED_VALUE"""),21.0)</f>
        <v>21</v>
      </c>
      <c r="I138" s="3" t="str">
        <f t="shared" si="1"/>
        <v/>
      </c>
      <c r="J138" s="3" t="str">
        <f t="shared" si="2"/>
        <v>y</v>
      </c>
      <c r="K138" s="3" t="str">
        <f t="shared" si="3"/>
        <v>y</v>
      </c>
      <c r="L138" s="3" t="str">
        <f t="shared" si="4"/>
        <v/>
      </c>
      <c r="N138" s="3" t="str">
        <f t="shared" si="5"/>
        <v/>
      </c>
      <c r="O138" s="3" t="str">
        <f t="shared" si="6"/>
        <v/>
      </c>
      <c r="Q138" s="3" t="str">
        <f t="shared" si="7"/>
        <v/>
      </c>
      <c r="U138" s="3" t="str">
        <f t="shared" si="8"/>
        <v>Överlapp</v>
      </c>
      <c r="V138" s="3" t="str">
        <f t="shared" si="9"/>
        <v>Överlapp</v>
      </c>
      <c r="W138" s="3" t="str">
        <f t="shared" si="10"/>
        <v>Överlapp</v>
      </c>
      <c r="X138" s="3" t="str">
        <f t="shared" si="11"/>
        <v/>
      </c>
    </row>
    <row r="139">
      <c r="A139" s="1" t="s">
        <v>145</v>
      </c>
      <c r="B139" s="3" t="str">
        <f>IFERROR(__xludf.DUMMYFUNCTION("SPLIT(A139, "","")"),"36-99")</f>
        <v>36-99</v>
      </c>
      <c r="C139" s="3" t="str">
        <f>IFERROR(__xludf.DUMMYFUNCTION("""COMPUTED_VALUE"""),"11-96")</f>
        <v>11-96</v>
      </c>
      <c r="D139" s="3">
        <f>IFERROR(__xludf.DUMMYFUNCTION("SPLIT(B139, ""-"")"),36.0)</f>
        <v>36</v>
      </c>
      <c r="E139" s="3">
        <f>IFERROR(__xludf.DUMMYFUNCTION("""COMPUTED_VALUE"""),99.0)</f>
        <v>99</v>
      </c>
      <c r="F139" s="3">
        <f>IFERROR(__xludf.DUMMYFUNCTION("SPLIT(C139, ""-"")"),11.0)</f>
        <v>11</v>
      </c>
      <c r="G139" s="3">
        <f>IFERROR(__xludf.DUMMYFUNCTION("""COMPUTED_VALUE"""),96.0)</f>
        <v>96</v>
      </c>
      <c r="I139" s="3" t="str">
        <f t="shared" si="1"/>
        <v/>
      </c>
      <c r="J139" s="3" t="str">
        <f t="shared" si="2"/>
        <v>y</v>
      </c>
      <c r="K139" s="3" t="str">
        <f t="shared" si="3"/>
        <v>y</v>
      </c>
      <c r="L139" s="3" t="str">
        <f t="shared" si="4"/>
        <v/>
      </c>
      <c r="N139" s="3" t="str">
        <f t="shared" si="5"/>
        <v/>
      </c>
      <c r="O139" s="3" t="str">
        <f t="shared" si="6"/>
        <v/>
      </c>
      <c r="Q139" s="3" t="str">
        <f t="shared" si="7"/>
        <v/>
      </c>
      <c r="U139" s="3">
        <f t="shared" si="8"/>
        <v>1</v>
      </c>
      <c r="V139" s="3" t="str">
        <f t="shared" si="9"/>
        <v>Överlapp</v>
      </c>
      <c r="W139" s="3" t="str">
        <f t="shared" si="10"/>
        <v>Överlapp</v>
      </c>
      <c r="X139" s="3" t="str">
        <f t="shared" si="11"/>
        <v/>
      </c>
    </row>
    <row r="140">
      <c r="A140" s="1" t="s">
        <v>146</v>
      </c>
      <c r="B140" s="3" t="str">
        <f>IFERROR(__xludf.DUMMYFUNCTION("SPLIT(A140, "","")"),"23-23")</f>
        <v>23-23</v>
      </c>
      <c r="C140" s="3" t="str">
        <f>IFERROR(__xludf.DUMMYFUNCTION("""COMPUTED_VALUE"""),"21-23")</f>
        <v>21-23</v>
      </c>
      <c r="D140" s="3">
        <f>IFERROR(__xludf.DUMMYFUNCTION("SPLIT(B140, ""-"")"),23.0)</f>
        <v>23</v>
      </c>
      <c r="E140" s="3">
        <f>IFERROR(__xludf.DUMMYFUNCTION("""COMPUTED_VALUE"""),23.0)</f>
        <v>23</v>
      </c>
      <c r="F140" s="3">
        <f>IFERROR(__xludf.DUMMYFUNCTION("SPLIT(C140, ""-"")"),21.0)</f>
        <v>21</v>
      </c>
      <c r="G140" s="3">
        <f>IFERROR(__xludf.DUMMYFUNCTION("""COMPUTED_VALUE"""),23.0)</f>
        <v>23</v>
      </c>
      <c r="I140" s="3" t="str">
        <f t="shared" si="1"/>
        <v/>
      </c>
      <c r="J140" s="3" t="str">
        <f t="shared" si="2"/>
        <v>y</v>
      </c>
      <c r="K140" s="3" t="str">
        <f t="shared" si="3"/>
        <v>y</v>
      </c>
      <c r="L140" s="3" t="str">
        <f t="shared" si="4"/>
        <v>y</v>
      </c>
      <c r="N140" s="3" t="str">
        <f t="shared" si="5"/>
        <v/>
      </c>
      <c r="O140" s="3">
        <f t="shared" si="6"/>
        <v>1</v>
      </c>
      <c r="Q140" s="3">
        <f t="shared" si="7"/>
        <v>1</v>
      </c>
      <c r="U140" s="3" t="str">
        <f t="shared" si="8"/>
        <v>Överlapp</v>
      </c>
      <c r="V140" s="3" t="str">
        <f t="shared" si="9"/>
        <v>Överlapp</v>
      </c>
      <c r="W140" s="3" t="str">
        <f t="shared" si="10"/>
        <v>Överlapp</v>
      </c>
      <c r="X140" s="3" t="str">
        <f t="shared" si="11"/>
        <v/>
      </c>
    </row>
    <row r="141">
      <c r="A141" s="1" t="s">
        <v>147</v>
      </c>
      <c r="B141" s="3" t="str">
        <f>IFERROR(__xludf.DUMMYFUNCTION("SPLIT(A141, "","")"),"6-69")</f>
        <v>6-69</v>
      </c>
      <c r="C141" s="3" t="str">
        <f>IFERROR(__xludf.DUMMYFUNCTION("""COMPUTED_VALUE"""),"4-68")</f>
        <v>4-68</v>
      </c>
      <c r="D141" s="3">
        <f>IFERROR(__xludf.DUMMYFUNCTION("SPLIT(B141, ""-"")"),6.0)</f>
        <v>6</v>
      </c>
      <c r="E141" s="3">
        <f>IFERROR(__xludf.DUMMYFUNCTION("""COMPUTED_VALUE"""),69.0)</f>
        <v>69</v>
      </c>
      <c r="F141" s="3">
        <f>IFERROR(__xludf.DUMMYFUNCTION("SPLIT(C141, ""-"")"),4.0)</f>
        <v>4</v>
      </c>
      <c r="G141" s="3">
        <f>IFERROR(__xludf.DUMMYFUNCTION("""COMPUTED_VALUE"""),68.0)</f>
        <v>68</v>
      </c>
      <c r="I141" s="3" t="str">
        <f t="shared" si="1"/>
        <v/>
      </c>
      <c r="J141" s="3" t="str">
        <f t="shared" si="2"/>
        <v>y</v>
      </c>
      <c r="K141" s="3" t="str">
        <f t="shared" si="3"/>
        <v>y</v>
      </c>
      <c r="L141" s="3" t="str">
        <f t="shared" si="4"/>
        <v/>
      </c>
      <c r="N141" s="3" t="str">
        <f t="shared" si="5"/>
        <v/>
      </c>
      <c r="O141" s="3" t="str">
        <f t="shared" si="6"/>
        <v/>
      </c>
      <c r="Q141" s="3" t="str">
        <f t="shared" si="7"/>
        <v/>
      </c>
      <c r="U141" s="3">
        <f t="shared" si="8"/>
        <v>1</v>
      </c>
      <c r="V141" s="3" t="str">
        <f t="shared" si="9"/>
        <v>Överlapp</v>
      </c>
      <c r="W141" s="3" t="str">
        <f t="shared" si="10"/>
        <v>Överlapp</v>
      </c>
      <c r="X141" s="3" t="str">
        <f t="shared" si="11"/>
        <v/>
      </c>
    </row>
    <row r="142">
      <c r="A142" s="1" t="s">
        <v>148</v>
      </c>
      <c r="B142" s="3" t="str">
        <f>IFERROR(__xludf.DUMMYFUNCTION("SPLIT(A142, "","")"),"9-79")</f>
        <v>9-79</v>
      </c>
      <c r="C142" s="3" t="str">
        <f>IFERROR(__xludf.DUMMYFUNCTION("""COMPUTED_VALUE"""),"8-78")</f>
        <v>8-78</v>
      </c>
      <c r="D142" s="3">
        <f>IFERROR(__xludf.DUMMYFUNCTION("SPLIT(B142, ""-"")"),9.0)</f>
        <v>9</v>
      </c>
      <c r="E142" s="3">
        <f>IFERROR(__xludf.DUMMYFUNCTION("""COMPUTED_VALUE"""),79.0)</f>
        <v>79</v>
      </c>
      <c r="F142" s="3">
        <f>IFERROR(__xludf.DUMMYFUNCTION("SPLIT(C142, ""-"")"),8.0)</f>
        <v>8</v>
      </c>
      <c r="G142" s="3">
        <f>IFERROR(__xludf.DUMMYFUNCTION("""COMPUTED_VALUE"""),78.0)</f>
        <v>78</v>
      </c>
      <c r="I142" s="3" t="str">
        <f t="shared" si="1"/>
        <v/>
      </c>
      <c r="J142" s="3" t="str">
        <f t="shared" si="2"/>
        <v>y</v>
      </c>
      <c r="K142" s="3" t="str">
        <f t="shared" si="3"/>
        <v>y</v>
      </c>
      <c r="L142" s="3" t="str">
        <f t="shared" si="4"/>
        <v/>
      </c>
      <c r="N142" s="3" t="str">
        <f t="shared" si="5"/>
        <v/>
      </c>
      <c r="O142" s="3" t="str">
        <f t="shared" si="6"/>
        <v/>
      </c>
      <c r="Q142" s="3" t="str">
        <f t="shared" si="7"/>
        <v/>
      </c>
      <c r="U142" s="3">
        <f t="shared" si="8"/>
        <v>1</v>
      </c>
      <c r="V142" s="3" t="str">
        <f t="shared" si="9"/>
        <v>Överlapp</v>
      </c>
      <c r="W142" s="3" t="str">
        <f t="shared" si="10"/>
        <v>Överlapp</v>
      </c>
      <c r="X142" s="3" t="str">
        <f t="shared" si="11"/>
        <v/>
      </c>
    </row>
    <row r="143">
      <c r="A143" s="1" t="s">
        <v>149</v>
      </c>
      <c r="B143" s="3" t="str">
        <f>IFERROR(__xludf.DUMMYFUNCTION("SPLIT(A143, "","")"),"14-98")</f>
        <v>14-98</v>
      </c>
      <c r="C143" s="3" t="str">
        <f>IFERROR(__xludf.DUMMYFUNCTION("""COMPUTED_VALUE"""),"14-98")</f>
        <v>14-98</v>
      </c>
      <c r="D143" s="3">
        <f>IFERROR(__xludf.DUMMYFUNCTION("SPLIT(B143, ""-"")"),14.0)</f>
        <v>14</v>
      </c>
      <c r="E143" s="3">
        <f>IFERROR(__xludf.DUMMYFUNCTION("""COMPUTED_VALUE"""),98.0)</f>
        <v>98</v>
      </c>
      <c r="F143" s="3">
        <f>IFERROR(__xludf.DUMMYFUNCTION("SPLIT(C143, ""-"")"),14.0)</f>
        <v>14</v>
      </c>
      <c r="G143" s="3">
        <f>IFERROR(__xludf.DUMMYFUNCTION("""COMPUTED_VALUE"""),98.0)</f>
        <v>98</v>
      </c>
      <c r="I143" s="3" t="str">
        <f t="shared" si="1"/>
        <v>y</v>
      </c>
      <c r="J143" s="3" t="str">
        <f t="shared" si="2"/>
        <v>y</v>
      </c>
      <c r="K143" s="3" t="str">
        <f t="shared" si="3"/>
        <v>y</v>
      </c>
      <c r="L143" s="3" t="str">
        <f t="shared" si="4"/>
        <v>y</v>
      </c>
      <c r="N143" s="3">
        <f t="shared" si="5"/>
        <v>1</v>
      </c>
      <c r="O143" s="3">
        <f t="shared" si="6"/>
        <v>1</v>
      </c>
      <c r="Q143" s="3">
        <f t="shared" si="7"/>
        <v>1</v>
      </c>
      <c r="U143" s="3" t="str">
        <f t="shared" si="8"/>
        <v>Överlapp</v>
      </c>
      <c r="V143" s="3" t="str">
        <f t="shared" si="9"/>
        <v>Överlapp</v>
      </c>
      <c r="W143" s="3" t="str">
        <f t="shared" si="10"/>
        <v>Överlapp</v>
      </c>
      <c r="X143" s="3" t="str">
        <f t="shared" si="11"/>
        <v/>
      </c>
    </row>
    <row r="144">
      <c r="A144" s="1" t="s">
        <v>150</v>
      </c>
      <c r="B144" s="3" t="str">
        <f>IFERROR(__xludf.DUMMYFUNCTION("SPLIT(A144, "","")"),"99-99")</f>
        <v>99-99</v>
      </c>
      <c r="C144" s="3" t="str">
        <f>IFERROR(__xludf.DUMMYFUNCTION("""COMPUTED_VALUE"""),"98-99")</f>
        <v>98-99</v>
      </c>
      <c r="D144" s="3">
        <f>IFERROR(__xludf.DUMMYFUNCTION("SPLIT(B144, ""-"")"),99.0)</f>
        <v>99</v>
      </c>
      <c r="E144" s="3">
        <f>IFERROR(__xludf.DUMMYFUNCTION("""COMPUTED_VALUE"""),99.0)</f>
        <v>99</v>
      </c>
      <c r="F144" s="3">
        <f>IFERROR(__xludf.DUMMYFUNCTION("SPLIT(C144, ""-"")"),98.0)</f>
        <v>98</v>
      </c>
      <c r="G144" s="3">
        <f>IFERROR(__xludf.DUMMYFUNCTION("""COMPUTED_VALUE"""),99.0)</f>
        <v>99</v>
      </c>
      <c r="I144" s="3" t="str">
        <f t="shared" si="1"/>
        <v/>
      </c>
      <c r="J144" s="3" t="str">
        <f t="shared" si="2"/>
        <v>y</v>
      </c>
      <c r="K144" s="3" t="str">
        <f t="shared" si="3"/>
        <v>y</v>
      </c>
      <c r="L144" s="3" t="str">
        <f t="shared" si="4"/>
        <v>y</v>
      </c>
      <c r="N144" s="3" t="str">
        <f t="shared" si="5"/>
        <v/>
      </c>
      <c r="O144" s="3">
        <f t="shared" si="6"/>
        <v>1</v>
      </c>
      <c r="Q144" s="3">
        <f t="shared" si="7"/>
        <v>1</v>
      </c>
      <c r="U144" s="3" t="str">
        <f t="shared" si="8"/>
        <v>Överlapp</v>
      </c>
      <c r="V144" s="3" t="str">
        <f t="shared" si="9"/>
        <v>Överlapp</v>
      </c>
      <c r="W144" s="3" t="str">
        <f t="shared" si="10"/>
        <v>Överlapp</v>
      </c>
      <c r="X144" s="3" t="str">
        <f t="shared" si="11"/>
        <v/>
      </c>
    </row>
    <row r="145">
      <c r="A145" s="1" t="s">
        <v>151</v>
      </c>
      <c r="B145" s="3" t="str">
        <f>IFERROR(__xludf.DUMMYFUNCTION("SPLIT(A145, "","")"),"59-99")</f>
        <v>59-99</v>
      </c>
      <c r="C145" s="3" t="str">
        <f>IFERROR(__xludf.DUMMYFUNCTION("""COMPUTED_VALUE"""),"59-64")</f>
        <v>59-64</v>
      </c>
      <c r="D145" s="3">
        <f>IFERROR(__xludf.DUMMYFUNCTION("SPLIT(B145, ""-"")"),59.0)</f>
        <v>59</v>
      </c>
      <c r="E145" s="3">
        <f>IFERROR(__xludf.DUMMYFUNCTION("""COMPUTED_VALUE"""),99.0)</f>
        <v>99</v>
      </c>
      <c r="F145" s="3">
        <f>IFERROR(__xludf.DUMMYFUNCTION("SPLIT(C145, ""-"")"),59.0)</f>
        <v>59</v>
      </c>
      <c r="G145" s="3">
        <f>IFERROR(__xludf.DUMMYFUNCTION("""COMPUTED_VALUE"""),64.0)</f>
        <v>64</v>
      </c>
      <c r="I145" s="3" t="str">
        <f t="shared" si="1"/>
        <v>y</v>
      </c>
      <c r="J145" s="3" t="str">
        <f t="shared" si="2"/>
        <v>y</v>
      </c>
      <c r="K145" s="3" t="str">
        <f t="shared" si="3"/>
        <v>y</v>
      </c>
      <c r="L145" s="3" t="str">
        <f t="shared" si="4"/>
        <v/>
      </c>
      <c r="N145" s="3">
        <f t="shared" si="5"/>
        <v>1</v>
      </c>
      <c r="O145" s="3" t="str">
        <f t="shared" si="6"/>
        <v/>
      </c>
      <c r="Q145" s="3">
        <f t="shared" si="7"/>
        <v>1</v>
      </c>
      <c r="U145" s="3" t="str">
        <f t="shared" si="8"/>
        <v>Överlapp</v>
      </c>
      <c r="V145" s="3" t="str">
        <f t="shared" si="9"/>
        <v>Överlapp</v>
      </c>
      <c r="W145" s="3" t="str">
        <f t="shared" si="10"/>
        <v>Överlapp</v>
      </c>
      <c r="X145" s="3" t="str">
        <f t="shared" si="11"/>
        <v/>
      </c>
    </row>
    <row r="146">
      <c r="A146" s="1" t="s">
        <v>152</v>
      </c>
      <c r="B146" s="3" t="str">
        <f>IFERROR(__xludf.DUMMYFUNCTION("SPLIT(A146, "","")"),"22-22")</f>
        <v>22-22</v>
      </c>
      <c r="C146" s="3" t="str">
        <f>IFERROR(__xludf.DUMMYFUNCTION("""COMPUTED_VALUE"""),"22-98")</f>
        <v>22-98</v>
      </c>
      <c r="D146" s="3">
        <f>IFERROR(__xludf.DUMMYFUNCTION("SPLIT(B146, ""-"")"),22.0)</f>
        <v>22</v>
      </c>
      <c r="E146" s="3">
        <f>IFERROR(__xludf.DUMMYFUNCTION("""COMPUTED_VALUE"""),22.0)</f>
        <v>22</v>
      </c>
      <c r="F146" s="3">
        <f>IFERROR(__xludf.DUMMYFUNCTION("SPLIT(C146, ""-"")"),22.0)</f>
        <v>22</v>
      </c>
      <c r="G146" s="3">
        <f>IFERROR(__xludf.DUMMYFUNCTION("""COMPUTED_VALUE"""),98.0)</f>
        <v>98</v>
      </c>
      <c r="I146" s="3" t="str">
        <f t="shared" si="1"/>
        <v>y</v>
      </c>
      <c r="J146" s="3" t="str">
        <f t="shared" si="2"/>
        <v/>
      </c>
      <c r="K146" s="3" t="str">
        <f t="shared" si="3"/>
        <v>y</v>
      </c>
      <c r="L146" s="3" t="str">
        <f t="shared" si="4"/>
        <v>y</v>
      </c>
      <c r="N146" s="3" t="str">
        <f t="shared" si="5"/>
        <v/>
      </c>
      <c r="O146" s="3">
        <f t="shared" si="6"/>
        <v>1</v>
      </c>
      <c r="Q146" s="3">
        <f t="shared" si="7"/>
        <v>1</v>
      </c>
      <c r="U146" s="3" t="str">
        <f t="shared" si="8"/>
        <v>Överlapp</v>
      </c>
      <c r="V146" s="3" t="str">
        <f t="shared" si="9"/>
        <v>Överlapp</v>
      </c>
      <c r="W146" s="3" t="str">
        <f t="shared" si="10"/>
        <v>Överlapp</v>
      </c>
      <c r="X146" s="3" t="str">
        <f t="shared" si="11"/>
        <v/>
      </c>
    </row>
    <row r="147">
      <c r="A147" s="1" t="s">
        <v>153</v>
      </c>
      <c r="B147" s="3" t="str">
        <f>IFERROR(__xludf.DUMMYFUNCTION("SPLIT(A147, "","")"),"70-70")</f>
        <v>70-70</v>
      </c>
      <c r="C147" s="3" t="str">
        <f>IFERROR(__xludf.DUMMYFUNCTION("""COMPUTED_VALUE"""),"69-98")</f>
        <v>69-98</v>
      </c>
      <c r="D147" s="3">
        <f>IFERROR(__xludf.DUMMYFUNCTION("SPLIT(B147, ""-"")"),70.0)</f>
        <v>70</v>
      </c>
      <c r="E147" s="3">
        <f>IFERROR(__xludf.DUMMYFUNCTION("""COMPUTED_VALUE"""),70.0)</f>
        <v>70</v>
      </c>
      <c r="F147" s="3">
        <f>IFERROR(__xludf.DUMMYFUNCTION("SPLIT(C147, ""-"")"),69.0)</f>
        <v>69</v>
      </c>
      <c r="G147" s="3">
        <f>IFERROR(__xludf.DUMMYFUNCTION("""COMPUTED_VALUE"""),98.0)</f>
        <v>98</v>
      </c>
      <c r="I147" s="3" t="str">
        <f t="shared" si="1"/>
        <v/>
      </c>
      <c r="J147" s="3" t="str">
        <f t="shared" si="2"/>
        <v/>
      </c>
      <c r="K147" s="3" t="str">
        <f t="shared" si="3"/>
        <v>y</v>
      </c>
      <c r="L147" s="3" t="str">
        <f t="shared" si="4"/>
        <v>y</v>
      </c>
      <c r="N147" s="3" t="str">
        <f t="shared" si="5"/>
        <v/>
      </c>
      <c r="O147" s="3">
        <f t="shared" si="6"/>
        <v>1</v>
      </c>
      <c r="Q147" s="3">
        <f t="shared" si="7"/>
        <v>1</v>
      </c>
      <c r="U147" s="3">
        <f t="shared" si="8"/>
        <v>1</v>
      </c>
      <c r="V147" s="3" t="str">
        <f t="shared" si="9"/>
        <v>Överlapp</v>
      </c>
      <c r="W147" s="3" t="str">
        <f t="shared" si="10"/>
        <v>Överlapp</v>
      </c>
      <c r="X147" s="3" t="str">
        <f t="shared" si="11"/>
        <v/>
      </c>
    </row>
    <row r="148">
      <c r="A148" s="1" t="s">
        <v>154</v>
      </c>
      <c r="B148" s="3" t="str">
        <f>IFERROR(__xludf.DUMMYFUNCTION("SPLIT(A148, "","")"),"5-63")</f>
        <v>5-63</v>
      </c>
      <c r="C148" s="3" t="str">
        <f>IFERROR(__xludf.DUMMYFUNCTION("""COMPUTED_VALUE"""),"6-64")</f>
        <v>6-64</v>
      </c>
      <c r="D148" s="3">
        <f>IFERROR(__xludf.DUMMYFUNCTION("SPLIT(B148, ""-"")"),5.0)</f>
        <v>5</v>
      </c>
      <c r="E148" s="3">
        <f>IFERROR(__xludf.DUMMYFUNCTION("""COMPUTED_VALUE"""),63.0)</f>
        <v>63</v>
      </c>
      <c r="F148" s="3">
        <f>IFERROR(__xludf.DUMMYFUNCTION("SPLIT(C148, ""-"")"),6.0)</f>
        <v>6</v>
      </c>
      <c r="G148" s="3">
        <f>IFERROR(__xludf.DUMMYFUNCTION("""COMPUTED_VALUE"""),64.0)</f>
        <v>64</v>
      </c>
      <c r="I148" s="3" t="str">
        <f t="shared" si="1"/>
        <v>y</v>
      </c>
      <c r="J148" s="3" t="str">
        <f t="shared" si="2"/>
        <v/>
      </c>
      <c r="K148" s="3" t="str">
        <f t="shared" si="3"/>
        <v/>
      </c>
      <c r="L148" s="3" t="str">
        <f t="shared" si="4"/>
        <v>y</v>
      </c>
      <c r="N148" s="3" t="str">
        <f t="shared" si="5"/>
        <v/>
      </c>
      <c r="O148" s="3" t="str">
        <f t="shared" si="6"/>
        <v/>
      </c>
      <c r="Q148" s="3" t="str">
        <f t="shared" si="7"/>
        <v/>
      </c>
      <c r="U148" s="3">
        <f t="shared" si="8"/>
        <v>1</v>
      </c>
      <c r="V148" s="3" t="str">
        <f t="shared" si="9"/>
        <v>Överlapp</v>
      </c>
      <c r="W148" s="3" t="str">
        <f t="shared" si="10"/>
        <v>Överlapp</v>
      </c>
      <c r="X148" s="3" t="str">
        <f t="shared" si="11"/>
        <v/>
      </c>
    </row>
    <row r="149">
      <c r="A149" s="1" t="s">
        <v>155</v>
      </c>
      <c r="B149" s="3" t="str">
        <f>IFERROR(__xludf.DUMMYFUNCTION("SPLIT(A149, "","")"),"27-87")</f>
        <v>27-87</v>
      </c>
      <c r="C149" s="3" t="str">
        <f>IFERROR(__xludf.DUMMYFUNCTION("""COMPUTED_VALUE"""),"28-28")</f>
        <v>28-28</v>
      </c>
      <c r="D149" s="3">
        <f>IFERROR(__xludf.DUMMYFUNCTION("SPLIT(B149, ""-"")"),27.0)</f>
        <v>27</v>
      </c>
      <c r="E149" s="3">
        <f>IFERROR(__xludf.DUMMYFUNCTION("""COMPUTED_VALUE"""),87.0)</f>
        <v>87</v>
      </c>
      <c r="F149" s="3">
        <f>IFERROR(__xludf.DUMMYFUNCTION("SPLIT(C149, ""-"")"),28.0)</f>
        <v>28</v>
      </c>
      <c r="G149" s="3">
        <f>IFERROR(__xludf.DUMMYFUNCTION("""COMPUTED_VALUE"""),28.0)</f>
        <v>28</v>
      </c>
      <c r="I149" s="3" t="str">
        <f t="shared" si="1"/>
        <v>y</v>
      </c>
      <c r="J149" s="3" t="str">
        <f t="shared" si="2"/>
        <v>y</v>
      </c>
      <c r="K149" s="3" t="str">
        <f t="shared" si="3"/>
        <v/>
      </c>
      <c r="L149" s="3" t="str">
        <f t="shared" si="4"/>
        <v/>
      </c>
      <c r="N149" s="3">
        <f t="shared" si="5"/>
        <v>1</v>
      </c>
      <c r="O149" s="3" t="str">
        <f t="shared" si="6"/>
        <v/>
      </c>
      <c r="Q149" s="3">
        <f t="shared" si="7"/>
        <v>1</v>
      </c>
      <c r="U149" s="3">
        <f t="shared" si="8"/>
        <v>1</v>
      </c>
      <c r="V149" s="3" t="str">
        <f t="shared" si="9"/>
        <v>Överlapp</v>
      </c>
      <c r="W149" s="3" t="str">
        <f t="shared" si="10"/>
        <v>Överlapp</v>
      </c>
      <c r="X149" s="3" t="str">
        <f t="shared" si="11"/>
        <v/>
      </c>
    </row>
    <row r="150">
      <c r="A150" s="1" t="s">
        <v>156</v>
      </c>
      <c r="B150" s="3" t="str">
        <f>IFERROR(__xludf.DUMMYFUNCTION("SPLIT(A150, "","")"),"87-87")</f>
        <v>87-87</v>
      </c>
      <c r="C150" s="3" t="str">
        <f>IFERROR(__xludf.DUMMYFUNCTION("""COMPUTED_VALUE"""),"51-87")</f>
        <v>51-87</v>
      </c>
      <c r="D150" s="3">
        <f>IFERROR(__xludf.DUMMYFUNCTION("SPLIT(B150, ""-"")"),87.0)</f>
        <v>87</v>
      </c>
      <c r="E150" s="3">
        <f>IFERROR(__xludf.DUMMYFUNCTION("""COMPUTED_VALUE"""),87.0)</f>
        <v>87</v>
      </c>
      <c r="F150" s="3">
        <f>IFERROR(__xludf.DUMMYFUNCTION("SPLIT(C150, ""-"")"),51.0)</f>
        <v>51</v>
      </c>
      <c r="G150" s="3">
        <f>IFERROR(__xludf.DUMMYFUNCTION("""COMPUTED_VALUE"""),87.0)</f>
        <v>87</v>
      </c>
      <c r="I150" s="3" t="str">
        <f t="shared" si="1"/>
        <v/>
      </c>
      <c r="J150" s="3" t="str">
        <f t="shared" si="2"/>
        <v>y</v>
      </c>
      <c r="K150" s="3" t="str">
        <f t="shared" si="3"/>
        <v>y</v>
      </c>
      <c r="L150" s="3" t="str">
        <f t="shared" si="4"/>
        <v>y</v>
      </c>
      <c r="N150" s="3" t="str">
        <f t="shared" si="5"/>
        <v/>
      </c>
      <c r="O150" s="3">
        <f t="shared" si="6"/>
        <v>1</v>
      </c>
      <c r="Q150" s="3">
        <f t="shared" si="7"/>
        <v>1</v>
      </c>
      <c r="U150" s="3" t="str">
        <f t="shared" si="8"/>
        <v>Överlapp</v>
      </c>
      <c r="V150" s="3" t="str">
        <f t="shared" si="9"/>
        <v>Överlapp</v>
      </c>
      <c r="W150" s="3" t="str">
        <f t="shared" si="10"/>
        <v>Överlapp</v>
      </c>
      <c r="X150" s="3" t="str">
        <f t="shared" si="11"/>
        <v/>
      </c>
    </row>
    <row r="151">
      <c r="A151" s="1" t="s">
        <v>157</v>
      </c>
      <c r="B151" s="3" t="str">
        <f>IFERROR(__xludf.DUMMYFUNCTION("SPLIT(A151, "","")"),"21-97")</f>
        <v>21-97</v>
      </c>
      <c r="C151" s="3" t="str">
        <f>IFERROR(__xludf.DUMMYFUNCTION("""COMPUTED_VALUE"""),"20-98")</f>
        <v>20-98</v>
      </c>
      <c r="D151" s="3">
        <f>IFERROR(__xludf.DUMMYFUNCTION("SPLIT(B151, ""-"")"),21.0)</f>
        <v>21</v>
      </c>
      <c r="E151" s="3">
        <f>IFERROR(__xludf.DUMMYFUNCTION("""COMPUTED_VALUE"""),97.0)</f>
        <v>97</v>
      </c>
      <c r="F151" s="3">
        <f>IFERROR(__xludf.DUMMYFUNCTION("SPLIT(C151, ""-"")"),20.0)</f>
        <v>20</v>
      </c>
      <c r="G151" s="3">
        <f>IFERROR(__xludf.DUMMYFUNCTION("""COMPUTED_VALUE"""),98.0)</f>
        <v>98</v>
      </c>
      <c r="I151" s="3" t="str">
        <f t="shared" si="1"/>
        <v/>
      </c>
      <c r="J151" s="3" t="str">
        <f t="shared" si="2"/>
        <v/>
      </c>
      <c r="K151" s="3" t="str">
        <f t="shared" si="3"/>
        <v>y</v>
      </c>
      <c r="L151" s="3" t="str">
        <f t="shared" si="4"/>
        <v>y</v>
      </c>
      <c r="N151" s="3" t="str">
        <f t="shared" si="5"/>
        <v/>
      </c>
      <c r="O151" s="3">
        <f t="shared" si="6"/>
        <v>1</v>
      </c>
      <c r="Q151" s="3">
        <f t="shared" si="7"/>
        <v>1</v>
      </c>
      <c r="U151" s="3">
        <f t="shared" si="8"/>
        <v>1</v>
      </c>
      <c r="V151" s="3" t="str">
        <f t="shared" si="9"/>
        <v>Överlapp</v>
      </c>
      <c r="W151" s="3" t="str">
        <f t="shared" si="10"/>
        <v>Överlapp</v>
      </c>
      <c r="X151" s="3" t="str">
        <f t="shared" si="11"/>
        <v/>
      </c>
    </row>
    <row r="152">
      <c r="A152" s="1" t="s">
        <v>158</v>
      </c>
      <c r="B152" s="3" t="str">
        <f>IFERROR(__xludf.DUMMYFUNCTION("SPLIT(A152, "","")"),"68-81")</f>
        <v>68-81</v>
      </c>
      <c r="C152" s="3" t="str">
        <f>IFERROR(__xludf.DUMMYFUNCTION("""COMPUTED_VALUE"""),"69-81")</f>
        <v>69-81</v>
      </c>
      <c r="D152" s="3">
        <f>IFERROR(__xludf.DUMMYFUNCTION("SPLIT(B152, ""-"")"),68.0)</f>
        <v>68</v>
      </c>
      <c r="E152" s="3">
        <f>IFERROR(__xludf.DUMMYFUNCTION("""COMPUTED_VALUE"""),81.0)</f>
        <v>81</v>
      </c>
      <c r="F152" s="3">
        <f>IFERROR(__xludf.DUMMYFUNCTION("SPLIT(C152, ""-"")"),69.0)</f>
        <v>69</v>
      </c>
      <c r="G152" s="3">
        <f>IFERROR(__xludf.DUMMYFUNCTION("""COMPUTED_VALUE"""),81.0)</f>
        <v>81</v>
      </c>
      <c r="I152" s="3" t="str">
        <f t="shared" si="1"/>
        <v>y</v>
      </c>
      <c r="J152" s="3" t="str">
        <f t="shared" si="2"/>
        <v>y</v>
      </c>
      <c r="K152" s="3" t="str">
        <f t="shared" si="3"/>
        <v/>
      </c>
      <c r="L152" s="3" t="str">
        <f t="shared" si="4"/>
        <v>y</v>
      </c>
      <c r="N152" s="3">
        <f t="shared" si="5"/>
        <v>1</v>
      </c>
      <c r="O152" s="3" t="str">
        <f t="shared" si="6"/>
        <v/>
      </c>
      <c r="Q152" s="3">
        <f t="shared" si="7"/>
        <v>1</v>
      </c>
      <c r="U152" s="3" t="str">
        <f t="shared" si="8"/>
        <v>Överlapp</v>
      </c>
      <c r="V152" s="3" t="str">
        <f t="shared" si="9"/>
        <v>Överlapp</v>
      </c>
      <c r="W152" s="3" t="str">
        <f t="shared" si="10"/>
        <v>Överlapp</v>
      </c>
      <c r="X152" s="3" t="str">
        <f t="shared" si="11"/>
        <v/>
      </c>
    </row>
    <row r="153">
      <c r="A153" s="1" t="s">
        <v>159</v>
      </c>
      <c r="B153" s="3" t="str">
        <f>IFERROR(__xludf.DUMMYFUNCTION("SPLIT(A153, "","")"),"5-46")</f>
        <v>5-46</v>
      </c>
      <c r="C153" s="3" t="str">
        <f>IFERROR(__xludf.DUMMYFUNCTION("""COMPUTED_VALUE"""),"46-47")</f>
        <v>46-47</v>
      </c>
      <c r="D153" s="3">
        <f>IFERROR(__xludf.DUMMYFUNCTION("SPLIT(B153, ""-"")"),5.0)</f>
        <v>5</v>
      </c>
      <c r="E153" s="3">
        <f>IFERROR(__xludf.DUMMYFUNCTION("""COMPUTED_VALUE"""),46.0)</f>
        <v>46</v>
      </c>
      <c r="F153" s="3">
        <f>IFERROR(__xludf.DUMMYFUNCTION("SPLIT(C153, ""-"")"),46.0)</f>
        <v>46</v>
      </c>
      <c r="G153" s="3">
        <f>IFERROR(__xludf.DUMMYFUNCTION("""COMPUTED_VALUE"""),47.0)</f>
        <v>47</v>
      </c>
      <c r="I153" s="3" t="str">
        <f t="shared" si="1"/>
        <v>y</v>
      </c>
      <c r="J153" s="3" t="str">
        <f t="shared" si="2"/>
        <v/>
      </c>
      <c r="K153" s="3" t="str">
        <f t="shared" si="3"/>
        <v/>
      </c>
      <c r="L153" s="3" t="str">
        <f t="shared" si="4"/>
        <v>y</v>
      </c>
      <c r="N153" s="3" t="str">
        <f t="shared" si="5"/>
        <v/>
      </c>
      <c r="O153" s="3" t="str">
        <f t="shared" si="6"/>
        <v/>
      </c>
      <c r="Q153" s="3" t="str">
        <f t="shared" si="7"/>
        <v/>
      </c>
      <c r="U153" s="3" t="str">
        <f t="shared" si="8"/>
        <v>Överlapp</v>
      </c>
      <c r="V153" s="3" t="str">
        <f t="shared" si="9"/>
        <v>Överlapp</v>
      </c>
      <c r="W153" s="3" t="str">
        <f t="shared" si="10"/>
        <v>Överlapp</v>
      </c>
      <c r="X153" s="3" t="str">
        <f t="shared" si="11"/>
        <v/>
      </c>
    </row>
    <row r="154">
      <c r="A154" s="1" t="s">
        <v>160</v>
      </c>
      <c r="B154" s="3" t="str">
        <f>IFERROR(__xludf.DUMMYFUNCTION("SPLIT(A154, "","")"),"28-62")</f>
        <v>28-62</v>
      </c>
      <c r="C154" s="3" t="str">
        <f>IFERROR(__xludf.DUMMYFUNCTION("""COMPUTED_VALUE"""),"63-72")</f>
        <v>63-72</v>
      </c>
      <c r="D154" s="3">
        <f>IFERROR(__xludf.DUMMYFUNCTION("SPLIT(B154, ""-"")"),28.0)</f>
        <v>28</v>
      </c>
      <c r="E154" s="3">
        <f>IFERROR(__xludf.DUMMYFUNCTION("""COMPUTED_VALUE"""),62.0)</f>
        <v>62</v>
      </c>
      <c r="F154" s="3">
        <f>IFERROR(__xludf.DUMMYFUNCTION("SPLIT(C154, ""-"")"),63.0)</f>
        <v>63</v>
      </c>
      <c r="G154" s="3">
        <f>IFERROR(__xludf.DUMMYFUNCTION("""COMPUTED_VALUE"""),72.0)</f>
        <v>72</v>
      </c>
      <c r="I154" s="3" t="str">
        <f t="shared" si="1"/>
        <v>y</v>
      </c>
      <c r="J154" s="3" t="str">
        <f t="shared" si="2"/>
        <v/>
      </c>
      <c r="K154" s="3" t="str">
        <f t="shared" si="3"/>
        <v/>
      </c>
      <c r="L154" s="3" t="str">
        <f t="shared" si="4"/>
        <v>y</v>
      </c>
      <c r="N154" s="3" t="str">
        <f t="shared" si="5"/>
        <v/>
      </c>
      <c r="O154" s="3" t="str">
        <f t="shared" si="6"/>
        <v/>
      </c>
      <c r="Q154" s="3" t="str">
        <f t="shared" si="7"/>
        <v/>
      </c>
      <c r="U154" s="3">
        <f t="shared" si="8"/>
        <v>1</v>
      </c>
      <c r="V154" s="3">
        <f t="shared" si="9"/>
        <v>1</v>
      </c>
      <c r="W154" s="3" t="str">
        <f t="shared" si="10"/>
        <v>Överlapp</v>
      </c>
      <c r="X154" s="3">
        <f t="shared" si="11"/>
        <v>1</v>
      </c>
    </row>
    <row r="155">
      <c r="A155" s="1" t="s">
        <v>161</v>
      </c>
      <c r="B155" s="3" t="str">
        <f>IFERROR(__xludf.DUMMYFUNCTION("SPLIT(A155, "","")"),"15-61")</f>
        <v>15-61</v>
      </c>
      <c r="C155" s="3" t="str">
        <f>IFERROR(__xludf.DUMMYFUNCTION("""COMPUTED_VALUE"""),"32-91")</f>
        <v>32-91</v>
      </c>
      <c r="D155" s="3">
        <f>IFERROR(__xludf.DUMMYFUNCTION("SPLIT(B155, ""-"")"),15.0)</f>
        <v>15</v>
      </c>
      <c r="E155" s="3">
        <f>IFERROR(__xludf.DUMMYFUNCTION("""COMPUTED_VALUE"""),61.0)</f>
        <v>61</v>
      </c>
      <c r="F155" s="3">
        <f>IFERROR(__xludf.DUMMYFUNCTION("SPLIT(C155, ""-"")"),32.0)</f>
        <v>32</v>
      </c>
      <c r="G155" s="3">
        <f>IFERROR(__xludf.DUMMYFUNCTION("""COMPUTED_VALUE"""),91.0)</f>
        <v>91</v>
      </c>
      <c r="I155" s="3" t="str">
        <f t="shared" si="1"/>
        <v>y</v>
      </c>
      <c r="J155" s="3" t="str">
        <f t="shared" si="2"/>
        <v/>
      </c>
      <c r="K155" s="3" t="str">
        <f t="shared" si="3"/>
        <v/>
      </c>
      <c r="L155" s="3" t="str">
        <f t="shared" si="4"/>
        <v>y</v>
      </c>
      <c r="N155" s="3" t="str">
        <f t="shared" si="5"/>
        <v/>
      </c>
      <c r="O155" s="3" t="str">
        <f t="shared" si="6"/>
        <v/>
      </c>
      <c r="Q155" s="3" t="str">
        <f t="shared" si="7"/>
        <v/>
      </c>
      <c r="U155" s="3">
        <f t="shared" si="8"/>
        <v>1</v>
      </c>
      <c r="V155" s="3" t="str">
        <f t="shared" si="9"/>
        <v>Överlapp</v>
      </c>
      <c r="W155" s="3" t="str">
        <f t="shared" si="10"/>
        <v>Överlapp</v>
      </c>
      <c r="X155" s="3" t="str">
        <f t="shared" si="11"/>
        <v/>
      </c>
    </row>
    <row r="156">
      <c r="A156" s="1" t="s">
        <v>162</v>
      </c>
      <c r="B156" s="3" t="str">
        <f>IFERROR(__xludf.DUMMYFUNCTION("SPLIT(A156, "","")"),"2-88")</f>
        <v>2-88</v>
      </c>
      <c r="C156" s="3" t="str">
        <f>IFERROR(__xludf.DUMMYFUNCTION("""COMPUTED_VALUE"""),"2-93")</f>
        <v>2-93</v>
      </c>
      <c r="D156" s="3">
        <f>IFERROR(__xludf.DUMMYFUNCTION("SPLIT(B156, ""-"")"),2.0)</f>
        <v>2</v>
      </c>
      <c r="E156" s="3">
        <f>IFERROR(__xludf.DUMMYFUNCTION("""COMPUTED_VALUE"""),88.0)</f>
        <v>88</v>
      </c>
      <c r="F156" s="3">
        <f>IFERROR(__xludf.DUMMYFUNCTION("SPLIT(C156, ""-"")"),2.0)</f>
        <v>2</v>
      </c>
      <c r="G156" s="3">
        <f>IFERROR(__xludf.DUMMYFUNCTION("""COMPUTED_VALUE"""),93.0)</f>
        <v>93</v>
      </c>
      <c r="I156" s="3" t="str">
        <f t="shared" si="1"/>
        <v>y</v>
      </c>
      <c r="J156" s="3" t="str">
        <f t="shared" si="2"/>
        <v/>
      </c>
      <c r="K156" s="3" t="str">
        <f t="shared" si="3"/>
        <v>y</v>
      </c>
      <c r="L156" s="3" t="str">
        <f t="shared" si="4"/>
        <v>y</v>
      </c>
      <c r="N156" s="3" t="str">
        <f t="shared" si="5"/>
        <v/>
      </c>
      <c r="O156" s="3">
        <f t="shared" si="6"/>
        <v>1</v>
      </c>
      <c r="Q156" s="3">
        <f t="shared" si="7"/>
        <v>1</v>
      </c>
      <c r="U156" s="3" t="str">
        <f t="shared" si="8"/>
        <v>Överlapp</v>
      </c>
      <c r="V156" s="3" t="str">
        <f t="shared" si="9"/>
        <v>Överlapp</v>
      </c>
      <c r="W156" s="3" t="str">
        <f t="shared" si="10"/>
        <v>Överlapp</v>
      </c>
      <c r="X156" s="3" t="str">
        <f t="shared" si="11"/>
        <v/>
      </c>
    </row>
    <row r="157">
      <c r="A157" s="1" t="s">
        <v>163</v>
      </c>
      <c r="B157" s="3" t="str">
        <f>IFERROR(__xludf.DUMMYFUNCTION("SPLIT(A157, "","")"),"85-85")</f>
        <v>85-85</v>
      </c>
      <c r="C157" s="3" t="str">
        <f>IFERROR(__xludf.DUMMYFUNCTION("""COMPUTED_VALUE"""),"7-85")</f>
        <v>7-85</v>
      </c>
      <c r="D157" s="3">
        <f>IFERROR(__xludf.DUMMYFUNCTION("SPLIT(B157, ""-"")"),85.0)</f>
        <v>85</v>
      </c>
      <c r="E157" s="3">
        <f>IFERROR(__xludf.DUMMYFUNCTION("""COMPUTED_VALUE"""),85.0)</f>
        <v>85</v>
      </c>
      <c r="F157" s="3">
        <f>IFERROR(__xludf.DUMMYFUNCTION("SPLIT(C157, ""-"")"),7.0)</f>
        <v>7</v>
      </c>
      <c r="G157" s="3">
        <f>IFERROR(__xludf.DUMMYFUNCTION("""COMPUTED_VALUE"""),85.0)</f>
        <v>85</v>
      </c>
      <c r="I157" s="3" t="str">
        <f t="shared" si="1"/>
        <v/>
      </c>
      <c r="J157" s="3" t="str">
        <f t="shared" si="2"/>
        <v>y</v>
      </c>
      <c r="K157" s="3" t="str">
        <f t="shared" si="3"/>
        <v>y</v>
      </c>
      <c r="L157" s="3" t="str">
        <f t="shared" si="4"/>
        <v>y</v>
      </c>
      <c r="N157" s="3" t="str">
        <f t="shared" si="5"/>
        <v/>
      </c>
      <c r="O157" s="3">
        <f t="shared" si="6"/>
        <v>1</v>
      </c>
      <c r="Q157" s="3">
        <f t="shared" si="7"/>
        <v>1</v>
      </c>
      <c r="U157" s="3" t="str">
        <f t="shared" si="8"/>
        <v>Överlapp</v>
      </c>
      <c r="V157" s="3" t="str">
        <f t="shared" si="9"/>
        <v>Överlapp</v>
      </c>
      <c r="W157" s="3" t="str">
        <f t="shared" si="10"/>
        <v>Överlapp</v>
      </c>
      <c r="X157" s="3" t="str">
        <f t="shared" si="11"/>
        <v/>
      </c>
    </row>
    <row r="158">
      <c r="A158" s="1" t="s">
        <v>164</v>
      </c>
      <c r="B158" s="3" t="str">
        <f>IFERROR(__xludf.DUMMYFUNCTION("SPLIT(A158, "","")"),"2-95")</f>
        <v>2-95</v>
      </c>
      <c r="C158" s="3" t="str">
        <f>IFERROR(__xludf.DUMMYFUNCTION("""COMPUTED_VALUE"""),"2-95")</f>
        <v>2-95</v>
      </c>
      <c r="D158" s="3">
        <f>IFERROR(__xludf.DUMMYFUNCTION("SPLIT(B158, ""-"")"),2.0)</f>
        <v>2</v>
      </c>
      <c r="E158" s="3">
        <f>IFERROR(__xludf.DUMMYFUNCTION("""COMPUTED_VALUE"""),95.0)</f>
        <v>95</v>
      </c>
      <c r="F158" s="3">
        <f>IFERROR(__xludf.DUMMYFUNCTION("SPLIT(C158, ""-"")"),2.0)</f>
        <v>2</v>
      </c>
      <c r="G158" s="3">
        <f>IFERROR(__xludf.DUMMYFUNCTION("""COMPUTED_VALUE"""),95.0)</f>
        <v>95</v>
      </c>
      <c r="I158" s="3" t="str">
        <f t="shared" si="1"/>
        <v>y</v>
      </c>
      <c r="J158" s="3" t="str">
        <f t="shared" si="2"/>
        <v>y</v>
      </c>
      <c r="K158" s="3" t="str">
        <f t="shared" si="3"/>
        <v>y</v>
      </c>
      <c r="L158" s="3" t="str">
        <f t="shared" si="4"/>
        <v>y</v>
      </c>
      <c r="N158" s="3">
        <f t="shared" si="5"/>
        <v>1</v>
      </c>
      <c r="O158" s="3">
        <f t="shared" si="6"/>
        <v>1</v>
      </c>
      <c r="Q158" s="3">
        <f t="shared" si="7"/>
        <v>1</v>
      </c>
      <c r="U158" s="3" t="str">
        <f t="shared" si="8"/>
        <v>Överlapp</v>
      </c>
      <c r="V158" s="3" t="str">
        <f t="shared" si="9"/>
        <v>Överlapp</v>
      </c>
      <c r="W158" s="3" t="str">
        <f t="shared" si="10"/>
        <v>Överlapp</v>
      </c>
      <c r="X158" s="3" t="str">
        <f t="shared" si="11"/>
        <v/>
      </c>
    </row>
    <row r="159">
      <c r="A159" s="1" t="s">
        <v>165</v>
      </c>
      <c r="B159" s="3" t="str">
        <f>IFERROR(__xludf.DUMMYFUNCTION("SPLIT(A159, "","")"),"23-78")</f>
        <v>23-78</v>
      </c>
      <c r="C159" s="3" t="str">
        <f>IFERROR(__xludf.DUMMYFUNCTION("""COMPUTED_VALUE"""),"22-78")</f>
        <v>22-78</v>
      </c>
      <c r="D159" s="3">
        <f>IFERROR(__xludf.DUMMYFUNCTION("SPLIT(B159, ""-"")"),23.0)</f>
        <v>23</v>
      </c>
      <c r="E159" s="3">
        <f>IFERROR(__xludf.DUMMYFUNCTION("""COMPUTED_VALUE"""),78.0)</f>
        <v>78</v>
      </c>
      <c r="F159" s="3">
        <f>IFERROR(__xludf.DUMMYFUNCTION("SPLIT(C159, ""-"")"),22.0)</f>
        <v>22</v>
      </c>
      <c r="G159" s="3">
        <f>IFERROR(__xludf.DUMMYFUNCTION("""COMPUTED_VALUE"""),78.0)</f>
        <v>78</v>
      </c>
      <c r="I159" s="3" t="str">
        <f t="shared" si="1"/>
        <v/>
      </c>
      <c r="J159" s="3" t="str">
        <f t="shared" si="2"/>
        <v>y</v>
      </c>
      <c r="K159" s="3" t="str">
        <f t="shared" si="3"/>
        <v>y</v>
      </c>
      <c r="L159" s="3" t="str">
        <f t="shared" si="4"/>
        <v>y</v>
      </c>
      <c r="N159" s="3" t="str">
        <f t="shared" si="5"/>
        <v/>
      </c>
      <c r="O159" s="3">
        <f t="shared" si="6"/>
        <v>1</v>
      </c>
      <c r="Q159" s="3">
        <f t="shared" si="7"/>
        <v>1</v>
      </c>
      <c r="U159" s="3" t="str">
        <f t="shared" si="8"/>
        <v>Överlapp</v>
      </c>
      <c r="V159" s="3" t="str">
        <f t="shared" si="9"/>
        <v>Överlapp</v>
      </c>
      <c r="W159" s="3" t="str">
        <f t="shared" si="10"/>
        <v>Överlapp</v>
      </c>
      <c r="X159" s="3" t="str">
        <f t="shared" si="11"/>
        <v/>
      </c>
    </row>
    <row r="160">
      <c r="A160" s="1" t="s">
        <v>166</v>
      </c>
      <c r="B160" s="3" t="str">
        <f>IFERROR(__xludf.DUMMYFUNCTION("SPLIT(A160, "","")"),"27-66")</f>
        <v>27-66</v>
      </c>
      <c r="C160" s="3" t="str">
        <f>IFERROR(__xludf.DUMMYFUNCTION("""COMPUTED_VALUE"""),"28-65")</f>
        <v>28-65</v>
      </c>
      <c r="D160" s="3">
        <f>IFERROR(__xludf.DUMMYFUNCTION("SPLIT(B160, ""-"")"),27.0)</f>
        <v>27</v>
      </c>
      <c r="E160" s="3">
        <f>IFERROR(__xludf.DUMMYFUNCTION("""COMPUTED_VALUE"""),66.0)</f>
        <v>66</v>
      </c>
      <c r="F160" s="3">
        <f>IFERROR(__xludf.DUMMYFUNCTION("SPLIT(C160, ""-"")"),28.0)</f>
        <v>28</v>
      </c>
      <c r="G160" s="3">
        <f>IFERROR(__xludf.DUMMYFUNCTION("""COMPUTED_VALUE"""),65.0)</f>
        <v>65</v>
      </c>
      <c r="I160" s="3" t="str">
        <f t="shared" si="1"/>
        <v>y</v>
      </c>
      <c r="J160" s="3" t="str">
        <f t="shared" si="2"/>
        <v>y</v>
      </c>
      <c r="K160" s="3" t="str">
        <f t="shared" si="3"/>
        <v/>
      </c>
      <c r="L160" s="3" t="str">
        <f t="shared" si="4"/>
        <v/>
      </c>
      <c r="N160" s="3">
        <f t="shared" si="5"/>
        <v>1</v>
      </c>
      <c r="O160" s="3" t="str">
        <f t="shared" si="6"/>
        <v/>
      </c>
      <c r="Q160" s="3">
        <f t="shared" si="7"/>
        <v>1</v>
      </c>
      <c r="U160" s="3">
        <f t="shared" si="8"/>
        <v>1</v>
      </c>
      <c r="V160" s="3" t="str">
        <f t="shared" si="9"/>
        <v>Överlapp</v>
      </c>
      <c r="W160" s="3" t="str">
        <f t="shared" si="10"/>
        <v>Överlapp</v>
      </c>
      <c r="X160" s="3" t="str">
        <f t="shared" si="11"/>
        <v/>
      </c>
    </row>
    <row r="161">
      <c r="A161" s="1" t="s">
        <v>167</v>
      </c>
      <c r="B161" s="3" t="str">
        <f>IFERROR(__xludf.DUMMYFUNCTION("SPLIT(A161, "","")"),"11-69")</f>
        <v>11-69</v>
      </c>
      <c r="C161" s="3" t="str">
        <f>IFERROR(__xludf.DUMMYFUNCTION("""COMPUTED_VALUE"""),"10-70")</f>
        <v>10-70</v>
      </c>
      <c r="D161" s="3">
        <f>IFERROR(__xludf.DUMMYFUNCTION("SPLIT(B161, ""-"")"),11.0)</f>
        <v>11</v>
      </c>
      <c r="E161" s="3">
        <f>IFERROR(__xludf.DUMMYFUNCTION("""COMPUTED_VALUE"""),69.0)</f>
        <v>69</v>
      </c>
      <c r="F161" s="3">
        <f>IFERROR(__xludf.DUMMYFUNCTION("SPLIT(C161, ""-"")"),10.0)</f>
        <v>10</v>
      </c>
      <c r="G161" s="3">
        <f>IFERROR(__xludf.DUMMYFUNCTION("""COMPUTED_VALUE"""),70.0)</f>
        <v>70</v>
      </c>
      <c r="I161" s="3" t="str">
        <f t="shared" si="1"/>
        <v/>
      </c>
      <c r="J161" s="3" t="str">
        <f t="shared" si="2"/>
        <v/>
      </c>
      <c r="K161" s="3" t="str">
        <f t="shared" si="3"/>
        <v>y</v>
      </c>
      <c r="L161" s="3" t="str">
        <f t="shared" si="4"/>
        <v>y</v>
      </c>
      <c r="N161" s="3" t="str">
        <f t="shared" si="5"/>
        <v/>
      </c>
      <c r="O161" s="3">
        <f t="shared" si="6"/>
        <v>1</v>
      </c>
      <c r="Q161" s="3">
        <f t="shared" si="7"/>
        <v>1</v>
      </c>
      <c r="U161" s="3">
        <f t="shared" si="8"/>
        <v>1</v>
      </c>
      <c r="V161" s="3" t="str">
        <f t="shared" si="9"/>
        <v>Överlapp</v>
      </c>
      <c r="W161" s="3" t="str">
        <f t="shared" si="10"/>
        <v>Överlapp</v>
      </c>
      <c r="X161" s="3" t="str">
        <f t="shared" si="11"/>
        <v/>
      </c>
    </row>
    <row r="162">
      <c r="A162" s="1" t="s">
        <v>168</v>
      </c>
      <c r="B162" s="3" t="str">
        <f>IFERROR(__xludf.DUMMYFUNCTION("SPLIT(A162, "","")"),"70-76")</f>
        <v>70-76</v>
      </c>
      <c r="C162" s="3" t="str">
        <f>IFERROR(__xludf.DUMMYFUNCTION("""COMPUTED_VALUE"""),"31-86")</f>
        <v>31-86</v>
      </c>
      <c r="D162" s="3">
        <f>IFERROR(__xludf.DUMMYFUNCTION("SPLIT(B162, ""-"")"),70.0)</f>
        <v>70</v>
      </c>
      <c r="E162" s="3">
        <f>IFERROR(__xludf.DUMMYFUNCTION("""COMPUTED_VALUE"""),76.0)</f>
        <v>76</v>
      </c>
      <c r="F162" s="3">
        <f>IFERROR(__xludf.DUMMYFUNCTION("SPLIT(C162, ""-"")"),31.0)</f>
        <v>31</v>
      </c>
      <c r="G162" s="3">
        <f>IFERROR(__xludf.DUMMYFUNCTION("""COMPUTED_VALUE"""),86.0)</f>
        <v>86</v>
      </c>
      <c r="I162" s="3" t="str">
        <f t="shared" si="1"/>
        <v/>
      </c>
      <c r="J162" s="3" t="str">
        <f t="shared" si="2"/>
        <v/>
      </c>
      <c r="K162" s="3" t="str">
        <f t="shared" si="3"/>
        <v>y</v>
      </c>
      <c r="L162" s="3" t="str">
        <f t="shared" si="4"/>
        <v>y</v>
      </c>
      <c r="N162" s="3" t="str">
        <f t="shared" si="5"/>
        <v/>
      </c>
      <c r="O162" s="3">
        <f t="shared" si="6"/>
        <v>1</v>
      </c>
      <c r="Q162" s="3">
        <f t="shared" si="7"/>
        <v>1</v>
      </c>
      <c r="U162" s="3">
        <f t="shared" si="8"/>
        <v>1</v>
      </c>
      <c r="V162" s="3" t="str">
        <f t="shared" si="9"/>
        <v>Överlapp</v>
      </c>
      <c r="W162" s="3" t="str">
        <f t="shared" si="10"/>
        <v>Överlapp</v>
      </c>
      <c r="X162" s="3" t="str">
        <f t="shared" si="11"/>
        <v/>
      </c>
    </row>
    <row r="163">
      <c r="A163" s="1" t="s">
        <v>169</v>
      </c>
      <c r="B163" s="3" t="str">
        <f>IFERROR(__xludf.DUMMYFUNCTION("SPLIT(A163, "","")"),"20-27")</f>
        <v>20-27</v>
      </c>
      <c r="C163" s="3" t="str">
        <f>IFERROR(__xludf.DUMMYFUNCTION("""COMPUTED_VALUE"""),"26-27")</f>
        <v>26-27</v>
      </c>
      <c r="D163" s="3">
        <f>IFERROR(__xludf.DUMMYFUNCTION("SPLIT(B163, ""-"")"),20.0)</f>
        <v>20</v>
      </c>
      <c r="E163" s="3">
        <f>IFERROR(__xludf.DUMMYFUNCTION("""COMPUTED_VALUE"""),27.0)</f>
        <v>27</v>
      </c>
      <c r="F163" s="3">
        <f>IFERROR(__xludf.DUMMYFUNCTION("SPLIT(C163, ""-"")"),26.0)</f>
        <v>26</v>
      </c>
      <c r="G163" s="3">
        <f>IFERROR(__xludf.DUMMYFUNCTION("""COMPUTED_VALUE"""),27.0)</f>
        <v>27</v>
      </c>
      <c r="I163" s="3" t="str">
        <f t="shared" si="1"/>
        <v>y</v>
      </c>
      <c r="J163" s="3" t="str">
        <f t="shared" si="2"/>
        <v>y</v>
      </c>
      <c r="K163" s="3" t="str">
        <f t="shared" si="3"/>
        <v/>
      </c>
      <c r="L163" s="3" t="str">
        <f t="shared" si="4"/>
        <v>y</v>
      </c>
      <c r="N163" s="3">
        <f t="shared" si="5"/>
        <v>1</v>
      </c>
      <c r="O163" s="3" t="str">
        <f t="shared" si="6"/>
        <v/>
      </c>
      <c r="Q163" s="3">
        <f t="shared" si="7"/>
        <v>1</v>
      </c>
      <c r="U163" s="3" t="str">
        <f t="shared" si="8"/>
        <v>Överlapp</v>
      </c>
      <c r="V163" s="3" t="str">
        <f t="shared" si="9"/>
        <v>Överlapp</v>
      </c>
      <c r="W163" s="3" t="str">
        <f t="shared" si="10"/>
        <v>Överlapp</v>
      </c>
      <c r="X163" s="3" t="str">
        <f t="shared" si="11"/>
        <v/>
      </c>
    </row>
    <row r="164">
      <c r="A164" s="1" t="s">
        <v>170</v>
      </c>
      <c r="B164" s="3" t="str">
        <f>IFERROR(__xludf.DUMMYFUNCTION("SPLIT(A164, "","")"),"42-73")</f>
        <v>42-73</v>
      </c>
      <c r="C164" s="3" t="str">
        <f>IFERROR(__xludf.DUMMYFUNCTION("""COMPUTED_VALUE"""),"5-43")</f>
        <v>5-43</v>
      </c>
      <c r="D164" s="3">
        <f>IFERROR(__xludf.DUMMYFUNCTION("SPLIT(B164, ""-"")"),42.0)</f>
        <v>42</v>
      </c>
      <c r="E164" s="3">
        <f>IFERROR(__xludf.DUMMYFUNCTION("""COMPUTED_VALUE"""),73.0)</f>
        <v>73</v>
      </c>
      <c r="F164" s="3">
        <f>IFERROR(__xludf.DUMMYFUNCTION("SPLIT(C164, ""-"")"),5.0)</f>
        <v>5</v>
      </c>
      <c r="G164" s="3">
        <f>IFERROR(__xludf.DUMMYFUNCTION("""COMPUTED_VALUE"""),43.0)</f>
        <v>43</v>
      </c>
      <c r="I164" s="3" t="str">
        <f t="shared" si="1"/>
        <v/>
      </c>
      <c r="J164" s="3" t="str">
        <f t="shared" si="2"/>
        <v>y</v>
      </c>
      <c r="K164" s="3" t="str">
        <f t="shared" si="3"/>
        <v>y</v>
      </c>
      <c r="L164" s="3" t="str">
        <f t="shared" si="4"/>
        <v/>
      </c>
      <c r="N164" s="3" t="str">
        <f t="shared" si="5"/>
        <v/>
      </c>
      <c r="O164" s="3" t="str">
        <f t="shared" si="6"/>
        <v/>
      </c>
      <c r="Q164" s="3" t="str">
        <f t="shared" si="7"/>
        <v/>
      </c>
      <c r="U164" s="3">
        <f t="shared" si="8"/>
        <v>1</v>
      </c>
      <c r="V164" s="3" t="str">
        <f t="shared" si="9"/>
        <v>Överlapp</v>
      </c>
      <c r="W164" s="3" t="str">
        <f t="shared" si="10"/>
        <v>Överlapp</v>
      </c>
      <c r="X164" s="3" t="str">
        <f t="shared" si="11"/>
        <v/>
      </c>
    </row>
    <row r="165">
      <c r="A165" s="1" t="s">
        <v>171</v>
      </c>
      <c r="B165" s="3" t="str">
        <f>IFERROR(__xludf.DUMMYFUNCTION("SPLIT(A165, "","")"),"41-62")</f>
        <v>41-62</v>
      </c>
      <c r="C165" s="3" t="str">
        <f>IFERROR(__xludf.DUMMYFUNCTION("""COMPUTED_VALUE"""),"42-61")</f>
        <v>42-61</v>
      </c>
      <c r="D165" s="3">
        <f>IFERROR(__xludf.DUMMYFUNCTION("SPLIT(B165, ""-"")"),41.0)</f>
        <v>41</v>
      </c>
      <c r="E165" s="3">
        <f>IFERROR(__xludf.DUMMYFUNCTION("""COMPUTED_VALUE"""),62.0)</f>
        <v>62</v>
      </c>
      <c r="F165" s="3">
        <f>IFERROR(__xludf.DUMMYFUNCTION("SPLIT(C165, ""-"")"),42.0)</f>
        <v>42</v>
      </c>
      <c r="G165" s="3">
        <f>IFERROR(__xludf.DUMMYFUNCTION("""COMPUTED_VALUE"""),61.0)</f>
        <v>61</v>
      </c>
      <c r="I165" s="3" t="str">
        <f t="shared" si="1"/>
        <v>y</v>
      </c>
      <c r="J165" s="3" t="str">
        <f t="shared" si="2"/>
        <v>y</v>
      </c>
      <c r="K165" s="3" t="str">
        <f t="shared" si="3"/>
        <v/>
      </c>
      <c r="L165" s="3" t="str">
        <f t="shared" si="4"/>
        <v/>
      </c>
      <c r="N165" s="3">
        <f t="shared" si="5"/>
        <v>1</v>
      </c>
      <c r="O165" s="3" t="str">
        <f t="shared" si="6"/>
        <v/>
      </c>
      <c r="Q165" s="3">
        <f t="shared" si="7"/>
        <v>1</v>
      </c>
      <c r="U165" s="3">
        <f t="shared" si="8"/>
        <v>1</v>
      </c>
      <c r="V165" s="3" t="str">
        <f t="shared" si="9"/>
        <v>Överlapp</v>
      </c>
      <c r="W165" s="3" t="str">
        <f t="shared" si="10"/>
        <v>Överlapp</v>
      </c>
      <c r="X165" s="3" t="str">
        <f t="shared" si="11"/>
        <v/>
      </c>
    </row>
    <row r="166">
      <c r="A166" s="1" t="s">
        <v>172</v>
      </c>
      <c r="B166" s="3" t="str">
        <f>IFERROR(__xludf.DUMMYFUNCTION("SPLIT(A166, "","")"),"22-50")</f>
        <v>22-50</v>
      </c>
      <c r="C166" s="3" t="str">
        <f>IFERROR(__xludf.DUMMYFUNCTION("""COMPUTED_VALUE"""),"22-93")</f>
        <v>22-93</v>
      </c>
      <c r="D166" s="3">
        <f>IFERROR(__xludf.DUMMYFUNCTION("SPLIT(B166, ""-"")"),22.0)</f>
        <v>22</v>
      </c>
      <c r="E166" s="3">
        <f>IFERROR(__xludf.DUMMYFUNCTION("""COMPUTED_VALUE"""),50.0)</f>
        <v>50</v>
      </c>
      <c r="F166" s="3">
        <f>IFERROR(__xludf.DUMMYFUNCTION("SPLIT(C166, ""-"")"),22.0)</f>
        <v>22</v>
      </c>
      <c r="G166" s="3">
        <f>IFERROR(__xludf.DUMMYFUNCTION("""COMPUTED_VALUE"""),93.0)</f>
        <v>93</v>
      </c>
      <c r="I166" s="3" t="str">
        <f t="shared" si="1"/>
        <v>y</v>
      </c>
      <c r="J166" s="3" t="str">
        <f t="shared" si="2"/>
        <v/>
      </c>
      <c r="K166" s="3" t="str">
        <f t="shared" si="3"/>
        <v>y</v>
      </c>
      <c r="L166" s="3" t="str">
        <f t="shared" si="4"/>
        <v>y</v>
      </c>
      <c r="N166" s="3" t="str">
        <f t="shared" si="5"/>
        <v/>
      </c>
      <c r="O166" s="3">
        <f t="shared" si="6"/>
        <v>1</v>
      </c>
      <c r="Q166" s="3">
        <f t="shared" si="7"/>
        <v>1</v>
      </c>
      <c r="U166" s="3" t="str">
        <f t="shared" si="8"/>
        <v>Överlapp</v>
      </c>
      <c r="V166" s="3" t="str">
        <f t="shared" si="9"/>
        <v>Överlapp</v>
      </c>
      <c r="W166" s="3" t="str">
        <f t="shared" si="10"/>
        <v>Överlapp</v>
      </c>
      <c r="X166" s="3" t="str">
        <f t="shared" si="11"/>
        <v/>
      </c>
    </row>
    <row r="167">
      <c r="A167" s="1" t="s">
        <v>173</v>
      </c>
      <c r="B167" s="3" t="str">
        <f>IFERROR(__xludf.DUMMYFUNCTION("SPLIT(A167, "","")"),"61-79")</f>
        <v>61-79</v>
      </c>
      <c r="C167" s="3" t="str">
        <f>IFERROR(__xludf.DUMMYFUNCTION("""COMPUTED_VALUE"""),"79-79")</f>
        <v>79-79</v>
      </c>
      <c r="D167" s="3">
        <f>IFERROR(__xludf.DUMMYFUNCTION("SPLIT(B167, ""-"")"),61.0)</f>
        <v>61</v>
      </c>
      <c r="E167" s="3">
        <f>IFERROR(__xludf.DUMMYFUNCTION("""COMPUTED_VALUE"""),79.0)</f>
        <v>79</v>
      </c>
      <c r="F167" s="3">
        <f>IFERROR(__xludf.DUMMYFUNCTION("SPLIT(C167, ""-"")"),79.0)</f>
        <v>79</v>
      </c>
      <c r="G167" s="3">
        <f>IFERROR(__xludf.DUMMYFUNCTION("""COMPUTED_VALUE"""),79.0)</f>
        <v>79</v>
      </c>
      <c r="I167" s="3" t="str">
        <f t="shared" si="1"/>
        <v>y</v>
      </c>
      <c r="J167" s="3" t="str">
        <f t="shared" si="2"/>
        <v>y</v>
      </c>
      <c r="K167" s="3" t="str">
        <f t="shared" si="3"/>
        <v/>
      </c>
      <c r="L167" s="3" t="str">
        <f t="shared" si="4"/>
        <v>y</v>
      </c>
      <c r="N167" s="3">
        <f t="shared" si="5"/>
        <v>1</v>
      </c>
      <c r="O167" s="3" t="str">
        <f t="shared" si="6"/>
        <v/>
      </c>
      <c r="Q167" s="3">
        <f t="shared" si="7"/>
        <v>1</v>
      </c>
      <c r="U167" s="3" t="str">
        <f t="shared" si="8"/>
        <v>Överlapp</v>
      </c>
      <c r="V167" s="3" t="str">
        <f t="shared" si="9"/>
        <v>Överlapp</v>
      </c>
      <c r="W167" s="3" t="str">
        <f t="shared" si="10"/>
        <v>Överlapp</v>
      </c>
      <c r="X167" s="3" t="str">
        <f t="shared" si="11"/>
        <v/>
      </c>
    </row>
    <row r="168">
      <c r="A168" s="1" t="s">
        <v>174</v>
      </c>
      <c r="B168" s="3" t="str">
        <f>IFERROR(__xludf.DUMMYFUNCTION("SPLIT(A168, "","")"),"69-97")</f>
        <v>69-97</v>
      </c>
      <c r="C168" s="3" t="str">
        <f>IFERROR(__xludf.DUMMYFUNCTION("""COMPUTED_VALUE"""),"69-96")</f>
        <v>69-96</v>
      </c>
      <c r="D168" s="3">
        <f>IFERROR(__xludf.DUMMYFUNCTION("SPLIT(B168, ""-"")"),69.0)</f>
        <v>69</v>
      </c>
      <c r="E168" s="3">
        <f>IFERROR(__xludf.DUMMYFUNCTION("""COMPUTED_VALUE"""),97.0)</f>
        <v>97</v>
      </c>
      <c r="F168" s="3">
        <f>IFERROR(__xludf.DUMMYFUNCTION("SPLIT(C168, ""-"")"),69.0)</f>
        <v>69</v>
      </c>
      <c r="G168" s="3">
        <f>IFERROR(__xludf.DUMMYFUNCTION("""COMPUTED_VALUE"""),96.0)</f>
        <v>96</v>
      </c>
      <c r="I168" s="3" t="str">
        <f t="shared" si="1"/>
        <v>y</v>
      </c>
      <c r="J168" s="3" t="str">
        <f t="shared" si="2"/>
        <v>y</v>
      </c>
      <c r="K168" s="3" t="str">
        <f t="shared" si="3"/>
        <v>y</v>
      </c>
      <c r="L168" s="3" t="str">
        <f t="shared" si="4"/>
        <v/>
      </c>
      <c r="N168" s="3">
        <f t="shared" si="5"/>
        <v>1</v>
      </c>
      <c r="O168" s="3" t="str">
        <f t="shared" si="6"/>
        <v/>
      </c>
      <c r="Q168" s="3">
        <f t="shared" si="7"/>
        <v>1</v>
      </c>
      <c r="U168" s="3" t="str">
        <f t="shared" si="8"/>
        <v>Överlapp</v>
      </c>
      <c r="V168" s="3" t="str">
        <f t="shared" si="9"/>
        <v>Överlapp</v>
      </c>
      <c r="W168" s="3" t="str">
        <f t="shared" si="10"/>
        <v>Överlapp</v>
      </c>
      <c r="X168" s="3" t="str">
        <f t="shared" si="11"/>
        <v/>
      </c>
    </row>
    <row r="169">
      <c r="A169" s="1" t="s">
        <v>175</v>
      </c>
      <c r="B169" s="3" t="str">
        <f>IFERROR(__xludf.DUMMYFUNCTION("SPLIT(A169, "","")"),"84-92")</f>
        <v>84-92</v>
      </c>
      <c r="C169" s="3" t="str">
        <f>IFERROR(__xludf.DUMMYFUNCTION("""COMPUTED_VALUE"""),"18-85")</f>
        <v>18-85</v>
      </c>
      <c r="D169" s="3">
        <f>IFERROR(__xludf.DUMMYFUNCTION("SPLIT(B169, ""-"")"),84.0)</f>
        <v>84</v>
      </c>
      <c r="E169" s="3">
        <f>IFERROR(__xludf.DUMMYFUNCTION("""COMPUTED_VALUE"""),92.0)</f>
        <v>92</v>
      </c>
      <c r="F169" s="3">
        <f>IFERROR(__xludf.DUMMYFUNCTION("SPLIT(C169, ""-"")"),18.0)</f>
        <v>18</v>
      </c>
      <c r="G169" s="3">
        <f>IFERROR(__xludf.DUMMYFUNCTION("""COMPUTED_VALUE"""),85.0)</f>
        <v>85</v>
      </c>
      <c r="I169" s="3" t="str">
        <f t="shared" si="1"/>
        <v/>
      </c>
      <c r="J169" s="3" t="str">
        <f t="shared" si="2"/>
        <v>y</v>
      </c>
      <c r="K169" s="3" t="str">
        <f t="shared" si="3"/>
        <v>y</v>
      </c>
      <c r="L169" s="3" t="str">
        <f t="shared" si="4"/>
        <v/>
      </c>
      <c r="N169" s="3" t="str">
        <f t="shared" si="5"/>
        <v/>
      </c>
      <c r="O169" s="3" t="str">
        <f t="shared" si="6"/>
        <v/>
      </c>
      <c r="Q169" s="3" t="str">
        <f t="shared" si="7"/>
        <v/>
      </c>
      <c r="U169" s="3">
        <f t="shared" si="8"/>
        <v>1</v>
      </c>
      <c r="V169" s="3" t="str">
        <f t="shared" si="9"/>
        <v>Överlapp</v>
      </c>
      <c r="W169" s="3" t="str">
        <f t="shared" si="10"/>
        <v>Överlapp</v>
      </c>
      <c r="X169" s="3" t="str">
        <f t="shared" si="11"/>
        <v/>
      </c>
    </row>
    <row r="170">
      <c r="A170" s="1" t="s">
        <v>176</v>
      </c>
      <c r="B170" s="3" t="str">
        <f>IFERROR(__xludf.DUMMYFUNCTION("SPLIT(A170, "","")"),"17-90")</f>
        <v>17-90</v>
      </c>
      <c r="C170" s="3" t="str">
        <f>IFERROR(__xludf.DUMMYFUNCTION("""COMPUTED_VALUE"""),"74-91")</f>
        <v>74-91</v>
      </c>
      <c r="D170" s="3">
        <f>IFERROR(__xludf.DUMMYFUNCTION("SPLIT(B170, ""-"")"),17.0)</f>
        <v>17</v>
      </c>
      <c r="E170" s="3">
        <f>IFERROR(__xludf.DUMMYFUNCTION("""COMPUTED_VALUE"""),90.0)</f>
        <v>90</v>
      </c>
      <c r="F170" s="3">
        <f>IFERROR(__xludf.DUMMYFUNCTION("SPLIT(C170, ""-"")"),74.0)</f>
        <v>74</v>
      </c>
      <c r="G170" s="3">
        <f>IFERROR(__xludf.DUMMYFUNCTION("""COMPUTED_VALUE"""),91.0)</f>
        <v>91</v>
      </c>
      <c r="I170" s="3" t="str">
        <f t="shared" si="1"/>
        <v>y</v>
      </c>
      <c r="J170" s="3" t="str">
        <f t="shared" si="2"/>
        <v/>
      </c>
      <c r="K170" s="3" t="str">
        <f t="shared" si="3"/>
        <v/>
      </c>
      <c r="L170" s="3" t="str">
        <f t="shared" si="4"/>
        <v>y</v>
      </c>
      <c r="N170" s="3" t="str">
        <f t="shared" si="5"/>
        <v/>
      </c>
      <c r="O170" s="3" t="str">
        <f t="shared" si="6"/>
        <v/>
      </c>
      <c r="Q170" s="3" t="str">
        <f t="shared" si="7"/>
        <v/>
      </c>
      <c r="U170" s="3">
        <f t="shared" si="8"/>
        <v>1</v>
      </c>
      <c r="V170" s="3" t="str">
        <f t="shared" si="9"/>
        <v>Överlapp</v>
      </c>
      <c r="W170" s="3" t="str">
        <f t="shared" si="10"/>
        <v>Överlapp</v>
      </c>
      <c r="X170" s="3" t="str">
        <f t="shared" si="11"/>
        <v/>
      </c>
    </row>
    <row r="171">
      <c r="A171" s="1" t="s">
        <v>177</v>
      </c>
      <c r="B171" s="3" t="str">
        <f>IFERROR(__xludf.DUMMYFUNCTION("SPLIT(A171, "","")"),"87-87")</f>
        <v>87-87</v>
      </c>
      <c r="C171" s="3" t="str">
        <f>IFERROR(__xludf.DUMMYFUNCTION("""COMPUTED_VALUE"""),"2-88")</f>
        <v>2-88</v>
      </c>
      <c r="D171" s="3">
        <f>IFERROR(__xludf.DUMMYFUNCTION("SPLIT(B171, ""-"")"),87.0)</f>
        <v>87</v>
      </c>
      <c r="E171" s="3">
        <f>IFERROR(__xludf.DUMMYFUNCTION("""COMPUTED_VALUE"""),87.0)</f>
        <v>87</v>
      </c>
      <c r="F171" s="3">
        <f>IFERROR(__xludf.DUMMYFUNCTION("SPLIT(C171, ""-"")"),2.0)</f>
        <v>2</v>
      </c>
      <c r="G171" s="3">
        <f>IFERROR(__xludf.DUMMYFUNCTION("""COMPUTED_VALUE"""),88.0)</f>
        <v>88</v>
      </c>
      <c r="I171" s="3" t="str">
        <f t="shared" si="1"/>
        <v/>
      </c>
      <c r="J171" s="3" t="str">
        <f t="shared" si="2"/>
        <v/>
      </c>
      <c r="K171" s="3" t="str">
        <f t="shared" si="3"/>
        <v>y</v>
      </c>
      <c r="L171" s="3" t="str">
        <f t="shared" si="4"/>
        <v>y</v>
      </c>
      <c r="N171" s="3" t="str">
        <f t="shared" si="5"/>
        <v/>
      </c>
      <c r="O171" s="3">
        <f t="shared" si="6"/>
        <v>1</v>
      </c>
      <c r="Q171" s="3">
        <f t="shared" si="7"/>
        <v>1</v>
      </c>
      <c r="U171" s="3">
        <f t="shared" si="8"/>
        <v>1</v>
      </c>
      <c r="V171" s="3" t="str">
        <f t="shared" si="9"/>
        <v>Överlapp</v>
      </c>
      <c r="W171" s="3" t="str">
        <f t="shared" si="10"/>
        <v>Överlapp</v>
      </c>
      <c r="X171" s="3" t="str">
        <f t="shared" si="11"/>
        <v/>
      </c>
    </row>
    <row r="172">
      <c r="A172" s="1" t="s">
        <v>178</v>
      </c>
      <c r="B172" s="3" t="str">
        <f>IFERROR(__xludf.DUMMYFUNCTION("SPLIT(A172, "","")"),"14-90")</f>
        <v>14-90</v>
      </c>
      <c r="C172" s="3" t="str">
        <f>IFERROR(__xludf.DUMMYFUNCTION("""COMPUTED_VALUE"""),"14-90")</f>
        <v>14-90</v>
      </c>
      <c r="D172" s="3">
        <f>IFERROR(__xludf.DUMMYFUNCTION("SPLIT(B172, ""-"")"),14.0)</f>
        <v>14</v>
      </c>
      <c r="E172" s="3">
        <f>IFERROR(__xludf.DUMMYFUNCTION("""COMPUTED_VALUE"""),90.0)</f>
        <v>90</v>
      </c>
      <c r="F172" s="3">
        <f>IFERROR(__xludf.DUMMYFUNCTION("SPLIT(C172, ""-"")"),14.0)</f>
        <v>14</v>
      </c>
      <c r="G172" s="3">
        <f>IFERROR(__xludf.DUMMYFUNCTION("""COMPUTED_VALUE"""),90.0)</f>
        <v>90</v>
      </c>
      <c r="I172" s="3" t="str">
        <f t="shared" si="1"/>
        <v>y</v>
      </c>
      <c r="J172" s="3" t="str">
        <f t="shared" si="2"/>
        <v>y</v>
      </c>
      <c r="K172" s="3" t="str">
        <f t="shared" si="3"/>
        <v>y</v>
      </c>
      <c r="L172" s="3" t="str">
        <f t="shared" si="4"/>
        <v>y</v>
      </c>
      <c r="N172" s="3">
        <f t="shared" si="5"/>
        <v>1</v>
      </c>
      <c r="O172" s="3">
        <f t="shared" si="6"/>
        <v>1</v>
      </c>
      <c r="Q172" s="3">
        <f t="shared" si="7"/>
        <v>1</v>
      </c>
      <c r="U172" s="3" t="str">
        <f t="shared" si="8"/>
        <v>Överlapp</v>
      </c>
      <c r="V172" s="3" t="str">
        <f t="shared" si="9"/>
        <v>Överlapp</v>
      </c>
      <c r="W172" s="3" t="str">
        <f t="shared" si="10"/>
        <v>Överlapp</v>
      </c>
      <c r="X172" s="3" t="str">
        <f t="shared" si="11"/>
        <v/>
      </c>
    </row>
    <row r="173">
      <c r="A173" s="1" t="s">
        <v>179</v>
      </c>
      <c r="B173" s="3" t="str">
        <f>IFERROR(__xludf.DUMMYFUNCTION("SPLIT(A173, "","")"),"64-75")</f>
        <v>64-75</v>
      </c>
      <c r="C173" s="3" t="str">
        <f>IFERROR(__xludf.DUMMYFUNCTION("""COMPUTED_VALUE"""),"1-76")</f>
        <v>1-76</v>
      </c>
      <c r="D173" s="3">
        <f>IFERROR(__xludf.DUMMYFUNCTION("SPLIT(B173, ""-"")"),64.0)</f>
        <v>64</v>
      </c>
      <c r="E173" s="3">
        <f>IFERROR(__xludf.DUMMYFUNCTION("""COMPUTED_VALUE"""),75.0)</f>
        <v>75</v>
      </c>
      <c r="F173" s="3">
        <f>IFERROR(__xludf.DUMMYFUNCTION("SPLIT(C173, ""-"")"),1.0)</f>
        <v>1</v>
      </c>
      <c r="G173" s="3">
        <f>IFERROR(__xludf.DUMMYFUNCTION("""COMPUTED_VALUE"""),76.0)</f>
        <v>76</v>
      </c>
      <c r="I173" s="3" t="str">
        <f t="shared" si="1"/>
        <v/>
      </c>
      <c r="J173" s="3" t="str">
        <f t="shared" si="2"/>
        <v/>
      </c>
      <c r="K173" s="3" t="str">
        <f t="shared" si="3"/>
        <v>y</v>
      </c>
      <c r="L173" s="3" t="str">
        <f t="shared" si="4"/>
        <v>y</v>
      </c>
      <c r="N173" s="3" t="str">
        <f t="shared" si="5"/>
        <v/>
      </c>
      <c r="O173" s="3">
        <f t="shared" si="6"/>
        <v>1</v>
      </c>
      <c r="Q173" s="3">
        <f t="shared" si="7"/>
        <v>1</v>
      </c>
      <c r="U173" s="3">
        <f t="shared" si="8"/>
        <v>1</v>
      </c>
      <c r="V173" s="3" t="str">
        <f t="shared" si="9"/>
        <v>Överlapp</v>
      </c>
      <c r="W173" s="3" t="str">
        <f t="shared" si="10"/>
        <v>Överlapp</v>
      </c>
      <c r="X173" s="3" t="str">
        <f t="shared" si="11"/>
        <v/>
      </c>
    </row>
    <row r="174">
      <c r="A174" s="1" t="s">
        <v>180</v>
      </c>
      <c r="B174" s="3" t="str">
        <f>IFERROR(__xludf.DUMMYFUNCTION("SPLIT(A174, "","")"),"35-35")</f>
        <v>35-35</v>
      </c>
      <c r="C174" s="3" t="str">
        <f>IFERROR(__xludf.DUMMYFUNCTION("""COMPUTED_VALUE"""),"34-98")</f>
        <v>34-98</v>
      </c>
      <c r="D174" s="3">
        <f>IFERROR(__xludf.DUMMYFUNCTION("SPLIT(B174, ""-"")"),35.0)</f>
        <v>35</v>
      </c>
      <c r="E174" s="3">
        <f>IFERROR(__xludf.DUMMYFUNCTION("""COMPUTED_VALUE"""),35.0)</f>
        <v>35</v>
      </c>
      <c r="F174" s="3">
        <f>IFERROR(__xludf.DUMMYFUNCTION("SPLIT(C174, ""-"")"),34.0)</f>
        <v>34</v>
      </c>
      <c r="G174" s="3">
        <f>IFERROR(__xludf.DUMMYFUNCTION("""COMPUTED_VALUE"""),98.0)</f>
        <v>98</v>
      </c>
      <c r="I174" s="3" t="str">
        <f t="shared" si="1"/>
        <v/>
      </c>
      <c r="J174" s="3" t="str">
        <f t="shared" si="2"/>
        <v/>
      </c>
      <c r="K174" s="3" t="str">
        <f t="shared" si="3"/>
        <v>y</v>
      </c>
      <c r="L174" s="3" t="str">
        <f t="shared" si="4"/>
        <v>y</v>
      </c>
      <c r="N174" s="3" t="str">
        <f t="shared" si="5"/>
        <v/>
      </c>
      <c r="O174" s="3">
        <f t="shared" si="6"/>
        <v>1</v>
      </c>
      <c r="Q174" s="3">
        <f t="shared" si="7"/>
        <v>1</v>
      </c>
      <c r="U174" s="3">
        <f t="shared" si="8"/>
        <v>1</v>
      </c>
      <c r="V174" s="3" t="str">
        <f t="shared" si="9"/>
        <v>Överlapp</v>
      </c>
      <c r="W174" s="3" t="str">
        <f t="shared" si="10"/>
        <v>Överlapp</v>
      </c>
      <c r="X174" s="3" t="str">
        <f t="shared" si="11"/>
        <v/>
      </c>
    </row>
    <row r="175">
      <c r="A175" s="1" t="s">
        <v>181</v>
      </c>
      <c r="B175" s="3" t="str">
        <f>IFERROR(__xludf.DUMMYFUNCTION("SPLIT(A175, "","")"),"32-39")</f>
        <v>32-39</v>
      </c>
      <c r="C175" s="3" t="str">
        <f>IFERROR(__xludf.DUMMYFUNCTION("""COMPUTED_VALUE"""),"36-40")</f>
        <v>36-40</v>
      </c>
      <c r="D175" s="3">
        <f>IFERROR(__xludf.DUMMYFUNCTION("SPLIT(B175, ""-"")"),32.0)</f>
        <v>32</v>
      </c>
      <c r="E175" s="3">
        <f>IFERROR(__xludf.DUMMYFUNCTION("""COMPUTED_VALUE"""),39.0)</f>
        <v>39</v>
      </c>
      <c r="F175" s="3">
        <f>IFERROR(__xludf.DUMMYFUNCTION("SPLIT(C175, ""-"")"),36.0)</f>
        <v>36</v>
      </c>
      <c r="G175" s="3">
        <f>IFERROR(__xludf.DUMMYFUNCTION("""COMPUTED_VALUE"""),40.0)</f>
        <v>40</v>
      </c>
      <c r="I175" s="3" t="str">
        <f t="shared" si="1"/>
        <v>y</v>
      </c>
      <c r="J175" s="3" t="str">
        <f t="shared" si="2"/>
        <v/>
      </c>
      <c r="K175" s="3" t="str">
        <f t="shared" si="3"/>
        <v/>
      </c>
      <c r="L175" s="3" t="str">
        <f t="shared" si="4"/>
        <v>y</v>
      </c>
      <c r="N175" s="3" t="str">
        <f t="shared" si="5"/>
        <v/>
      </c>
      <c r="O175" s="3" t="str">
        <f t="shared" si="6"/>
        <v/>
      </c>
      <c r="Q175" s="3" t="str">
        <f t="shared" si="7"/>
        <v/>
      </c>
      <c r="U175" s="3">
        <f t="shared" si="8"/>
        <v>1</v>
      </c>
      <c r="V175" s="3" t="str">
        <f t="shared" si="9"/>
        <v>Överlapp</v>
      </c>
      <c r="W175" s="3" t="str">
        <f t="shared" si="10"/>
        <v>Överlapp</v>
      </c>
      <c r="X175" s="3" t="str">
        <f t="shared" si="11"/>
        <v/>
      </c>
    </row>
    <row r="176">
      <c r="A176" s="1" t="s">
        <v>182</v>
      </c>
      <c r="B176" s="3" t="str">
        <f>IFERROR(__xludf.DUMMYFUNCTION("SPLIT(A176, "","")"),"35-50")</f>
        <v>35-50</v>
      </c>
      <c r="C176" s="3" t="str">
        <f>IFERROR(__xludf.DUMMYFUNCTION("""COMPUTED_VALUE"""),"34-49")</f>
        <v>34-49</v>
      </c>
      <c r="D176" s="3">
        <f>IFERROR(__xludf.DUMMYFUNCTION("SPLIT(B176, ""-"")"),35.0)</f>
        <v>35</v>
      </c>
      <c r="E176" s="3">
        <f>IFERROR(__xludf.DUMMYFUNCTION("""COMPUTED_VALUE"""),50.0)</f>
        <v>50</v>
      </c>
      <c r="F176" s="3">
        <f>IFERROR(__xludf.DUMMYFUNCTION("SPLIT(C176, ""-"")"),34.0)</f>
        <v>34</v>
      </c>
      <c r="G176" s="3">
        <f>IFERROR(__xludf.DUMMYFUNCTION("""COMPUTED_VALUE"""),49.0)</f>
        <v>49</v>
      </c>
      <c r="I176" s="3" t="str">
        <f t="shared" si="1"/>
        <v/>
      </c>
      <c r="J176" s="3" t="str">
        <f t="shared" si="2"/>
        <v>y</v>
      </c>
      <c r="K176" s="3" t="str">
        <f t="shared" si="3"/>
        <v>y</v>
      </c>
      <c r="L176" s="3" t="str">
        <f t="shared" si="4"/>
        <v/>
      </c>
      <c r="N176" s="3" t="str">
        <f t="shared" si="5"/>
        <v/>
      </c>
      <c r="O176" s="3" t="str">
        <f t="shared" si="6"/>
        <v/>
      </c>
      <c r="Q176" s="3" t="str">
        <f t="shared" si="7"/>
        <v/>
      </c>
      <c r="U176" s="3">
        <f t="shared" si="8"/>
        <v>1</v>
      </c>
      <c r="V176" s="3" t="str">
        <f t="shared" si="9"/>
        <v>Överlapp</v>
      </c>
      <c r="W176" s="3" t="str">
        <f t="shared" si="10"/>
        <v>Överlapp</v>
      </c>
      <c r="X176" s="3" t="str">
        <f t="shared" si="11"/>
        <v/>
      </c>
    </row>
    <row r="177">
      <c r="A177" s="1" t="s">
        <v>183</v>
      </c>
      <c r="B177" s="3" t="str">
        <f>IFERROR(__xludf.DUMMYFUNCTION("SPLIT(A177, "","")"),"9-71")</f>
        <v>9-71</v>
      </c>
      <c r="C177" s="3" t="str">
        <f>IFERROR(__xludf.DUMMYFUNCTION("""COMPUTED_VALUE"""),"11-72")</f>
        <v>11-72</v>
      </c>
      <c r="D177" s="3">
        <f>IFERROR(__xludf.DUMMYFUNCTION("SPLIT(B177, ""-"")"),9.0)</f>
        <v>9</v>
      </c>
      <c r="E177" s="3">
        <f>IFERROR(__xludf.DUMMYFUNCTION("""COMPUTED_VALUE"""),71.0)</f>
        <v>71</v>
      </c>
      <c r="F177" s="3">
        <f>IFERROR(__xludf.DUMMYFUNCTION("SPLIT(C177, ""-"")"),11.0)</f>
        <v>11</v>
      </c>
      <c r="G177" s="3">
        <f>IFERROR(__xludf.DUMMYFUNCTION("""COMPUTED_VALUE"""),72.0)</f>
        <v>72</v>
      </c>
      <c r="I177" s="3" t="str">
        <f t="shared" si="1"/>
        <v>y</v>
      </c>
      <c r="J177" s="3" t="str">
        <f t="shared" si="2"/>
        <v/>
      </c>
      <c r="K177" s="3" t="str">
        <f t="shared" si="3"/>
        <v/>
      </c>
      <c r="L177" s="3" t="str">
        <f t="shared" si="4"/>
        <v>y</v>
      </c>
      <c r="N177" s="3" t="str">
        <f t="shared" si="5"/>
        <v/>
      </c>
      <c r="O177" s="3" t="str">
        <f t="shared" si="6"/>
        <v/>
      </c>
      <c r="Q177" s="3" t="str">
        <f t="shared" si="7"/>
        <v/>
      </c>
      <c r="U177" s="3">
        <f t="shared" si="8"/>
        <v>1</v>
      </c>
      <c r="V177" s="3" t="str">
        <f t="shared" si="9"/>
        <v>Överlapp</v>
      </c>
      <c r="W177" s="3" t="str">
        <f t="shared" si="10"/>
        <v>Överlapp</v>
      </c>
      <c r="X177" s="3" t="str">
        <f t="shared" si="11"/>
        <v/>
      </c>
    </row>
    <row r="178">
      <c r="A178" s="1" t="s">
        <v>184</v>
      </c>
      <c r="B178" s="3" t="str">
        <f>IFERROR(__xludf.DUMMYFUNCTION("SPLIT(A178, "","")"),"62-79")</f>
        <v>62-79</v>
      </c>
      <c r="C178" s="3" t="str">
        <f>IFERROR(__xludf.DUMMYFUNCTION("""COMPUTED_VALUE"""),"56-78")</f>
        <v>56-78</v>
      </c>
      <c r="D178" s="3">
        <f>IFERROR(__xludf.DUMMYFUNCTION("SPLIT(B178, ""-"")"),62.0)</f>
        <v>62</v>
      </c>
      <c r="E178" s="3">
        <f>IFERROR(__xludf.DUMMYFUNCTION("""COMPUTED_VALUE"""),79.0)</f>
        <v>79</v>
      </c>
      <c r="F178" s="3">
        <f>IFERROR(__xludf.DUMMYFUNCTION("SPLIT(C178, ""-"")"),56.0)</f>
        <v>56</v>
      </c>
      <c r="G178" s="3">
        <f>IFERROR(__xludf.DUMMYFUNCTION("""COMPUTED_VALUE"""),78.0)</f>
        <v>78</v>
      </c>
      <c r="I178" s="3" t="str">
        <f t="shared" si="1"/>
        <v/>
      </c>
      <c r="J178" s="3" t="str">
        <f t="shared" si="2"/>
        <v>y</v>
      </c>
      <c r="K178" s="3" t="str">
        <f t="shared" si="3"/>
        <v>y</v>
      </c>
      <c r="L178" s="3" t="str">
        <f t="shared" si="4"/>
        <v/>
      </c>
      <c r="N178" s="3" t="str">
        <f t="shared" si="5"/>
        <v/>
      </c>
      <c r="O178" s="3" t="str">
        <f t="shared" si="6"/>
        <v/>
      </c>
      <c r="Q178" s="3" t="str">
        <f t="shared" si="7"/>
        <v/>
      </c>
      <c r="U178" s="3">
        <f t="shared" si="8"/>
        <v>1</v>
      </c>
      <c r="V178" s="3" t="str">
        <f t="shared" si="9"/>
        <v>Överlapp</v>
      </c>
      <c r="W178" s="3" t="str">
        <f t="shared" si="10"/>
        <v>Överlapp</v>
      </c>
      <c r="X178" s="3" t="str">
        <f t="shared" si="11"/>
        <v/>
      </c>
    </row>
    <row r="179">
      <c r="A179" s="1" t="s">
        <v>185</v>
      </c>
      <c r="B179" s="3" t="str">
        <f>IFERROR(__xludf.DUMMYFUNCTION("SPLIT(A179, "","")"),"2-98")</f>
        <v>2-98</v>
      </c>
      <c r="C179" s="3" t="str">
        <f>IFERROR(__xludf.DUMMYFUNCTION("""COMPUTED_VALUE"""),"59-99")</f>
        <v>59-99</v>
      </c>
      <c r="D179" s="3">
        <f>IFERROR(__xludf.DUMMYFUNCTION("SPLIT(B179, ""-"")"),2.0)</f>
        <v>2</v>
      </c>
      <c r="E179" s="3">
        <f>IFERROR(__xludf.DUMMYFUNCTION("""COMPUTED_VALUE"""),98.0)</f>
        <v>98</v>
      </c>
      <c r="F179" s="3">
        <f>IFERROR(__xludf.DUMMYFUNCTION("SPLIT(C179, ""-"")"),59.0)</f>
        <v>59</v>
      </c>
      <c r="G179" s="3">
        <f>IFERROR(__xludf.DUMMYFUNCTION("""COMPUTED_VALUE"""),99.0)</f>
        <v>99</v>
      </c>
      <c r="I179" s="3" t="str">
        <f t="shared" si="1"/>
        <v>y</v>
      </c>
      <c r="J179" s="3" t="str">
        <f t="shared" si="2"/>
        <v/>
      </c>
      <c r="K179" s="3" t="str">
        <f t="shared" si="3"/>
        <v/>
      </c>
      <c r="L179" s="3" t="str">
        <f t="shared" si="4"/>
        <v>y</v>
      </c>
      <c r="N179" s="3" t="str">
        <f t="shared" si="5"/>
        <v/>
      </c>
      <c r="O179" s="3" t="str">
        <f t="shared" si="6"/>
        <v/>
      </c>
      <c r="Q179" s="3" t="str">
        <f t="shared" si="7"/>
        <v/>
      </c>
      <c r="U179" s="3">
        <f t="shared" si="8"/>
        <v>1</v>
      </c>
      <c r="V179" s="3" t="str">
        <f t="shared" si="9"/>
        <v>Överlapp</v>
      </c>
      <c r="W179" s="3" t="str">
        <f t="shared" si="10"/>
        <v>Överlapp</v>
      </c>
      <c r="X179" s="3" t="str">
        <f t="shared" si="11"/>
        <v/>
      </c>
    </row>
    <row r="180">
      <c r="A180" s="1" t="s">
        <v>186</v>
      </c>
      <c r="B180" s="3" t="str">
        <f>IFERROR(__xludf.DUMMYFUNCTION("SPLIT(A180, "","")"),"42-96")</f>
        <v>42-96</v>
      </c>
      <c r="C180" s="3" t="str">
        <f>IFERROR(__xludf.DUMMYFUNCTION("""COMPUTED_VALUE"""),"43-95")</f>
        <v>43-95</v>
      </c>
      <c r="D180" s="3">
        <f>IFERROR(__xludf.DUMMYFUNCTION("SPLIT(B180, ""-"")"),42.0)</f>
        <v>42</v>
      </c>
      <c r="E180" s="3">
        <f>IFERROR(__xludf.DUMMYFUNCTION("""COMPUTED_VALUE"""),96.0)</f>
        <v>96</v>
      </c>
      <c r="F180" s="3">
        <f>IFERROR(__xludf.DUMMYFUNCTION("SPLIT(C180, ""-"")"),43.0)</f>
        <v>43</v>
      </c>
      <c r="G180" s="3">
        <f>IFERROR(__xludf.DUMMYFUNCTION("""COMPUTED_VALUE"""),95.0)</f>
        <v>95</v>
      </c>
      <c r="I180" s="3" t="str">
        <f t="shared" si="1"/>
        <v>y</v>
      </c>
      <c r="J180" s="3" t="str">
        <f t="shared" si="2"/>
        <v>y</v>
      </c>
      <c r="K180" s="3" t="str">
        <f t="shared" si="3"/>
        <v/>
      </c>
      <c r="L180" s="3" t="str">
        <f t="shared" si="4"/>
        <v/>
      </c>
      <c r="N180" s="3">
        <f t="shared" si="5"/>
        <v>1</v>
      </c>
      <c r="O180" s="3" t="str">
        <f t="shared" si="6"/>
        <v/>
      </c>
      <c r="Q180" s="3">
        <f t="shared" si="7"/>
        <v>1</v>
      </c>
      <c r="U180" s="3">
        <f t="shared" si="8"/>
        <v>1</v>
      </c>
      <c r="V180" s="3" t="str">
        <f t="shared" si="9"/>
        <v>Överlapp</v>
      </c>
      <c r="W180" s="3" t="str">
        <f t="shared" si="10"/>
        <v>Överlapp</v>
      </c>
      <c r="X180" s="3" t="str">
        <f t="shared" si="11"/>
        <v/>
      </c>
    </row>
    <row r="181">
      <c r="A181" s="1" t="s">
        <v>187</v>
      </c>
      <c r="B181" s="3" t="str">
        <f>IFERROR(__xludf.DUMMYFUNCTION("SPLIT(A181, "","")"),"16-85")</f>
        <v>16-85</v>
      </c>
      <c r="C181" s="3" t="str">
        <f>IFERROR(__xludf.DUMMYFUNCTION("""COMPUTED_VALUE"""),"17-84")</f>
        <v>17-84</v>
      </c>
      <c r="D181" s="3">
        <f>IFERROR(__xludf.DUMMYFUNCTION("SPLIT(B181, ""-"")"),16.0)</f>
        <v>16</v>
      </c>
      <c r="E181" s="3">
        <f>IFERROR(__xludf.DUMMYFUNCTION("""COMPUTED_VALUE"""),85.0)</f>
        <v>85</v>
      </c>
      <c r="F181" s="3">
        <f>IFERROR(__xludf.DUMMYFUNCTION("SPLIT(C181, ""-"")"),17.0)</f>
        <v>17</v>
      </c>
      <c r="G181" s="3">
        <f>IFERROR(__xludf.DUMMYFUNCTION("""COMPUTED_VALUE"""),84.0)</f>
        <v>84</v>
      </c>
      <c r="I181" s="3" t="str">
        <f t="shared" si="1"/>
        <v>y</v>
      </c>
      <c r="J181" s="3" t="str">
        <f t="shared" si="2"/>
        <v>y</v>
      </c>
      <c r="K181" s="3" t="str">
        <f t="shared" si="3"/>
        <v/>
      </c>
      <c r="L181" s="3" t="str">
        <f t="shared" si="4"/>
        <v/>
      </c>
      <c r="N181" s="3">
        <f t="shared" si="5"/>
        <v>1</v>
      </c>
      <c r="O181" s="3" t="str">
        <f t="shared" si="6"/>
        <v/>
      </c>
      <c r="Q181" s="3">
        <f t="shared" si="7"/>
        <v>1</v>
      </c>
      <c r="U181" s="3">
        <f t="shared" si="8"/>
        <v>1</v>
      </c>
      <c r="V181" s="3" t="str">
        <f t="shared" si="9"/>
        <v>Överlapp</v>
      </c>
      <c r="W181" s="3" t="str">
        <f t="shared" si="10"/>
        <v>Överlapp</v>
      </c>
      <c r="X181" s="3" t="str">
        <f t="shared" si="11"/>
        <v/>
      </c>
    </row>
    <row r="182">
      <c r="A182" s="1" t="s">
        <v>188</v>
      </c>
      <c r="B182" s="3" t="str">
        <f>IFERROR(__xludf.DUMMYFUNCTION("SPLIT(A182, "","")"),"5-97")</f>
        <v>5-97</v>
      </c>
      <c r="C182" s="3" t="str">
        <f>IFERROR(__xludf.DUMMYFUNCTION("""COMPUTED_VALUE"""),"96-99")</f>
        <v>96-99</v>
      </c>
      <c r="D182" s="3">
        <f>IFERROR(__xludf.DUMMYFUNCTION("SPLIT(B182, ""-"")"),5.0)</f>
        <v>5</v>
      </c>
      <c r="E182" s="3">
        <f>IFERROR(__xludf.DUMMYFUNCTION("""COMPUTED_VALUE"""),97.0)</f>
        <v>97</v>
      </c>
      <c r="F182" s="3">
        <f>IFERROR(__xludf.DUMMYFUNCTION("SPLIT(C182, ""-"")"),96.0)</f>
        <v>96</v>
      </c>
      <c r="G182" s="3">
        <f>IFERROR(__xludf.DUMMYFUNCTION("""COMPUTED_VALUE"""),99.0)</f>
        <v>99</v>
      </c>
      <c r="I182" s="3" t="str">
        <f t="shared" si="1"/>
        <v>y</v>
      </c>
      <c r="J182" s="3" t="str">
        <f t="shared" si="2"/>
        <v/>
      </c>
      <c r="K182" s="3" t="str">
        <f t="shared" si="3"/>
        <v/>
      </c>
      <c r="L182" s="3" t="str">
        <f t="shared" si="4"/>
        <v>y</v>
      </c>
      <c r="N182" s="3" t="str">
        <f t="shared" si="5"/>
        <v/>
      </c>
      <c r="O182" s="3" t="str">
        <f t="shared" si="6"/>
        <v/>
      </c>
      <c r="Q182" s="3" t="str">
        <f t="shared" si="7"/>
        <v/>
      </c>
      <c r="U182" s="3">
        <f t="shared" si="8"/>
        <v>1</v>
      </c>
      <c r="V182" s="3" t="str">
        <f t="shared" si="9"/>
        <v>Överlapp</v>
      </c>
      <c r="W182" s="3" t="str">
        <f t="shared" si="10"/>
        <v>Överlapp</v>
      </c>
      <c r="X182" s="3" t="str">
        <f t="shared" si="11"/>
        <v/>
      </c>
    </row>
    <row r="183">
      <c r="A183" s="1" t="s">
        <v>189</v>
      </c>
      <c r="B183" s="3" t="str">
        <f>IFERROR(__xludf.DUMMYFUNCTION("SPLIT(A183, "","")"),"20-44")</f>
        <v>20-44</v>
      </c>
      <c r="C183" s="3" t="str">
        <f>IFERROR(__xludf.DUMMYFUNCTION("""COMPUTED_VALUE"""),"21-43")</f>
        <v>21-43</v>
      </c>
      <c r="D183" s="3">
        <f>IFERROR(__xludf.DUMMYFUNCTION("SPLIT(B183, ""-"")"),20.0)</f>
        <v>20</v>
      </c>
      <c r="E183" s="3">
        <f>IFERROR(__xludf.DUMMYFUNCTION("""COMPUTED_VALUE"""),44.0)</f>
        <v>44</v>
      </c>
      <c r="F183" s="3">
        <f>IFERROR(__xludf.DUMMYFUNCTION("SPLIT(C183, ""-"")"),21.0)</f>
        <v>21</v>
      </c>
      <c r="G183" s="3">
        <f>IFERROR(__xludf.DUMMYFUNCTION("""COMPUTED_VALUE"""),43.0)</f>
        <v>43</v>
      </c>
      <c r="I183" s="3" t="str">
        <f t="shared" si="1"/>
        <v>y</v>
      </c>
      <c r="J183" s="3" t="str">
        <f t="shared" si="2"/>
        <v>y</v>
      </c>
      <c r="K183" s="3" t="str">
        <f t="shared" si="3"/>
        <v/>
      </c>
      <c r="L183" s="3" t="str">
        <f t="shared" si="4"/>
        <v/>
      </c>
      <c r="N183" s="3">
        <f t="shared" si="5"/>
        <v>1</v>
      </c>
      <c r="O183" s="3" t="str">
        <f t="shared" si="6"/>
        <v/>
      </c>
      <c r="Q183" s="3">
        <f t="shared" si="7"/>
        <v>1</v>
      </c>
      <c r="U183" s="3">
        <f t="shared" si="8"/>
        <v>1</v>
      </c>
      <c r="V183" s="3" t="str">
        <f t="shared" si="9"/>
        <v>Överlapp</v>
      </c>
      <c r="W183" s="3" t="str">
        <f t="shared" si="10"/>
        <v>Överlapp</v>
      </c>
      <c r="X183" s="3" t="str">
        <f t="shared" si="11"/>
        <v/>
      </c>
    </row>
    <row r="184">
      <c r="A184" s="1" t="s">
        <v>190</v>
      </c>
      <c r="B184" s="3" t="str">
        <f>IFERROR(__xludf.DUMMYFUNCTION("SPLIT(A184, "","")"),"31-97")</f>
        <v>31-97</v>
      </c>
      <c r="C184" s="3" t="str">
        <f>IFERROR(__xludf.DUMMYFUNCTION("""COMPUTED_VALUE"""),"46-96")</f>
        <v>46-96</v>
      </c>
      <c r="D184" s="3">
        <f>IFERROR(__xludf.DUMMYFUNCTION("SPLIT(B184, ""-"")"),31.0)</f>
        <v>31</v>
      </c>
      <c r="E184" s="3">
        <f>IFERROR(__xludf.DUMMYFUNCTION("""COMPUTED_VALUE"""),97.0)</f>
        <v>97</v>
      </c>
      <c r="F184" s="3">
        <f>IFERROR(__xludf.DUMMYFUNCTION("SPLIT(C184, ""-"")"),46.0)</f>
        <v>46</v>
      </c>
      <c r="G184" s="3">
        <f>IFERROR(__xludf.DUMMYFUNCTION("""COMPUTED_VALUE"""),96.0)</f>
        <v>96</v>
      </c>
      <c r="I184" s="3" t="str">
        <f t="shared" si="1"/>
        <v>y</v>
      </c>
      <c r="J184" s="3" t="str">
        <f t="shared" si="2"/>
        <v>y</v>
      </c>
      <c r="K184" s="3" t="str">
        <f t="shared" si="3"/>
        <v/>
      </c>
      <c r="L184" s="3" t="str">
        <f t="shared" si="4"/>
        <v/>
      </c>
      <c r="N184" s="3">
        <f t="shared" si="5"/>
        <v>1</v>
      </c>
      <c r="O184" s="3" t="str">
        <f t="shared" si="6"/>
        <v/>
      </c>
      <c r="Q184" s="3">
        <f t="shared" si="7"/>
        <v>1</v>
      </c>
      <c r="U184" s="3">
        <f t="shared" si="8"/>
        <v>1</v>
      </c>
      <c r="V184" s="3" t="str">
        <f t="shared" si="9"/>
        <v>Överlapp</v>
      </c>
      <c r="W184" s="3" t="str">
        <f t="shared" si="10"/>
        <v>Överlapp</v>
      </c>
      <c r="X184" s="3" t="str">
        <f t="shared" si="11"/>
        <v/>
      </c>
    </row>
    <row r="185">
      <c r="A185" s="1" t="s">
        <v>191</v>
      </c>
      <c r="B185" s="3" t="str">
        <f>IFERROR(__xludf.DUMMYFUNCTION("SPLIT(A185, "","")"),"16-69")</f>
        <v>16-69</v>
      </c>
      <c r="C185" s="3" t="str">
        <f>IFERROR(__xludf.DUMMYFUNCTION("""COMPUTED_VALUE"""),"15-63")</f>
        <v>15-63</v>
      </c>
      <c r="D185" s="3">
        <f>IFERROR(__xludf.DUMMYFUNCTION("SPLIT(B185, ""-"")"),16.0)</f>
        <v>16</v>
      </c>
      <c r="E185" s="3">
        <f>IFERROR(__xludf.DUMMYFUNCTION("""COMPUTED_VALUE"""),69.0)</f>
        <v>69</v>
      </c>
      <c r="F185" s="3">
        <f>IFERROR(__xludf.DUMMYFUNCTION("SPLIT(C185, ""-"")"),15.0)</f>
        <v>15</v>
      </c>
      <c r="G185" s="3">
        <f>IFERROR(__xludf.DUMMYFUNCTION("""COMPUTED_VALUE"""),63.0)</f>
        <v>63</v>
      </c>
      <c r="I185" s="3" t="str">
        <f t="shared" si="1"/>
        <v/>
      </c>
      <c r="J185" s="3" t="str">
        <f t="shared" si="2"/>
        <v>y</v>
      </c>
      <c r="K185" s="3" t="str">
        <f t="shared" si="3"/>
        <v>y</v>
      </c>
      <c r="L185" s="3" t="str">
        <f t="shared" si="4"/>
        <v/>
      </c>
      <c r="N185" s="3" t="str">
        <f t="shared" si="5"/>
        <v/>
      </c>
      <c r="O185" s="3" t="str">
        <f t="shared" si="6"/>
        <v/>
      </c>
      <c r="Q185" s="3" t="str">
        <f t="shared" si="7"/>
        <v/>
      </c>
      <c r="U185" s="3">
        <f t="shared" si="8"/>
        <v>1</v>
      </c>
      <c r="V185" s="3" t="str">
        <f t="shared" si="9"/>
        <v>Överlapp</v>
      </c>
      <c r="W185" s="3" t="str">
        <f t="shared" si="10"/>
        <v>Överlapp</v>
      </c>
      <c r="X185" s="3" t="str">
        <f t="shared" si="11"/>
        <v/>
      </c>
    </row>
    <row r="186">
      <c r="A186" s="1" t="s">
        <v>192</v>
      </c>
      <c r="B186" s="3" t="str">
        <f>IFERROR(__xludf.DUMMYFUNCTION("SPLIT(A186, "","")"),"96-97")</f>
        <v>96-97</v>
      </c>
      <c r="C186" s="3" t="str">
        <f>IFERROR(__xludf.DUMMYFUNCTION("""COMPUTED_VALUE"""),"37-96")</f>
        <v>37-96</v>
      </c>
      <c r="D186" s="3">
        <f>IFERROR(__xludf.DUMMYFUNCTION("SPLIT(B186, ""-"")"),96.0)</f>
        <v>96</v>
      </c>
      <c r="E186" s="3">
        <f>IFERROR(__xludf.DUMMYFUNCTION("""COMPUTED_VALUE"""),97.0)</f>
        <v>97</v>
      </c>
      <c r="F186" s="3">
        <f>IFERROR(__xludf.DUMMYFUNCTION("SPLIT(C186, ""-"")"),37.0)</f>
        <v>37</v>
      </c>
      <c r="G186" s="3">
        <f>IFERROR(__xludf.DUMMYFUNCTION("""COMPUTED_VALUE"""),96.0)</f>
        <v>96</v>
      </c>
      <c r="I186" s="3" t="str">
        <f t="shared" si="1"/>
        <v/>
      </c>
      <c r="J186" s="3" t="str">
        <f t="shared" si="2"/>
        <v>y</v>
      </c>
      <c r="K186" s="3" t="str">
        <f t="shared" si="3"/>
        <v>y</v>
      </c>
      <c r="L186" s="3" t="str">
        <f t="shared" si="4"/>
        <v/>
      </c>
      <c r="N186" s="3" t="str">
        <f t="shared" si="5"/>
        <v/>
      </c>
      <c r="O186" s="3" t="str">
        <f t="shared" si="6"/>
        <v/>
      </c>
      <c r="Q186" s="3" t="str">
        <f t="shared" si="7"/>
        <v/>
      </c>
      <c r="U186" s="3" t="str">
        <f t="shared" si="8"/>
        <v>Överlapp</v>
      </c>
      <c r="V186" s="3" t="str">
        <f t="shared" si="9"/>
        <v>Överlapp</v>
      </c>
      <c r="W186" s="3" t="str">
        <f t="shared" si="10"/>
        <v>Överlapp</v>
      </c>
      <c r="X186" s="3" t="str">
        <f t="shared" si="11"/>
        <v/>
      </c>
    </row>
    <row r="187">
      <c r="A187" s="1" t="s">
        <v>193</v>
      </c>
      <c r="B187" s="3" t="str">
        <f>IFERROR(__xludf.DUMMYFUNCTION("SPLIT(A187, "","")"),"15-21")</f>
        <v>15-21</v>
      </c>
      <c r="C187" s="3" t="str">
        <f>IFERROR(__xludf.DUMMYFUNCTION("""COMPUTED_VALUE"""),"16-55")</f>
        <v>16-55</v>
      </c>
      <c r="D187" s="3">
        <f>IFERROR(__xludf.DUMMYFUNCTION("SPLIT(B187, ""-"")"),15.0)</f>
        <v>15</v>
      </c>
      <c r="E187" s="3">
        <f>IFERROR(__xludf.DUMMYFUNCTION("""COMPUTED_VALUE"""),21.0)</f>
        <v>21</v>
      </c>
      <c r="F187" s="3">
        <f>IFERROR(__xludf.DUMMYFUNCTION("SPLIT(C187, ""-"")"),16.0)</f>
        <v>16</v>
      </c>
      <c r="G187" s="3">
        <f>IFERROR(__xludf.DUMMYFUNCTION("""COMPUTED_VALUE"""),55.0)</f>
        <v>55</v>
      </c>
      <c r="I187" s="3" t="str">
        <f t="shared" si="1"/>
        <v>y</v>
      </c>
      <c r="J187" s="3" t="str">
        <f t="shared" si="2"/>
        <v/>
      </c>
      <c r="K187" s="3" t="str">
        <f t="shared" si="3"/>
        <v/>
      </c>
      <c r="L187" s="3" t="str">
        <f t="shared" si="4"/>
        <v>y</v>
      </c>
      <c r="N187" s="3" t="str">
        <f t="shared" si="5"/>
        <v/>
      </c>
      <c r="O187" s="3" t="str">
        <f t="shared" si="6"/>
        <v/>
      </c>
      <c r="Q187" s="3" t="str">
        <f t="shared" si="7"/>
        <v/>
      </c>
      <c r="U187" s="3">
        <f t="shared" si="8"/>
        <v>1</v>
      </c>
      <c r="V187" s="3" t="str">
        <f t="shared" si="9"/>
        <v>Överlapp</v>
      </c>
      <c r="W187" s="3" t="str">
        <f t="shared" si="10"/>
        <v>Överlapp</v>
      </c>
      <c r="X187" s="3" t="str">
        <f t="shared" si="11"/>
        <v/>
      </c>
    </row>
    <row r="188">
      <c r="A188" s="1" t="s">
        <v>194</v>
      </c>
      <c r="B188" s="3" t="str">
        <f>IFERROR(__xludf.DUMMYFUNCTION("SPLIT(A188, "","")"),"42-43")</f>
        <v>42-43</v>
      </c>
      <c r="C188" s="3" t="str">
        <f>IFERROR(__xludf.DUMMYFUNCTION("""COMPUTED_VALUE"""),"42-94")</f>
        <v>42-94</v>
      </c>
      <c r="D188" s="3">
        <f>IFERROR(__xludf.DUMMYFUNCTION("SPLIT(B188, ""-"")"),42.0)</f>
        <v>42</v>
      </c>
      <c r="E188" s="3">
        <f>IFERROR(__xludf.DUMMYFUNCTION("""COMPUTED_VALUE"""),43.0)</f>
        <v>43</v>
      </c>
      <c r="F188" s="3">
        <f>IFERROR(__xludf.DUMMYFUNCTION("SPLIT(C188, ""-"")"),42.0)</f>
        <v>42</v>
      </c>
      <c r="G188" s="3">
        <f>IFERROR(__xludf.DUMMYFUNCTION("""COMPUTED_VALUE"""),94.0)</f>
        <v>94</v>
      </c>
      <c r="I188" s="3" t="str">
        <f t="shared" si="1"/>
        <v>y</v>
      </c>
      <c r="J188" s="3" t="str">
        <f t="shared" si="2"/>
        <v/>
      </c>
      <c r="K188" s="3" t="str">
        <f t="shared" si="3"/>
        <v>y</v>
      </c>
      <c r="L188" s="3" t="str">
        <f t="shared" si="4"/>
        <v>y</v>
      </c>
      <c r="N188" s="3" t="str">
        <f t="shared" si="5"/>
        <v/>
      </c>
      <c r="O188" s="3">
        <f t="shared" si="6"/>
        <v>1</v>
      </c>
      <c r="Q188" s="3">
        <f t="shared" si="7"/>
        <v>1</v>
      </c>
      <c r="U188" s="3" t="str">
        <f t="shared" si="8"/>
        <v>Överlapp</v>
      </c>
      <c r="V188" s="3" t="str">
        <f t="shared" si="9"/>
        <v>Överlapp</v>
      </c>
      <c r="W188" s="3" t="str">
        <f t="shared" si="10"/>
        <v>Överlapp</v>
      </c>
      <c r="X188" s="3" t="str">
        <f t="shared" si="11"/>
        <v/>
      </c>
    </row>
    <row r="189">
      <c r="A189" s="1" t="s">
        <v>195</v>
      </c>
      <c r="B189" s="3" t="str">
        <f>IFERROR(__xludf.DUMMYFUNCTION("SPLIT(A189, "","")"),"37-77")</f>
        <v>37-77</v>
      </c>
      <c r="C189" s="3" t="str">
        <f>IFERROR(__xludf.DUMMYFUNCTION("""COMPUTED_VALUE"""),"37-76")</f>
        <v>37-76</v>
      </c>
      <c r="D189" s="3">
        <f>IFERROR(__xludf.DUMMYFUNCTION("SPLIT(B189, ""-"")"),37.0)</f>
        <v>37</v>
      </c>
      <c r="E189" s="3">
        <f>IFERROR(__xludf.DUMMYFUNCTION("""COMPUTED_VALUE"""),77.0)</f>
        <v>77</v>
      </c>
      <c r="F189" s="3">
        <f>IFERROR(__xludf.DUMMYFUNCTION("SPLIT(C189, ""-"")"),37.0)</f>
        <v>37</v>
      </c>
      <c r="G189" s="3">
        <f>IFERROR(__xludf.DUMMYFUNCTION("""COMPUTED_VALUE"""),76.0)</f>
        <v>76</v>
      </c>
      <c r="I189" s="3" t="str">
        <f t="shared" si="1"/>
        <v>y</v>
      </c>
      <c r="J189" s="3" t="str">
        <f t="shared" si="2"/>
        <v>y</v>
      </c>
      <c r="K189" s="3" t="str">
        <f t="shared" si="3"/>
        <v>y</v>
      </c>
      <c r="L189" s="3" t="str">
        <f t="shared" si="4"/>
        <v/>
      </c>
      <c r="N189" s="3">
        <f t="shared" si="5"/>
        <v>1</v>
      </c>
      <c r="O189" s="3" t="str">
        <f t="shared" si="6"/>
        <v/>
      </c>
      <c r="Q189" s="3">
        <f t="shared" si="7"/>
        <v>1</v>
      </c>
      <c r="U189" s="3" t="str">
        <f t="shared" si="8"/>
        <v>Överlapp</v>
      </c>
      <c r="V189" s="3" t="str">
        <f t="shared" si="9"/>
        <v>Överlapp</v>
      </c>
      <c r="W189" s="3" t="str">
        <f t="shared" si="10"/>
        <v>Överlapp</v>
      </c>
      <c r="X189" s="3" t="str">
        <f t="shared" si="11"/>
        <v/>
      </c>
    </row>
    <row r="190">
      <c r="A190" s="1" t="s">
        <v>196</v>
      </c>
      <c r="B190" s="3" t="str">
        <f>IFERROR(__xludf.DUMMYFUNCTION("SPLIT(A190, "","")"),"39-43")</f>
        <v>39-43</v>
      </c>
      <c r="C190" s="3" t="str">
        <f>IFERROR(__xludf.DUMMYFUNCTION("""COMPUTED_VALUE"""),"22-49")</f>
        <v>22-49</v>
      </c>
      <c r="D190" s="3">
        <f>IFERROR(__xludf.DUMMYFUNCTION("SPLIT(B190, ""-"")"),39.0)</f>
        <v>39</v>
      </c>
      <c r="E190" s="3">
        <f>IFERROR(__xludf.DUMMYFUNCTION("""COMPUTED_VALUE"""),43.0)</f>
        <v>43</v>
      </c>
      <c r="F190" s="3">
        <f>IFERROR(__xludf.DUMMYFUNCTION("SPLIT(C190, ""-"")"),22.0)</f>
        <v>22</v>
      </c>
      <c r="G190" s="3">
        <f>IFERROR(__xludf.DUMMYFUNCTION("""COMPUTED_VALUE"""),49.0)</f>
        <v>49</v>
      </c>
      <c r="I190" s="3" t="str">
        <f t="shared" si="1"/>
        <v/>
      </c>
      <c r="J190" s="3" t="str">
        <f t="shared" si="2"/>
        <v/>
      </c>
      <c r="K190" s="3" t="str">
        <f t="shared" si="3"/>
        <v>y</v>
      </c>
      <c r="L190" s="3" t="str">
        <f t="shared" si="4"/>
        <v>y</v>
      </c>
      <c r="N190" s="3" t="str">
        <f t="shared" si="5"/>
        <v/>
      </c>
      <c r="O190" s="3">
        <f t="shared" si="6"/>
        <v>1</v>
      </c>
      <c r="Q190" s="3">
        <f t="shared" si="7"/>
        <v>1</v>
      </c>
      <c r="U190" s="3">
        <f t="shared" si="8"/>
        <v>1</v>
      </c>
      <c r="V190" s="3" t="str">
        <f t="shared" si="9"/>
        <v>Överlapp</v>
      </c>
      <c r="W190" s="3" t="str">
        <f t="shared" si="10"/>
        <v>Överlapp</v>
      </c>
      <c r="X190" s="3" t="str">
        <f t="shared" si="11"/>
        <v/>
      </c>
    </row>
    <row r="191">
      <c r="A191" s="1" t="s">
        <v>197</v>
      </c>
      <c r="B191" s="4">
        <f>IFERROR(__xludf.DUMMYFUNCTION("SPLIT(A191, "","")"),44811.0)</f>
        <v>44811</v>
      </c>
      <c r="C191" s="4">
        <f>IFERROR(__xludf.DUMMYFUNCTION("""COMPUTED_VALUE"""),44809.0)</f>
        <v>44809</v>
      </c>
      <c r="D191" s="3">
        <f>IFERROR(__xludf.DUMMYFUNCTION("SPLIT(B191, ""-"")"),7.0)</f>
        <v>7</v>
      </c>
      <c r="E191" s="3">
        <f>IFERROR(__xludf.DUMMYFUNCTION("""COMPUTED_VALUE"""),9.0)</f>
        <v>9</v>
      </c>
      <c r="F191" s="3">
        <f>IFERROR(__xludf.DUMMYFUNCTION("SPLIT(C191, ""-"")"),5.0)</f>
        <v>5</v>
      </c>
      <c r="G191" s="3">
        <f>IFERROR(__xludf.DUMMYFUNCTION("""COMPUTED_VALUE"""),9.0)</f>
        <v>9</v>
      </c>
      <c r="I191" s="3" t="str">
        <f t="shared" si="1"/>
        <v/>
      </c>
      <c r="J191" s="3" t="str">
        <f t="shared" si="2"/>
        <v>y</v>
      </c>
      <c r="K191" s="3" t="str">
        <f t="shared" si="3"/>
        <v>y</v>
      </c>
      <c r="L191" s="3" t="str">
        <f t="shared" si="4"/>
        <v>y</v>
      </c>
      <c r="N191" s="3" t="str">
        <f t="shared" si="5"/>
        <v/>
      </c>
      <c r="O191" s="3">
        <f t="shared" si="6"/>
        <v>1</v>
      </c>
      <c r="Q191" s="3">
        <f t="shared" si="7"/>
        <v>1</v>
      </c>
      <c r="U191" s="3" t="str">
        <f t="shared" si="8"/>
        <v>Överlapp</v>
      </c>
      <c r="V191" s="3" t="str">
        <f t="shared" si="9"/>
        <v>Överlapp</v>
      </c>
      <c r="W191" s="3" t="str">
        <f t="shared" si="10"/>
        <v>Överlapp</v>
      </c>
      <c r="X191" s="3" t="str">
        <f t="shared" si="11"/>
        <v/>
      </c>
    </row>
    <row r="192">
      <c r="A192" s="1" t="s">
        <v>198</v>
      </c>
      <c r="B192" s="3" t="str">
        <f>IFERROR(__xludf.DUMMYFUNCTION("SPLIT(A192, "","")"),"26-26")</f>
        <v>26-26</v>
      </c>
      <c r="C192" s="3" t="str">
        <f>IFERROR(__xludf.DUMMYFUNCTION("""COMPUTED_VALUE"""),"25-75")</f>
        <v>25-75</v>
      </c>
      <c r="D192" s="3">
        <f>IFERROR(__xludf.DUMMYFUNCTION("SPLIT(B192, ""-"")"),26.0)</f>
        <v>26</v>
      </c>
      <c r="E192" s="3">
        <f>IFERROR(__xludf.DUMMYFUNCTION("""COMPUTED_VALUE"""),26.0)</f>
        <v>26</v>
      </c>
      <c r="F192" s="3">
        <f>IFERROR(__xludf.DUMMYFUNCTION("SPLIT(C192, ""-"")"),25.0)</f>
        <v>25</v>
      </c>
      <c r="G192" s="3">
        <f>IFERROR(__xludf.DUMMYFUNCTION("""COMPUTED_VALUE"""),75.0)</f>
        <v>75</v>
      </c>
      <c r="I192" s="3" t="str">
        <f t="shared" si="1"/>
        <v/>
      </c>
      <c r="J192" s="3" t="str">
        <f t="shared" si="2"/>
        <v/>
      </c>
      <c r="K192" s="3" t="str">
        <f t="shared" si="3"/>
        <v>y</v>
      </c>
      <c r="L192" s="3" t="str">
        <f t="shared" si="4"/>
        <v>y</v>
      </c>
      <c r="N192" s="3" t="str">
        <f t="shared" si="5"/>
        <v/>
      </c>
      <c r="O192" s="3">
        <f t="shared" si="6"/>
        <v>1</v>
      </c>
      <c r="Q192" s="3">
        <f t="shared" si="7"/>
        <v>1</v>
      </c>
      <c r="U192" s="3">
        <f t="shared" si="8"/>
        <v>1</v>
      </c>
      <c r="V192" s="3" t="str">
        <f t="shared" si="9"/>
        <v>Överlapp</v>
      </c>
      <c r="W192" s="3" t="str">
        <f t="shared" si="10"/>
        <v>Överlapp</v>
      </c>
      <c r="X192" s="3" t="str">
        <f t="shared" si="11"/>
        <v/>
      </c>
    </row>
    <row r="193">
      <c r="A193" s="1" t="s">
        <v>199</v>
      </c>
      <c r="B193" s="3" t="str">
        <f>IFERROR(__xludf.DUMMYFUNCTION("SPLIT(A193, "","")"),"6-84")</f>
        <v>6-84</v>
      </c>
      <c r="C193" s="3" t="str">
        <f>IFERROR(__xludf.DUMMYFUNCTION("""COMPUTED_VALUE"""),"5-85")</f>
        <v>5-85</v>
      </c>
      <c r="D193" s="3">
        <f>IFERROR(__xludf.DUMMYFUNCTION("SPLIT(B193, ""-"")"),6.0)</f>
        <v>6</v>
      </c>
      <c r="E193" s="3">
        <f>IFERROR(__xludf.DUMMYFUNCTION("""COMPUTED_VALUE"""),84.0)</f>
        <v>84</v>
      </c>
      <c r="F193" s="3">
        <f>IFERROR(__xludf.DUMMYFUNCTION("SPLIT(C193, ""-"")"),5.0)</f>
        <v>5</v>
      </c>
      <c r="G193" s="3">
        <f>IFERROR(__xludf.DUMMYFUNCTION("""COMPUTED_VALUE"""),85.0)</f>
        <v>85</v>
      </c>
      <c r="I193" s="3" t="str">
        <f t="shared" si="1"/>
        <v/>
      </c>
      <c r="J193" s="3" t="str">
        <f t="shared" si="2"/>
        <v/>
      </c>
      <c r="K193" s="3" t="str">
        <f t="shared" si="3"/>
        <v>y</v>
      </c>
      <c r="L193" s="3" t="str">
        <f t="shared" si="4"/>
        <v>y</v>
      </c>
      <c r="N193" s="3" t="str">
        <f t="shared" si="5"/>
        <v/>
      </c>
      <c r="O193" s="3">
        <f t="shared" si="6"/>
        <v>1</v>
      </c>
      <c r="Q193" s="3">
        <f t="shared" si="7"/>
        <v>1</v>
      </c>
      <c r="U193" s="3">
        <f t="shared" si="8"/>
        <v>1</v>
      </c>
      <c r="V193" s="3" t="str">
        <f t="shared" si="9"/>
        <v>Överlapp</v>
      </c>
      <c r="W193" s="3" t="str">
        <f t="shared" si="10"/>
        <v>Överlapp</v>
      </c>
      <c r="X193" s="3" t="str">
        <f t="shared" si="11"/>
        <v/>
      </c>
    </row>
    <row r="194">
      <c r="A194" s="1" t="s">
        <v>200</v>
      </c>
      <c r="B194" s="4">
        <f>IFERROR(__xludf.DUMMYFUNCTION("SPLIT(A194, "","")"),44813.0)</f>
        <v>44813</v>
      </c>
      <c r="C194" s="3" t="str">
        <f>IFERROR(__xludf.DUMMYFUNCTION("""COMPUTED_VALUE"""),"9-45")</f>
        <v>9-45</v>
      </c>
      <c r="D194" s="3">
        <f>IFERROR(__xludf.DUMMYFUNCTION("SPLIT(B194, ""-"")"),9.0)</f>
        <v>9</v>
      </c>
      <c r="E194" s="3">
        <f>IFERROR(__xludf.DUMMYFUNCTION("""COMPUTED_VALUE"""),9.0)</f>
        <v>9</v>
      </c>
      <c r="F194" s="3">
        <f>IFERROR(__xludf.DUMMYFUNCTION("SPLIT(C194, ""-"")"),9.0)</f>
        <v>9</v>
      </c>
      <c r="G194" s="3">
        <f>IFERROR(__xludf.DUMMYFUNCTION("""COMPUTED_VALUE"""),45.0)</f>
        <v>45</v>
      </c>
      <c r="I194" s="3" t="str">
        <f t="shared" si="1"/>
        <v>y</v>
      </c>
      <c r="J194" s="3" t="str">
        <f t="shared" si="2"/>
        <v/>
      </c>
      <c r="K194" s="3" t="str">
        <f t="shared" si="3"/>
        <v>y</v>
      </c>
      <c r="L194" s="3" t="str">
        <f t="shared" si="4"/>
        <v>y</v>
      </c>
      <c r="N194" s="3" t="str">
        <f t="shared" si="5"/>
        <v/>
      </c>
      <c r="O194" s="3">
        <f t="shared" si="6"/>
        <v>1</v>
      </c>
      <c r="Q194" s="3">
        <f t="shared" si="7"/>
        <v>1</v>
      </c>
      <c r="U194" s="3" t="str">
        <f t="shared" si="8"/>
        <v>Överlapp</v>
      </c>
      <c r="V194" s="3" t="str">
        <f t="shared" si="9"/>
        <v>Överlapp</v>
      </c>
      <c r="W194" s="3" t="str">
        <f t="shared" si="10"/>
        <v>Överlapp</v>
      </c>
      <c r="X194" s="3" t="str">
        <f t="shared" si="11"/>
        <v/>
      </c>
    </row>
    <row r="195">
      <c r="A195" s="1" t="s">
        <v>201</v>
      </c>
      <c r="B195" s="3" t="str">
        <f>IFERROR(__xludf.DUMMYFUNCTION("SPLIT(A195, "","")"),"96-99")</f>
        <v>96-99</v>
      </c>
      <c r="C195" s="3" t="str">
        <f>IFERROR(__xludf.DUMMYFUNCTION("""COMPUTED_VALUE"""),"13-96")</f>
        <v>13-96</v>
      </c>
      <c r="D195" s="3">
        <f>IFERROR(__xludf.DUMMYFUNCTION("SPLIT(B195, ""-"")"),96.0)</f>
        <v>96</v>
      </c>
      <c r="E195" s="3">
        <f>IFERROR(__xludf.DUMMYFUNCTION("""COMPUTED_VALUE"""),99.0)</f>
        <v>99</v>
      </c>
      <c r="F195" s="3">
        <f>IFERROR(__xludf.DUMMYFUNCTION("SPLIT(C195, ""-"")"),13.0)</f>
        <v>13</v>
      </c>
      <c r="G195" s="3">
        <f>IFERROR(__xludf.DUMMYFUNCTION("""COMPUTED_VALUE"""),96.0)</f>
        <v>96</v>
      </c>
      <c r="I195" s="3" t="str">
        <f t="shared" si="1"/>
        <v/>
      </c>
      <c r="J195" s="3" t="str">
        <f t="shared" si="2"/>
        <v>y</v>
      </c>
      <c r="K195" s="3" t="str">
        <f t="shared" si="3"/>
        <v>y</v>
      </c>
      <c r="L195" s="3" t="str">
        <f t="shared" si="4"/>
        <v/>
      </c>
      <c r="N195" s="3" t="str">
        <f t="shared" si="5"/>
        <v/>
      </c>
      <c r="O195" s="3" t="str">
        <f t="shared" si="6"/>
        <v/>
      </c>
      <c r="Q195" s="3" t="str">
        <f t="shared" si="7"/>
        <v/>
      </c>
      <c r="U195" s="3" t="str">
        <f t="shared" si="8"/>
        <v>Överlapp</v>
      </c>
      <c r="V195" s="3" t="str">
        <f t="shared" si="9"/>
        <v>Överlapp</v>
      </c>
      <c r="W195" s="3" t="str">
        <f t="shared" si="10"/>
        <v>Överlapp</v>
      </c>
      <c r="X195" s="3" t="str">
        <f t="shared" si="11"/>
        <v/>
      </c>
    </row>
    <row r="196">
      <c r="A196" s="1" t="s">
        <v>202</v>
      </c>
      <c r="B196" s="3" t="str">
        <f>IFERROR(__xludf.DUMMYFUNCTION("SPLIT(A196, "","")"),"28-58")</f>
        <v>28-58</v>
      </c>
      <c r="C196" s="3" t="str">
        <f>IFERROR(__xludf.DUMMYFUNCTION("""COMPUTED_VALUE"""),"27-58")</f>
        <v>27-58</v>
      </c>
      <c r="D196" s="3">
        <f>IFERROR(__xludf.DUMMYFUNCTION("SPLIT(B196, ""-"")"),28.0)</f>
        <v>28</v>
      </c>
      <c r="E196" s="3">
        <f>IFERROR(__xludf.DUMMYFUNCTION("""COMPUTED_VALUE"""),58.0)</f>
        <v>58</v>
      </c>
      <c r="F196" s="3">
        <f>IFERROR(__xludf.DUMMYFUNCTION("SPLIT(C196, ""-"")"),27.0)</f>
        <v>27</v>
      </c>
      <c r="G196" s="3">
        <f>IFERROR(__xludf.DUMMYFUNCTION("""COMPUTED_VALUE"""),58.0)</f>
        <v>58</v>
      </c>
      <c r="I196" s="3" t="str">
        <f t="shared" si="1"/>
        <v/>
      </c>
      <c r="J196" s="3" t="str">
        <f t="shared" si="2"/>
        <v>y</v>
      </c>
      <c r="K196" s="3" t="str">
        <f t="shared" si="3"/>
        <v>y</v>
      </c>
      <c r="L196" s="3" t="str">
        <f t="shared" si="4"/>
        <v>y</v>
      </c>
      <c r="N196" s="3" t="str">
        <f t="shared" si="5"/>
        <v/>
      </c>
      <c r="O196" s="3">
        <f t="shared" si="6"/>
        <v>1</v>
      </c>
      <c r="Q196" s="3">
        <f t="shared" si="7"/>
        <v>1</v>
      </c>
      <c r="U196" s="3" t="str">
        <f t="shared" si="8"/>
        <v>Överlapp</v>
      </c>
      <c r="V196" s="3" t="str">
        <f t="shared" si="9"/>
        <v>Överlapp</v>
      </c>
      <c r="W196" s="3" t="str">
        <f t="shared" si="10"/>
        <v>Överlapp</v>
      </c>
      <c r="X196" s="3" t="str">
        <f t="shared" si="11"/>
        <v/>
      </c>
    </row>
    <row r="197">
      <c r="A197" s="1" t="s">
        <v>203</v>
      </c>
      <c r="B197" s="3" t="str">
        <f>IFERROR(__xludf.DUMMYFUNCTION("SPLIT(A197, "","")"),"34-55")</f>
        <v>34-55</v>
      </c>
      <c r="C197" s="3" t="str">
        <f>IFERROR(__xludf.DUMMYFUNCTION("""COMPUTED_VALUE"""),"18-55")</f>
        <v>18-55</v>
      </c>
      <c r="D197" s="3">
        <f>IFERROR(__xludf.DUMMYFUNCTION("SPLIT(B197, ""-"")"),34.0)</f>
        <v>34</v>
      </c>
      <c r="E197" s="3">
        <f>IFERROR(__xludf.DUMMYFUNCTION("""COMPUTED_VALUE"""),55.0)</f>
        <v>55</v>
      </c>
      <c r="F197" s="3">
        <f>IFERROR(__xludf.DUMMYFUNCTION("SPLIT(C197, ""-"")"),18.0)</f>
        <v>18</v>
      </c>
      <c r="G197" s="3">
        <f>IFERROR(__xludf.DUMMYFUNCTION("""COMPUTED_VALUE"""),55.0)</f>
        <v>55</v>
      </c>
      <c r="I197" s="3" t="str">
        <f t="shared" si="1"/>
        <v/>
      </c>
      <c r="J197" s="3" t="str">
        <f t="shared" si="2"/>
        <v>y</v>
      </c>
      <c r="K197" s="3" t="str">
        <f t="shared" si="3"/>
        <v>y</v>
      </c>
      <c r="L197" s="3" t="str">
        <f t="shared" si="4"/>
        <v>y</v>
      </c>
      <c r="N197" s="3" t="str">
        <f t="shared" si="5"/>
        <v/>
      </c>
      <c r="O197" s="3">
        <f t="shared" si="6"/>
        <v>1</v>
      </c>
      <c r="Q197" s="3">
        <f t="shared" si="7"/>
        <v>1</v>
      </c>
      <c r="U197" s="3" t="str">
        <f t="shared" si="8"/>
        <v>Överlapp</v>
      </c>
      <c r="V197" s="3" t="str">
        <f t="shared" si="9"/>
        <v>Överlapp</v>
      </c>
      <c r="W197" s="3" t="str">
        <f t="shared" si="10"/>
        <v>Överlapp</v>
      </c>
      <c r="X197" s="3" t="str">
        <f t="shared" si="11"/>
        <v/>
      </c>
    </row>
    <row r="198">
      <c r="A198" s="1" t="s">
        <v>204</v>
      </c>
      <c r="B198" s="3" t="str">
        <f>IFERROR(__xludf.DUMMYFUNCTION("SPLIT(A198, "","")"),"34-70")</f>
        <v>34-70</v>
      </c>
      <c r="C198" s="3" t="str">
        <f>IFERROR(__xludf.DUMMYFUNCTION("""COMPUTED_VALUE"""),"35-69")</f>
        <v>35-69</v>
      </c>
      <c r="D198" s="3">
        <f>IFERROR(__xludf.DUMMYFUNCTION("SPLIT(B198, ""-"")"),34.0)</f>
        <v>34</v>
      </c>
      <c r="E198" s="3">
        <f>IFERROR(__xludf.DUMMYFUNCTION("""COMPUTED_VALUE"""),70.0)</f>
        <v>70</v>
      </c>
      <c r="F198" s="3">
        <f>IFERROR(__xludf.DUMMYFUNCTION("SPLIT(C198, ""-"")"),35.0)</f>
        <v>35</v>
      </c>
      <c r="G198" s="3">
        <f>IFERROR(__xludf.DUMMYFUNCTION("""COMPUTED_VALUE"""),69.0)</f>
        <v>69</v>
      </c>
      <c r="I198" s="3" t="str">
        <f t="shared" si="1"/>
        <v>y</v>
      </c>
      <c r="J198" s="3" t="str">
        <f t="shared" si="2"/>
        <v>y</v>
      </c>
      <c r="K198" s="3" t="str">
        <f t="shared" si="3"/>
        <v/>
      </c>
      <c r="L198" s="3" t="str">
        <f t="shared" si="4"/>
        <v/>
      </c>
      <c r="N198" s="3">
        <f t="shared" si="5"/>
        <v>1</v>
      </c>
      <c r="O198" s="3" t="str">
        <f t="shared" si="6"/>
        <v/>
      </c>
      <c r="Q198" s="3">
        <f t="shared" si="7"/>
        <v>1</v>
      </c>
      <c r="U198" s="3">
        <f t="shared" si="8"/>
        <v>1</v>
      </c>
      <c r="V198" s="3" t="str">
        <f t="shared" si="9"/>
        <v>Överlapp</v>
      </c>
      <c r="W198" s="3" t="str">
        <f t="shared" si="10"/>
        <v>Överlapp</v>
      </c>
      <c r="X198" s="3" t="str">
        <f t="shared" si="11"/>
        <v/>
      </c>
    </row>
    <row r="199">
      <c r="A199" s="1" t="s">
        <v>205</v>
      </c>
      <c r="B199" s="3" t="str">
        <f>IFERROR(__xludf.DUMMYFUNCTION("SPLIT(A199, "","")"),"20-80")</f>
        <v>20-80</v>
      </c>
      <c r="C199" s="3" t="str">
        <f>IFERROR(__xludf.DUMMYFUNCTION("""COMPUTED_VALUE"""),"20-80")</f>
        <v>20-80</v>
      </c>
      <c r="D199" s="3">
        <f>IFERROR(__xludf.DUMMYFUNCTION("SPLIT(B199, ""-"")"),20.0)</f>
        <v>20</v>
      </c>
      <c r="E199" s="3">
        <f>IFERROR(__xludf.DUMMYFUNCTION("""COMPUTED_VALUE"""),80.0)</f>
        <v>80</v>
      </c>
      <c r="F199" s="3">
        <f>IFERROR(__xludf.DUMMYFUNCTION("SPLIT(C199, ""-"")"),20.0)</f>
        <v>20</v>
      </c>
      <c r="G199" s="3">
        <f>IFERROR(__xludf.DUMMYFUNCTION("""COMPUTED_VALUE"""),80.0)</f>
        <v>80</v>
      </c>
      <c r="I199" s="3" t="str">
        <f t="shared" si="1"/>
        <v>y</v>
      </c>
      <c r="J199" s="3" t="str">
        <f t="shared" si="2"/>
        <v>y</v>
      </c>
      <c r="K199" s="3" t="str">
        <f t="shared" si="3"/>
        <v>y</v>
      </c>
      <c r="L199" s="3" t="str">
        <f t="shared" si="4"/>
        <v>y</v>
      </c>
      <c r="N199" s="3">
        <f t="shared" si="5"/>
        <v>1</v>
      </c>
      <c r="O199" s="3">
        <f t="shared" si="6"/>
        <v>1</v>
      </c>
      <c r="Q199" s="3">
        <f t="shared" si="7"/>
        <v>1</v>
      </c>
      <c r="U199" s="3" t="str">
        <f t="shared" si="8"/>
        <v>Överlapp</v>
      </c>
      <c r="V199" s="3" t="str">
        <f t="shared" si="9"/>
        <v>Överlapp</v>
      </c>
      <c r="W199" s="3" t="str">
        <f t="shared" si="10"/>
        <v>Överlapp</v>
      </c>
      <c r="X199" s="3" t="str">
        <f t="shared" si="11"/>
        <v/>
      </c>
    </row>
    <row r="200">
      <c r="A200" s="1" t="s">
        <v>206</v>
      </c>
      <c r="B200" s="3" t="str">
        <f>IFERROR(__xludf.DUMMYFUNCTION("SPLIT(A200, "","")"),"10-89")</f>
        <v>10-89</v>
      </c>
      <c r="C200" s="3" t="str">
        <f>IFERROR(__xludf.DUMMYFUNCTION("""COMPUTED_VALUE"""),"9-90")</f>
        <v>9-90</v>
      </c>
      <c r="D200" s="3">
        <f>IFERROR(__xludf.DUMMYFUNCTION("SPLIT(B200, ""-"")"),10.0)</f>
        <v>10</v>
      </c>
      <c r="E200" s="3">
        <f>IFERROR(__xludf.DUMMYFUNCTION("""COMPUTED_VALUE"""),89.0)</f>
        <v>89</v>
      </c>
      <c r="F200" s="3">
        <f>IFERROR(__xludf.DUMMYFUNCTION("SPLIT(C200, ""-"")"),9.0)</f>
        <v>9</v>
      </c>
      <c r="G200" s="3">
        <f>IFERROR(__xludf.DUMMYFUNCTION("""COMPUTED_VALUE"""),90.0)</f>
        <v>90</v>
      </c>
      <c r="I200" s="3" t="str">
        <f t="shared" si="1"/>
        <v/>
      </c>
      <c r="J200" s="3" t="str">
        <f t="shared" si="2"/>
        <v/>
      </c>
      <c r="K200" s="3" t="str">
        <f t="shared" si="3"/>
        <v>y</v>
      </c>
      <c r="L200" s="3" t="str">
        <f t="shared" si="4"/>
        <v>y</v>
      </c>
      <c r="N200" s="3" t="str">
        <f t="shared" si="5"/>
        <v/>
      </c>
      <c r="O200" s="3">
        <f t="shared" si="6"/>
        <v>1</v>
      </c>
      <c r="Q200" s="3">
        <f t="shared" si="7"/>
        <v>1</v>
      </c>
      <c r="U200" s="3">
        <f t="shared" si="8"/>
        <v>1</v>
      </c>
      <c r="V200" s="3" t="str">
        <f t="shared" si="9"/>
        <v>Överlapp</v>
      </c>
      <c r="W200" s="3" t="str">
        <f t="shared" si="10"/>
        <v>Överlapp</v>
      </c>
      <c r="X200" s="3" t="str">
        <f t="shared" si="11"/>
        <v/>
      </c>
    </row>
    <row r="201">
      <c r="A201" s="1" t="s">
        <v>207</v>
      </c>
      <c r="B201" s="3" t="str">
        <f>IFERROR(__xludf.DUMMYFUNCTION("SPLIT(A201, "","")"),"59-83")</f>
        <v>59-83</v>
      </c>
      <c r="C201" s="3" t="str">
        <f>IFERROR(__xludf.DUMMYFUNCTION("""COMPUTED_VALUE"""),"8-59")</f>
        <v>8-59</v>
      </c>
      <c r="D201" s="3">
        <f>IFERROR(__xludf.DUMMYFUNCTION("SPLIT(B201, ""-"")"),59.0)</f>
        <v>59</v>
      </c>
      <c r="E201" s="3">
        <f>IFERROR(__xludf.DUMMYFUNCTION("""COMPUTED_VALUE"""),83.0)</f>
        <v>83</v>
      </c>
      <c r="F201" s="3">
        <f>IFERROR(__xludf.DUMMYFUNCTION("SPLIT(C201, ""-"")"),8.0)</f>
        <v>8</v>
      </c>
      <c r="G201" s="3">
        <f>IFERROR(__xludf.DUMMYFUNCTION("""COMPUTED_VALUE"""),59.0)</f>
        <v>59</v>
      </c>
      <c r="I201" s="3" t="str">
        <f t="shared" si="1"/>
        <v/>
      </c>
      <c r="J201" s="3" t="str">
        <f t="shared" si="2"/>
        <v>y</v>
      </c>
      <c r="K201" s="3" t="str">
        <f t="shared" si="3"/>
        <v>y</v>
      </c>
      <c r="L201" s="3" t="str">
        <f t="shared" si="4"/>
        <v/>
      </c>
      <c r="N201" s="3" t="str">
        <f t="shared" si="5"/>
        <v/>
      </c>
      <c r="O201" s="3" t="str">
        <f t="shared" si="6"/>
        <v/>
      </c>
      <c r="Q201" s="3" t="str">
        <f t="shared" si="7"/>
        <v/>
      </c>
      <c r="U201" s="3" t="str">
        <f t="shared" si="8"/>
        <v>Överlapp</v>
      </c>
      <c r="V201" s="3" t="str">
        <f t="shared" si="9"/>
        <v>Överlapp</v>
      </c>
      <c r="W201" s="3" t="str">
        <f t="shared" si="10"/>
        <v>Överlapp</v>
      </c>
      <c r="X201" s="3" t="str">
        <f t="shared" si="11"/>
        <v/>
      </c>
    </row>
    <row r="202">
      <c r="A202" s="1" t="s">
        <v>208</v>
      </c>
      <c r="B202" s="3" t="str">
        <f>IFERROR(__xludf.DUMMYFUNCTION("SPLIT(A202, "","")"),"9-92")</f>
        <v>9-92</v>
      </c>
      <c r="C202" s="3" t="str">
        <f>IFERROR(__xludf.DUMMYFUNCTION("""COMPUTED_VALUE"""),"20-92")</f>
        <v>20-92</v>
      </c>
      <c r="D202" s="3">
        <f>IFERROR(__xludf.DUMMYFUNCTION("SPLIT(B202, ""-"")"),9.0)</f>
        <v>9</v>
      </c>
      <c r="E202" s="3">
        <f>IFERROR(__xludf.DUMMYFUNCTION("""COMPUTED_VALUE"""),92.0)</f>
        <v>92</v>
      </c>
      <c r="F202" s="3">
        <f>IFERROR(__xludf.DUMMYFUNCTION("SPLIT(C202, ""-"")"),20.0)</f>
        <v>20</v>
      </c>
      <c r="G202" s="3">
        <f>IFERROR(__xludf.DUMMYFUNCTION("""COMPUTED_VALUE"""),92.0)</f>
        <v>92</v>
      </c>
      <c r="I202" s="3" t="str">
        <f t="shared" si="1"/>
        <v>y</v>
      </c>
      <c r="J202" s="3" t="str">
        <f t="shared" si="2"/>
        <v>y</v>
      </c>
      <c r="K202" s="3" t="str">
        <f t="shared" si="3"/>
        <v/>
      </c>
      <c r="L202" s="3" t="str">
        <f t="shared" si="4"/>
        <v>y</v>
      </c>
      <c r="N202" s="3">
        <f t="shared" si="5"/>
        <v>1</v>
      </c>
      <c r="O202" s="3" t="str">
        <f t="shared" si="6"/>
        <v/>
      </c>
      <c r="Q202" s="3">
        <f t="shared" si="7"/>
        <v>1</v>
      </c>
      <c r="U202" s="3" t="str">
        <f t="shared" si="8"/>
        <v>Överlapp</v>
      </c>
      <c r="V202" s="3" t="str">
        <f t="shared" si="9"/>
        <v>Överlapp</v>
      </c>
      <c r="W202" s="3" t="str">
        <f t="shared" si="10"/>
        <v>Överlapp</v>
      </c>
      <c r="X202" s="3" t="str">
        <f t="shared" si="11"/>
        <v/>
      </c>
    </row>
    <row r="203">
      <c r="A203" s="1" t="s">
        <v>209</v>
      </c>
      <c r="B203" s="3" t="str">
        <f>IFERROR(__xludf.DUMMYFUNCTION("SPLIT(A203, "","")"),"66-81")</f>
        <v>66-81</v>
      </c>
      <c r="C203" s="3" t="str">
        <f>IFERROR(__xludf.DUMMYFUNCTION("""COMPUTED_VALUE"""),"65-77")</f>
        <v>65-77</v>
      </c>
      <c r="D203" s="3">
        <f>IFERROR(__xludf.DUMMYFUNCTION("SPLIT(B203, ""-"")"),66.0)</f>
        <v>66</v>
      </c>
      <c r="E203" s="3">
        <f>IFERROR(__xludf.DUMMYFUNCTION("""COMPUTED_VALUE"""),81.0)</f>
        <v>81</v>
      </c>
      <c r="F203" s="3">
        <f>IFERROR(__xludf.DUMMYFUNCTION("SPLIT(C203, ""-"")"),65.0)</f>
        <v>65</v>
      </c>
      <c r="G203" s="3">
        <f>IFERROR(__xludf.DUMMYFUNCTION("""COMPUTED_VALUE"""),77.0)</f>
        <v>77</v>
      </c>
      <c r="I203" s="3" t="str">
        <f t="shared" si="1"/>
        <v/>
      </c>
      <c r="J203" s="3" t="str">
        <f t="shared" si="2"/>
        <v>y</v>
      </c>
      <c r="K203" s="3" t="str">
        <f t="shared" si="3"/>
        <v>y</v>
      </c>
      <c r="L203" s="3" t="str">
        <f t="shared" si="4"/>
        <v/>
      </c>
      <c r="N203" s="3" t="str">
        <f t="shared" si="5"/>
        <v/>
      </c>
      <c r="O203" s="3" t="str">
        <f t="shared" si="6"/>
        <v/>
      </c>
      <c r="Q203" s="3" t="str">
        <f t="shared" si="7"/>
        <v/>
      </c>
      <c r="U203" s="3">
        <f t="shared" si="8"/>
        <v>1</v>
      </c>
      <c r="V203" s="3" t="str">
        <f t="shared" si="9"/>
        <v>Överlapp</v>
      </c>
      <c r="W203" s="3" t="str">
        <f t="shared" si="10"/>
        <v>Överlapp</v>
      </c>
      <c r="X203" s="3" t="str">
        <f t="shared" si="11"/>
        <v/>
      </c>
    </row>
    <row r="204">
      <c r="A204" s="1" t="s">
        <v>210</v>
      </c>
      <c r="B204" s="3" t="str">
        <f>IFERROR(__xludf.DUMMYFUNCTION("SPLIT(A204, "","")"),"5-96")</f>
        <v>5-96</v>
      </c>
      <c r="C204" s="3" t="str">
        <f>IFERROR(__xludf.DUMMYFUNCTION("""COMPUTED_VALUE"""),"78-92")</f>
        <v>78-92</v>
      </c>
      <c r="D204" s="3">
        <f>IFERROR(__xludf.DUMMYFUNCTION("SPLIT(B204, ""-"")"),5.0)</f>
        <v>5</v>
      </c>
      <c r="E204" s="3">
        <f>IFERROR(__xludf.DUMMYFUNCTION("""COMPUTED_VALUE"""),96.0)</f>
        <v>96</v>
      </c>
      <c r="F204" s="3">
        <f>IFERROR(__xludf.DUMMYFUNCTION("SPLIT(C204, ""-"")"),78.0)</f>
        <v>78</v>
      </c>
      <c r="G204" s="3">
        <f>IFERROR(__xludf.DUMMYFUNCTION("""COMPUTED_VALUE"""),92.0)</f>
        <v>92</v>
      </c>
      <c r="I204" s="3" t="str">
        <f t="shared" si="1"/>
        <v>y</v>
      </c>
      <c r="J204" s="3" t="str">
        <f t="shared" si="2"/>
        <v>y</v>
      </c>
      <c r="K204" s="3" t="str">
        <f t="shared" si="3"/>
        <v/>
      </c>
      <c r="L204" s="3" t="str">
        <f t="shared" si="4"/>
        <v/>
      </c>
      <c r="N204" s="3">
        <f t="shared" si="5"/>
        <v>1</v>
      </c>
      <c r="O204" s="3" t="str">
        <f t="shared" si="6"/>
        <v/>
      </c>
      <c r="Q204" s="3">
        <f t="shared" si="7"/>
        <v>1</v>
      </c>
      <c r="U204" s="3">
        <f t="shared" si="8"/>
        <v>1</v>
      </c>
      <c r="V204" s="3" t="str">
        <f t="shared" si="9"/>
        <v>Överlapp</v>
      </c>
      <c r="W204" s="3" t="str">
        <f t="shared" si="10"/>
        <v>Överlapp</v>
      </c>
      <c r="X204" s="3" t="str">
        <f t="shared" si="11"/>
        <v/>
      </c>
    </row>
    <row r="205">
      <c r="A205" s="1" t="s">
        <v>211</v>
      </c>
      <c r="B205" s="3" t="str">
        <f>IFERROR(__xludf.DUMMYFUNCTION("SPLIT(A205, "","")"),"15-68")</f>
        <v>15-68</v>
      </c>
      <c r="C205" s="3" t="str">
        <f>IFERROR(__xludf.DUMMYFUNCTION("""COMPUTED_VALUE"""),"15-99")</f>
        <v>15-99</v>
      </c>
      <c r="D205" s="3">
        <f>IFERROR(__xludf.DUMMYFUNCTION("SPLIT(B205, ""-"")"),15.0)</f>
        <v>15</v>
      </c>
      <c r="E205" s="3">
        <f>IFERROR(__xludf.DUMMYFUNCTION("""COMPUTED_VALUE"""),68.0)</f>
        <v>68</v>
      </c>
      <c r="F205" s="3">
        <f>IFERROR(__xludf.DUMMYFUNCTION("SPLIT(C205, ""-"")"),15.0)</f>
        <v>15</v>
      </c>
      <c r="G205" s="3">
        <f>IFERROR(__xludf.DUMMYFUNCTION("""COMPUTED_VALUE"""),99.0)</f>
        <v>99</v>
      </c>
      <c r="I205" s="3" t="str">
        <f t="shared" si="1"/>
        <v>y</v>
      </c>
      <c r="J205" s="3" t="str">
        <f t="shared" si="2"/>
        <v/>
      </c>
      <c r="K205" s="3" t="str">
        <f t="shared" si="3"/>
        <v>y</v>
      </c>
      <c r="L205" s="3" t="str">
        <f t="shared" si="4"/>
        <v>y</v>
      </c>
      <c r="N205" s="3" t="str">
        <f t="shared" si="5"/>
        <v/>
      </c>
      <c r="O205" s="3">
        <f t="shared" si="6"/>
        <v>1</v>
      </c>
      <c r="Q205" s="3">
        <f t="shared" si="7"/>
        <v>1</v>
      </c>
      <c r="U205" s="3" t="str">
        <f t="shared" si="8"/>
        <v>Överlapp</v>
      </c>
      <c r="V205" s="3" t="str">
        <f t="shared" si="9"/>
        <v>Överlapp</v>
      </c>
      <c r="W205" s="3" t="str">
        <f t="shared" si="10"/>
        <v>Överlapp</v>
      </c>
      <c r="X205" s="3" t="str">
        <f t="shared" si="11"/>
        <v/>
      </c>
    </row>
    <row r="206">
      <c r="A206" s="1" t="s">
        <v>212</v>
      </c>
      <c r="B206" s="3" t="str">
        <f>IFERROR(__xludf.DUMMYFUNCTION("SPLIT(A206, "","")"),"48-77")</f>
        <v>48-77</v>
      </c>
      <c r="C206" s="3" t="str">
        <f>IFERROR(__xludf.DUMMYFUNCTION("""COMPUTED_VALUE"""),"48-97")</f>
        <v>48-97</v>
      </c>
      <c r="D206" s="3">
        <f>IFERROR(__xludf.DUMMYFUNCTION("SPLIT(B206, ""-"")"),48.0)</f>
        <v>48</v>
      </c>
      <c r="E206" s="3">
        <f>IFERROR(__xludf.DUMMYFUNCTION("""COMPUTED_VALUE"""),77.0)</f>
        <v>77</v>
      </c>
      <c r="F206" s="3">
        <f>IFERROR(__xludf.DUMMYFUNCTION("SPLIT(C206, ""-"")"),48.0)</f>
        <v>48</v>
      </c>
      <c r="G206" s="3">
        <f>IFERROR(__xludf.DUMMYFUNCTION("""COMPUTED_VALUE"""),97.0)</f>
        <v>97</v>
      </c>
      <c r="I206" s="3" t="str">
        <f t="shared" si="1"/>
        <v>y</v>
      </c>
      <c r="J206" s="3" t="str">
        <f t="shared" si="2"/>
        <v/>
      </c>
      <c r="K206" s="3" t="str">
        <f t="shared" si="3"/>
        <v>y</v>
      </c>
      <c r="L206" s="3" t="str">
        <f t="shared" si="4"/>
        <v>y</v>
      </c>
      <c r="N206" s="3" t="str">
        <f t="shared" si="5"/>
        <v/>
      </c>
      <c r="O206" s="3">
        <f t="shared" si="6"/>
        <v>1</v>
      </c>
      <c r="Q206" s="3">
        <f t="shared" si="7"/>
        <v>1</v>
      </c>
      <c r="U206" s="3" t="str">
        <f t="shared" si="8"/>
        <v>Överlapp</v>
      </c>
      <c r="V206" s="3" t="str">
        <f t="shared" si="9"/>
        <v>Överlapp</v>
      </c>
      <c r="W206" s="3" t="str">
        <f t="shared" si="10"/>
        <v>Överlapp</v>
      </c>
      <c r="X206" s="3" t="str">
        <f t="shared" si="11"/>
        <v/>
      </c>
    </row>
    <row r="207">
      <c r="A207" s="1" t="s">
        <v>213</v>
      </c>
      <c r="B207" s="3" t="str">
        <f>IFERROR(__xludf.DUMMYFUNCTION("SPLIT(A207, "","")"),"69-89")</f>
        <v>69-89</v>
      </c>
      <c r="C207" s="3" t="str">
        <f>IFERROR(__xludf.DUMMYFUNCTION("""COMPUTED_VALUE"""),"28-70")</f>
        <v>28-70</v>
      </c>
      <c r="D207" s="3">
        <f>IFERROR(__xludf.DUMMYFUNCTION("SPLIT(B207, ""-"")"),69.0)</f>
        <v>69</v>
      </c>
      <c r="E207" s="3">
        <f>IFERROR(__xludf.DUMMYFUNCTION("""COMPUTED_VALUE"""),89.0)</f>
        <v>89</v>
      </c>
      <c r="F207" s="3">
        <f>IFERROR(__xludf.DUMMYFUNCTION("SPLIT(C207, ""-"")"),28.0)</f>
        <v>28</v>
      </c>
      <c r="G207" s="3">
        <f>IFERROR(__xludf.DUMMYFUNCTION("""COMPUTED_VALUE"""),70.0)</f>
        <v>70</v>
      </c>
      <c r="I207" s="3" t="str">
        <f t="shared" si="1"/>
        <v/>
      </c>
      <c r="J207" s="3" t="str">
        <f t="shared" si="2"/>
        <v>y</v>
      </c>
      <c r="K207" s="3" t="str">
        <f t="shared" si="3"/>
        <v>y</v>
      </c>
      <c r="L207" s="3" t="str">
        <f t="shared" si="4"/>
        <v/>
      </c>
      <c r="N207" s="3" t="str">
        <f t="shared" si="5"/>
        <v/>
      </c>
      <c r="O207" s="3" t="str">
        <f t="shared" si="6"/>
        <v/>
      </c>
      <c r="Q207" s="3" t="str">
        <f t="shared" si="7"/>
        <v/>
      </c>
      <c r="U207" s="3">
        <f t="shared" si="8"/>
        <v>1</v>
      </c>
      <c r="V207" s="3" t="str">
        <f t="shared" si="9"/>
        <v>Överlapp</v>
      </c>
      <c r="W207" s="3" t="str">
        <f t="shared" si="10"/>
        <v>Överlapp</v>
      </c>
      <c r="X207" s="3" t="str">
        <f t="shared" si="11"/>
        <v/>
      </c>
    </row>
    <row r="208">
      <c r="A208" s="1" t="s">
        <v>214</v>
      </c>
      <c r="B208" s="3" t="str">
        <f>IFERROR(__xludf.DUMMYFUNCTION("SPLIT(A208, "","")"),"23-74")</f>
        <v>23-74</v>
      </c>
      <c r="C208" s="3" t="str">
        <f>IFERROR(__xludf.DUMMYFUNCTION("""COMPUTED_VALUE"""),"15-75")</f>
        <v>15-75</v>
      </c>
      <c r="D208" s="3">
        <f>IFERROR(__xludf.DUMMYFUNCTION("SPLIT(B208, ""-"")"),23.0)</f>
        <v>23</v>
      </c>
      <c r="E208" s="3">
        <f>IFERROR(__xludf.DUMMYFUNCTION("""COMPUTED_VALUE"""),74.0)</f>
        <v>74</v>
      </c>
      <c r="F208" s="3">
        <f>IFERROR(__xludf.DUMMYFUNCTION("SPLIT(C208, ""-"")"),15.0)</f>
        <v>15</v>
      </c>
      <c r="G208" s="3">
        <f>IFERROR(__xludf.DUMMYFUNCTION("""COMPUTED_VALUE"""),75.0)</f>
        <v>75</v>
      </c>
      <c r="I208" s="3" t="str">
        <f t="shared" si="1"/>
        <v/>
      </c>
      <c r="J208" s="3" t="str">
        <f t="shared" si="2"/>
        <v/>
      </c>
      <c r="K208" s="3" t="str">
        <f t="shared" si="3"/>
        <v>y</v>
      </c>
      <c r="L208" s="3" t="str">
        <f t="shared" si="4"/>
        <v>y</v>
      </c>
      <c r="N208" s="3" t="str">
        <f t="shared" si="5"/>
        <v/>
      </c>
      <c r="O208" s="3">
        <f t="shared" si="6"/>
        <v>1</v>
      </c>
      <c r="Q208" s="3">
        <f t="shared" si="7"/>
        <v>1</v>
      </c>
      <c r="U208" s="3">
        <f t="shared" si="8"/>
        <v>1</v>
      </c>
      <c r="V208" s="3" t="str">
        <f t="shared" si="9"/>
        <v>Överlapp</v>
      </c>
      <c r="W208" s="3" t="str">
        <f t="shared" si="10"/>
        <v>Överlapp</v>
      </c>
      <c r="X208" s="3" t="str">
        <f t="shared" si="11"/>
        <v/>
      </c>
    </row>
    <row r="209">
      <c r="A209" s="1" t="s">
        <v>215</v>
      </c>
      <c r="B209" s="3" t="str">
        <f>IFERROR(__xludf.DUMMYFUNCTION("SPLIT(A209, "","")"),"25-96")</f>
        <v>25-96</v>
      </c>
      <c r="C209" s="3" t="str">
        <f>IFERROR(__xludf.DUMMYFUNCTION("""COMPUTED_VALUE"""),"25-98")</f>
        <v>25-98</v>
      </c>
      <c r="D209" s="3">
        <f>IFERROR(__xludf.DUMMYFUNCTION("SPLIT(B209, ""-"")"),25.0)</f>
        <v>25</v>
      </c>
      <c r="E209" s="3">
        <f>IFERROR(__xludf.DUMMYFUNCTION("""COMPUTED_VALUE"""),96.0)</f>
        <v>96</v>
      </c>
      <c r="F209" s="3">
        <f>IFERROR(__xludf.DUMMYFUNCTION("SPLIT(C209, ""-"")"),25.0)</f>
        <v>25</v>
      </c>
      <c r="G209" s="3">
        <f>IFERROR(__xludf.DUMMYFUNCTION("""COMPUTED_VALUE"""),98.0)</f>
        <v>98</v>
      </c>
      <c r="I209" s="3" t="str">
        <f t="shared" si="1"/>
        <v>y</v>
      </c>
      <c r="J209" s="3" t="str">
        <f t="shared" si="2"/>
        <v/>
      </c>
      <c r="K209" s="3" t="str">
        <f t="shared" si="3"/>
        <v>y</v>
      </c>
      <c r="L209" s="3" t="str">
        <f t="shared" si="4"/>
        <v>y</v>
      </c>
      <c r="N209" s="3" t="str">
        <f t="shared" si="5"/>
        <v/>
      </c>
      <c r="O209" s="3">
        <f t="shared" si="6"/>
        <v>1</v>
      </c>
      <c r="Q209" s="3">
        <f t="shared" si="7"/>
        <v>1</v>
      </c>
      <c r="U209" s="3" t="str">
        <f t="shared" si="8"/>
        <v>Överlapp</v>
      </c>
      <c r="V209" s="3" t="str">
        <f t="shared" si="9"/>
        <v>Överlapp</v>
      </c>
      <c r="W209" s="3" t="str">
        <f t="shared" si="10"/>
        <v>Överlapp</v>
      </c>
      <c r="X209" s="3" t="str">
        <f t="shared" si="11"/>
        <v/>
      </c>
    </row>
    <row r="210">
      <c r="A210" s="1" t="s">
        <v>216</v>
      </c>
      <c r="B210" s="3" t="str">
        <f>IFERROR(__xludf.DUMMYFUNCTION("SPLIT(A210, "","")"),"87-90")</f>
        <v>87-90</v>
      </c>
      <c r="C210" s="3" t="str">
        <f>IFERROR(__xludf.DUMMYFUNCTION("""COMPUTED_VALUE"""),"70-87")</f>
        <v>70-87</v>
      </c>
      <c r="D210" s="3">
        <f>IFERROR(__xludf.DUMMYFUNCTION("SPLIT(B210, ""-"")"),87.0)</f>
        <v>87</v>
      </c>
      <c r="E210" s="3">
        <f>IFERROR(__xludf.DUMMYFUNCTION("""COMPUTED_VALUE"""),90.0)</f>
        <v>90</v>
      </c>
      <c r="F210" s="3">
        <f>IFERROR(__xludf.DUMMYFUNCTION("SPLIT(C210, ""-"")"),70.0)</f>
        <v>70</v>
      </c>
      <c r="G210" s="3">
        <f>IFERROR(__xludf.DUMMYFUNCTION("""COMPUTED_VALUE"""),87.0)</f>
        <v>87</v>
      </c>
      <c r="I210" s="3" t="str">
        <f t="shared" si="1"/>
        <v/>
      </c>
      <c r="J210" s="3" t="str">
        <f t="shared" si="2"/>
        <v>y</v>
      </c>
      <c r="K210" s="3" t="str">
        <f t="shared" si="3"/>
        <v>y</v>
      </c>
      <c r="L210" s="3" t="str">
        <f t="shared" si="4"/>
        <v/>
      </c>
      <c r="N210" s="3" t="str">
        <f t="shared" si="5"/>
        <v/>
      </c>
      <c r="O210" s="3" t="str">
        <f t="shared" si="6"/>
        <v/>
      </c>
      <c r="Q210" s="3" t="str">
        <f t="shared" si="7"/>
        <v/>
      </c>
      <c r="U210" s="3" t="str">
        <f t="shared" si="8"/>
        <v>Överlapp</v>
      </c>
      <c r="V210" s="3" t="str">
        <f t="shared" si="9"/>
        <v>Överlapp</v>
      </c>
      <c r="W210" s="3" t="str">
        <f t="shared" si="10"/>
        <v>Överlapp</v>
      </c>
      <c r="X210" s="3" t="str">
        <f t="shared" si="11"/>
        <v/>
      </c>
    </row>
    <row r="211">
      <c r="A211" s="1" t="s">
        <v>217</v>
      </c>
      <c r="B211" s="3" t="str">
        <f>IFERROR(__xludf.DUMMYFUNCTION("SPLIT(A211, "","")"),"30-32")</f>
        <v>30-32</v>
      </c>
      <c r="C211" s="3" t="str">
        <f>IFERROR(__xludf.DUMMYFUNCTION("""COMPUTED_VALUE"""),"31-31")</f>
        <v>31-31</v>
      </c>
      <c r="D211" s="3">
        <f>IFERROR(__xludf.DUMMYFUNCTION("SPLIT(B211, ""-"")"),30.0)</f>
        <v>30</v>
      </c>
      <c r="E211" s="3">
        <f>IFERROR(__xludf.DUMMYFUNCTION("""COMPUTED_VALUE"""),32.0)</f>
        <v>32</v>
      </c>
      <c r="F211" s="3">
        <f>IFERROR(__xludf.DUMMYFUNCTION("SPLIT(C211, ""-"")"),31.0)</f>
        <v>31</v>
      </c>
      <c r="G211" s="3">
        <f>IFERROR(__xludf.DUMMYFUNCTION("""COMPUTED_VALUE"""),31.0)</f>
        <v>31</v>
      </c>
      <c r="I211" s="3" t="str">
        <f t="shared" si="1"/>
        <v>y</v>
      </c>
      <c r="J211" s="3" t="str">
        <f t="shared" si="2"/>
        <v>y</v>
      </c>
      <c r="K211" s="3" t="str">
        <f t="shared" si="3"/>
        <v/>
      </c>
      <c r="L211" s="3" t="str">
        <f t="shared" si="4"/>
        <v/>
      </c>
      <c r="N211" s="3">
        <f t="shared" si="5"/>
        <v>1</v>
      </c>
      <c r="O211" s="3" t="str">
        <f t="shared" si="6"/>
        <v/>
      </c>
      <c r="Q211" s="3">
        <f t="shared" si="7"/>
        <v>1</v>
      </c>
      <c r="U211" s="3">
        <f t="shared" si="8"/>
        <v>1</v>
      </c>
      <c r="V211" s="3" t="str">
        <f t="shared" si="9"/>
        <v>Överlapp</v>
      </c>
      <c r="W211" s="3" t="str">
        <f t="shared" si="10"/>
        <v>Överlapp</v>
      </c>
      <c r="X211" s="3" t="str">
        <f t="shared" si="11"/>
        <v/>
      </c>
    </row>
    <row r="212">
      <c r="A212" s="1" t="s">
        <v>218</v>
      </c>
      <c r="B212" s="3" t="str">
        <f>IFERROR(__xludf.DUMMYFUNCTION("SPLIT(A212, "","")"),"35-99")</f>
        <v>35-99</v>
      </c>
      <c r="C212" s="3" t="str">
        <f>IFERROR(__xludf.DUMMYFUNCTION("""COMPUTED_VALUE"""),"18-98")</f>
        <v>18-98</v>
      </c>
      <c r="D212" s="3">
        <f>IFERROR(__xludf.DUMMYFUNCTION("SPLIT(B212, ""-"")"),35.0)</f>
        <v>35</v>
      </c>
      <c r="E212" s="3">
        <f>IFERROR(__xludf.DUMMYFUNCTION("""COMPUTED_VALUE"""),99.0)</f>
        <v>99</v>
      </c>
      <c r="F212" s="3">
        <f>IFERROR(__xludf.DUMMYFUNCTION("SPLIT(C212, ""-"")"),18.0)</f>
        <v>18</v>
      </c>
      <c r="G212" s="3">
        <f>IFERROR(__xludf.DUMMYFUNCTION("""COMPUTED_VALUE"""),98.0)</f>
        <v>98</v>
      </c>
      <c r="I212" s="3" t="str">
        <f t="shared" si="1"/>
        <v/>
      </c>
      <c r="J212" s="3" t="str">
        <f t="shared" si="2"/>
        <v>y</v>
      </c>
      <c r="K212" s="3" t="str">
        <f t="shared" si="3"/>
        <v>y</v>
      </c>
      <c r="L212" s="3" t="str">
        <f t="shared" si="4"/>
        <v/>
      </c>
      <c r="N212" s="3" t="str">
        <f t="shared" si="5"/>
        <v/>
      </c>
      <c r="O212" s="3" t="str">
        <f t="shared" si="6"/>
        <v/>
      </c>
      <c r="Q212" s="3" t="str">
        <f t="shared" si="7"/>
        <v/>
      </c>
      <c r="U212" s="3">
        <f t="shared" si="8"/>
        <v>1</v>
      </c>
      <c r="V212" s="3" t="str">
        <f t="shared" si="9"/>
        <v>Överlapp</v>
      </c>
      <c r="W212" s="3" t="str">
        <f t="shared" si="10"/>
        <v>Överlapp</v>
      </c>
      <c r="X212" s="3" t="str">
        <f t="shared" si="11"/>
        <v/>
      </c>
    </row>
    <row r="213">
      <c r="A213" s="1" t="s">
        <v>219</v>
      </c>
      <c r="B213" s="3" t="str">
        <f>IFERROR(__xludf.DUMMYFUNCTION("SPLIT(A213, "","")"),"1-58")</f>
        <v>1-58</v>
      </c>
      <c r="C213" s="3" t="str">
        <f>IFERROR(__xludf.DUMMYFUNCTION("""COMPUTED_VALUE"""),"25-78")</f>
        <v>25-78</v>
      </c>
      <c r="D213" s="3">
        <f>IFERROR(__xludf.DUMMYFUNCTION("SPLIT(B213, ""-"")"),1.0)</f>
        <v>1</v>
      </c>
      <c r="E213" s="3">
        <f>IFERROR(__xludf.DUMMYFUNCTION("""COMPUTED_VALUE"""),58.0)</f>
        <v>58</v>
      </c>
      <c r="F213" s="3">
        <f>IFERROR(__xludf.DUMMYFUNCTION("SPLIT(C213, ""-"")"),25.0)</f>
        <v>25</v>
      </c>
      <c r="G213" s="3">
        <f>IFERROR(__xludf.DUMMYFUNCTION("""COMPUTED_VALUE"""),78.0)</f>
        <v>78</v>
      </c>
      <c r="I213" s="3" t="str">
        <f t="shared" si="1"/>
        <v>y</v>
      </c>
      <c r="J213" s="3" t="str">
        <f t="shared" si="2"/>
        <v/>
      </c>
      <c r="K213" s="3" t="str">
        <f t="shared" si="3"/>
        <v/>
      </c>
      <c r="L213" s="3" t="str">
        <f t="shared" si="4"/>
        <v>y</v>
      </c>
      <c r="N213" s="3" t="str">
        <f t="shared" si="5"/>
        <v/>
      </c>
      <c r="O213" s="3" t="str">
        <f t="shared" si="6"/>
        <v/>
      </c>
      <c r="Q213" s="3" t="str">
        <f t="shared" si="7"/>
        <v/>
      </c>
      <c r="U213" s="3">
        <f t="shared" si="8"/>
        <v>1</v>
      </c>
      <c r="V213" s="3" t="str">
        <f t="shared" si="9"/>
        <v>Överlapp</v>
      </c>
      <c r="W213" s="3" t="str">
        <f t="shared" si="10"/>
        <v>Överlapp</v>
      </c>
      <c r="X213" s="3" t="str">
        <f t="shared" si="11"/>
        <v/>
      </c>
    </row>
    <row r="214">
      <c r="A214" s="1" t="s">
        <v>220</v>
      </c>
      <c r="B214" s="3" t="str">
        <f>IFERROR(__xludf.DUMMYFUNCTION("SPLIT(A214, "","")"),"46-95")</f>
        <v>46-95</v>
      </c>
      <c r="C214" s="3" t="str">
        <f>IFERROR(__xludf.DUMMYFUNCTION("""COMPUTED_VALUE"""),"94-94")</f>
        <v>94-94</v>
      </c>
      <c r="D214" s="3">
        <f>IFERROR(__xludf.DUMMYFUNCTION("SPLIT(B214, ""-"")"),46.0)</f>
        <v>46</v>
      </c>
      <c r="E214" s="3">
        <f>IFERROR(__xludf.DUMMYFUNCTION("""COMPUTED_VALUE"""),95.0)</f>
        <v>95</v>
      </c>
      <c r="F214" s="3">
        <f>IFERROR(__xludf.DUMMYFUNCTION("SPLIT(C214, ""-"")"),94.0)</f>
        <v>94</v>
      </c>
      <c r="G214" s="3">
        <f>IFERROR(__xludf.DUMMYFUNCTION("""COMPUTED_VALUE"""),94.0)</f>
        <v>94</v>
      </c>
      <c r="I214" s="3" t="str">
        <f t="shared" si="1"/>
        <v>y</v>
      </c>
      <c r="J214" s="3" t="str">
        <f t="shared" si="2"/>
        <v>y</v>
      </c>
      <c r="K214" s="3" t="str">
        <f t="shared" si="3"/>
        <v/>
      </c>
      <c r="L214" s="3" t="str">
        <f t="shared" si="4"/>
        <v/>
      </c>
      <c r="N214" s="3">
        <f t="shared" si="5"/>
        <v>1</v>
      </c>
      <c r="O214" s="3" t="str">
        <f t="shared" si="6"/>
        <v/>
      </c>
      <c r="Q214" s="3">
        <f t="shared" si="7"/>
        <v>1</v>
      </c>
      <c r="U214" s="3">
        <f t="shared" si="8"/>
        <v>1</v>
      </c>
      <c r="V214" s="3" t="str">
        <f t="shared" si="9"/>
        <v>Överlapp</v>
      </c>
      <c r="W214" s="3" t="str">
        <f t="shared" si="10"/>
        <v>Överlapp</v>
      </c>
      <c r="X214" s="3" t="str">
        <f t="shared" si="11"/>
        <v/>
      </c>
    </row>
    <row r="215">
      <c r="A215" s="1" t="s">
        <v>221</v>
      </c>
      <c r="B215" s="3" t="str">
        <f>IFERROR(__xludf.DUMMYFUNCTION("SPLIT(A215, "","")"),"12-98")</f>
        <v>12-98</v>
      </c>
      <c r="C215" s="3" t="str">
        <f>IFERROR(__xludf.DUMMYFUNCTION("""COMPUTED_VALUE"""),"12-99")</f>
        <v>12-99</v>
      </c>
      <c r="D215" s="3">
        <f>IFERROR(__xludf.DUMMYFUNCTION("SPLIT(B215, ""-"")"),12.0)</f>
        <v>12</v>
      </c>
      <c r="E215" s="3">
        <f>IFERROR(__xludf.DUMMYFUNCTION("""COMPUTED_VALUE"""),98.0)</f>
        <v>98</v>
      </c>
      <c r="F215" s="3">
        <f>IFERROR(__xludf.DUMMYFUNCTION("SPLIT(C215, ""-"")"),12.0)</f>
        <v>12</v>
      </c>
      <c r="G215" s="3">
        <f>IFERROR(__xludf.DUMMYFUNCTION("""COMPUTED_VALUE"""),99.0)</f>
        <v>99</v>
      </c>
      <c r="I215" s="3" t="str">
        <f t="shared" si="1"/>
        <v>y</v>
      </c>
      <c r="J215" s="3" t="str">
        <f t="shared" si="2"/>
        <v/>
      </c>
      <c r="K215" s="3" t="str">
        <f t="shared" si="3"/>
        <v>y</v>
      </c>
      <c r="L215" s="3" t="str">
        <f t="shared" si="4"/>
        <v>y</v>
      </c>
      <c r="N215" s="3" t="str">
        <f t="shared" si="5"/>
        <v/>
      </c>
      <c r="O215" s="3">
        <f t="shared" si="6"/>
        <v>1</v>
      </c>
      <c r="Q215" s="3">
        <f t="shared" si="7"/>
        <v>1</v>
      </c>
      <c r="U215" s="3" t="str">
        <f t="shared" si="8"/>
        <v>Överlapp</v>
      </c>
      <c r="V215" s="3" t="str">
        <f t="shared" si="9"/>
        <v>Överlapp</v>
      </c>
      <c r="W215" s="3" t="str">
        <f t="shared" si="10"/>
        <v>Överlapp</v>
      </c>
      <c r="X215" s="3" t="str">
        <f t="shared" si="11"/>
        <v/>
      </c>
    </row>
    <row r="216">
      <c r="A216" s="1" t="s">
        <v>222</v>
      </c>
      <c r="B216" s="3" t="str">
        <f>IFERROR(__xludf.DUMMYFUNCTION("SPLIT(A216, "","")"),"36-62")</f>
        <v>36-62</v>
      </c>
      <c r="C216" s="3" t="str">
        <f>IFERROR(__xludf.DUMMYFUNCTION("""COMPUTED_VALUE"""),"35-63")</f>
        <v>35-63</v>
      </c>
      <c r="D216" s="3">
        <f>IFERROR(__xludf.DUMMYFUNCTION("SPLIT(B216, ""-"")"),36.0)</f>
        <v>36</v>
      </c>
      <c r="E216" s="3">
        <f>IFERROR(__xludf.DUMMYFUNCTION("""COMPUTED_VALUE"""),62.0)</f>
        <v>62</v>
      </c>
      <c r="F216" s="3">
        <f>IFERROR(__xludf.DUMMYFUNCTION("SPLIT(C216, ""-"")"),35.0)</f>
        <v>35</v>
      </c>
      <c r="G216" s="3">
        <f>IFERROR(__xludf.DUMMYFUNCTION("""COMPUTED_VALUE"""),63.0)</f>
        <v>63</v>
      </c>
      <c r="I216" s="3" t="str">
        <f t="shared" si="1"/>
        <v/>
      </c>
      <c r="J216" s="3" t="str">
        <f t="shared" si="2"/>
        <v/>
      </c>
      <c r="K216" s="3" t="str">
        <f t="shared" si="3"/>
        <v>y</v>
      </c>
      <c r="L216" s="3" t="str">
        <f t="shared" si="4"/>
        <v>y</v>
      </c>
      <c r="N216" s="3" t="str">
        <f t="shared" si="5"/>
        <v/>
      </c>
      <c r="O216" s="3">
        <f t="shared" si="6"/>
        <v>1</v>
      </c>
      <c r="Q216" s="3">
        <f t="shared" si="7"/>
        <v>1</v>
      </c>
      <c r="U216" s="3">
        <f t="shared" si="8"/>
        <v>1</v>
      </c>
      <c r="V216" s="3" t="str">
        <f t="shared" si="9"/>
        <v>Överlapp</v>
      </c>
      <c r="W216" s="3" t="str">
        <f t="shared" si="10"/>
        <v>Överlapp</v>
      </c>
      <c r="X216" s="3" t="str">
        <f t="shared" si="11"/>
        <v/>
      </c>
    </row>
    <row r="217">
      <c r="A217" s="1" t="s">
        <v>223</v>
      </c>
      <c r="B217" s="3" t="str">
        <f>IFERROR(__xludf.DUMMYFUNCTION("SPLIT(A217, "","")"),"68-73")</f>
        <v>68-73</v>
      </c>
      <c r="C217" s="3" t="str">
        <f>IFERROR(__xludf.DUMMYFUNCTION("""COMPUTED_VALUE"""),"67-69")</f>
        <v>67-69</v>
      </c>
      <c r="D217" s="3">
        <f>IFERROR(__xludf.DUMMYFUNCTION("SPLIT(B217, ""-"")"),68.0)</f>
        <v>68</v>
      </c>
      <c r="E217" s="3">
        <f>IFERROR(__xludf.DUMMYFUNCTION("""COMPUTED_VALUE"""),73.0)</f>
        <v>73</v>
      </c>
      <c r="F217" s="3">
        <f>IFERROR(__xludf.DUMMYFUNCTION("SPLIT(C217, ""-"")"),67.0)</f>
        <v>67</v>
      </c>
      <c r="G217" s="3">
        <f>IFERROR(__xludf.DUMMYFUNCTION("""COMPUTED_VALUE"""),69.0)</f>
        <v>69</v>
      </c>
      <c r="I217" s="3" t="str">
        <f t="shared" si="1"/>
        <v/>
      </c>
      <c r="J217" s="3" t="str">
        <f t="shared" si="2"/>
        <v>y</v>
      </c>
      <c r="K217" s="3" t="str">
        <f t="shared" si="3"/>
        <v>y</v>
      </c>
      <c r="L217" s="3" t="str">
        <f t="shared" si="4"/>
        <v/>
      </c>
      <c r="N217" s="3" t="str">
        <f t="shared" si="5"/>
        <v/>
      </c>
      <c r="O217" s="3" t="str">
        <f t="shared" si="6"/>
        <v/>
      </c>
      <c r="Q217" s="3" t="str">
        <f t="shared" si="7"/>
        <v/>
      </c>
      <c r="U217" s="3">
        <f t="shared" si="8"/>
        <v>1</v>
      </c>
      <c r="V217" s="3" t="str">
        <f t="shared" si="9"/>
        <v>Överlapp</v>
      </c>
      <c r="W217" s="3" t="str">
        <f t="shared" si="10"/>
        <v>Överlapp</v>
      </c>
      <c r="X217" s="3" t="str">
        <f t="shared" si="11"/>
        <v/>
      </c>
    </row>
    <row r="218">
      <c r="A218" s="1" t="s">
        <v>224</v>
      </c>
      <c r="B218" s="3" t="str">
        <f>IFERROR(__xludf.DUMMYFUNCTION("SPLIT(A218, "","")"),"12-44")</f>
        <v>12-44</v>
      </c>
      <c r="C218" s="3" t="str">
        <f>IFERROR(__xludf.DUMMYFUNCTION("""COMPUTED_VALUE"""),"11-44")</f>
        <v>11-44</v>
      </c>
      <c r="D218" s="3">
        <f>IFERROR(__xludf.DUMMYFUNCTION("SPLIT(B218, ""-"")"),12.0)</f>
        <v>12</v>
      </c>
      <c r="E218" s="3">
        <f>IFERROR(__xludf.DUMMYFUNCTION("""COMPUTED_VALUE"""),44.0)</f>
        <v>44</v>
      </c>
      <c r="F218" s="3">
        <f>IFERROR(__xludf.DUMMYFUNCTION("SPLIT(C218, ""-"")"),11.0)</f>
        <v>11</v>
      </c>
      <c r="G218" s="3">
        <f>IFERROR(__xludf.DUMMYFUNCTION("""COMPUTED_VALUE"""),44.0)</f>
        <v>44</v>
      </c>
      <c r="I218" s="3" t="str">
        <f t="shared" si="1"/>
        <v/>
      </c>
      <c r="J218" s="3" t="str">
        <f t="shared" si="2"/>
        <v>y</v>
      </c>
      <c r="K218" s="3" t="str">
        <f t="shared" si="3"/>
        <v>y</v>
      </c>
      <c r="L218" s="3" t="str">
        <f t="shared" si="4"/>
        <v>y</v>
      </c>
      <c r="N218" s="3" t="str">
        <f t="shared" si="5"/>
        <v/>
      </c>
      <c r="O218" s="3">
        <f t="shared" si="6"/>
        <v>1</v>
      </c>
      <c r="Q218" s="3">
        <f t="shared" si="7"/>
        <v>1</v>
      </c>
      <c r="U218" s="3" t="str">
        <f t="shared" si="8"/>
        <v>Överlapp</v>
      </c>
      <c r="V218" s="3" t="str">
        <f t="shared" si="9"/>
        <v>Överlapp</v>
      </c>
      <c r="W218" s="3" t="str">
        <f t="shared" si="10"/>
        <v>Överlapp</v>
      </c>
      <c r="X218" s="3" t="str">
        <f t="shared" si="11"/>
        <v/>
      </c>
    </row>
    <row r="219">
      <c r="A219" s="1" t="s">
        <v>225</v>
      </c>
      <c r="B219" s="3" t="str">
        <f>IFERROR(__xludf.DUMMYFUNCTION("SPLIT(A219, "","")"),"13-93")</f>
        <v>13-93</v>
      </c>
      <c r="C219" s="3" t="str">
        <f>IFERROR(__xludf.DUMMYFUNCTION("""COMPUTED_VALUE"""),"77-95")</f>
        <v>77-95</v>
      </c>
      <c r="D219" s="3">
        <f>IFERROR(__xludf.DUMMYFUNCTION("SPLIT(B219, ""-"")"),13.0)</f>
        <v>13</v>
      </c>
      <c r="E219" s="3">
        <f>IFERROR(__xludf.DUMMYFUNCTION("""COMPUTED_VALUE"""),93.0)</f>
        <v>93</v>
      </c>
      <c r="F219" s="3">
        <f>IFERROR(__xludf.DUMMYFUNCTION("SPLIT(C219, ""-"")"),77.0)</f>
        <v>77</v>
      </c>
      <c r="G219" s="3">
        <f>IFERROR(__xludf.DUMMYFUNCTION("""COMPUTED_VALUE"""),95.0)</f>
        <v>95</v>
      </c>
      <c r="I219" s="3" t="str">
        <f t="shared" si="1"/>
        <v>y</v>
      </c>
      <c r="J219" s="3" t="str">
        <f t="shared" si="2"/>
        <v/>
      </c>
      <c r="K219" s="3" t="str">
        <f t="shared" si="3"/>
        <v/>
      </c>
      <c r="L219" s="3" t="str">
        <f t="shared" si="4"/>
        <v>y</v>
      </c>
      <c r="N219" s="3" t="str">
        <f t="shared" si="5"/>
        <v/>
      </c>
      <c r="O219" s="3" t="str">
        <f t="shared" si="6"/>
        <v/>
      </c>
      <c r="Q219" s="3" t="str">
        <f t="shared" si="7"/>
        <v/>
      </c>
      <c r="U219" s="3">
        <f t="shared" si="8"/>
        <v>1</v>
      </c>
      <c r="V219" s="3" t="str">
        <f t="shared" si="9"/>
        <v>Överlapp</v>
      </c>
      <c r="W219" s="3" t="str">
        <f t="shared" si="10"/>
        <v>Överlapp</v>
      </c>
      <c r="X219" s="3" t="str">
        <f t="shared" si="11"/>
        <v/>
      </c>
    </row>
    <row r="220">
      <c r="A220" s="1" t="s">
        <v>226</v>
      </c>
      <c r="B220" s="3" t="str">
        <f>IFERROR(__xludf.DUMMYFUNCTION("SPLIT(A220, "","")"),"31-32")</f>
        <v>31-32</v>
      </c>
      <c r="C220" s="3" t="str">
        <f>IFERROR(__xludf.DUMMYFUNCTION("""COMPUTED_VALUE"""),"24-31")</f>
        <v>24-31</v>
      </c>
      <c r="D220" s="3">
        <f>IFERROR(__xludf.DUMMYFUNCTION("SPLIT(B220, ""-"")"),31.0)</f>
        <v>31</v>
      </c>
      <c r="E220" s="3">
        <f>IFERROR(__xludf.DUMMYFUNCTION("""COMPUTED_VALUE"""),32.0)</f>
        <v>32</v>
      </c>
      <c r="F220" s="3">
        <f>IFERROR(__xludf.DUMMYFUNCTION("SPLIT(C220, ""-"")"),24.0)</f>
        <v>24</v>
      </c>
      <c r="G220" s="3">
        <f>IFERROR(__xludf.DUMMYFUNCTION("""COMPUTED_VALUE"""),31.0)</f>
        <v>31</v>
      </c>
      <c r="I220" s="3" t="str">
        <f t="shared" si="1"/>
        <v/>
      </c>
      <c r="J220" s="3" t="str">
        <f t="shared" si="2"/>
        <v>y</v>
      </c>
      <c r="K220" s="3" t="str">
        <f t="shared" si="3"/>
        <v>y</v>
      </c>
      <c r="L220" s="3" t="str">
        <f t="shared" si="4"/>
        <v/>
      </c>
      <c r="N220" s="3" t="str">
        <f t="shared" si="5"/>
        <v/>
      </c>
      <c r="O220" s="3" t="str">
        <f t="shared" si="6"/>
        <v/>
      </c>
      <c r="Q220" s="3" t="str">
        <f t="shared" si="7"/>
        <v/>
      </c>
      <c r="U220" s="3" t="str">
        <f t="shared" si="8"/>
        <v>Överlapp</v>
      </c>
      <c r="V220" s="3" t="str">
        <f t="shared" si="9"/>
        <v>Överlapp</v>
      </c>
      <c r="W220" s="3" t="str">
        <f t="shared" si="10"/>
        <v>Överlapp</v>
      </c>
      <c r="X220" s="3" t="str">
        <f t="shared" si="11"/>
        <v/>
      </c>
    </row>
    <row r="221">
      <c r="A221" s="1" t="s">
        <v>227</v>
      </c>
      <c r="B221" s="3" t="str">
        <f>IFERROR(__xludf.DUMMYFUNCTION("SPLIT(A221, "","")"),"44-95")</f>
        <v>44-95</v>
      </c>
      <c r="C221" s="3" t="str">
        <f>IFERROR(__xludf.DUMMYFUNCTION("""COMPUTED_VALUE"""),"34-96")</f>
        <v>34-96</v>
      </c>
      <c r="D221" s="3">
        <f>IFERROR(__xludf.DUMMYFUNCTION("SPLIT(B221, ""-"")"),44.0)</f>
        <v>44</v>
      </c>
      <c r="E221" s="3">
        <f>IFERROR(__xludf.DUMMYFUNCTION("""COMPUTED_VALUE"""),95.0)</f>
        <v>95</v>
      </c>
      <c r="F221" s="3">
        <f>IFERROR(__xludf.DUMMYFUNCTION("SPLIT(C221, ""-"")"),34.0)</f>
        <v>34</v>
      </c>
      <c r="G221" s="3">
        <f>IFERROR(__xludf.DUMMYFUNCTION("""COMPUTED_VALUE"""),96.0)</f>
        <v>96</v>
      </c>
      <c r="I221" s="3" t="str">
        <f t="shared" si="1"/>
        <v/>
      </c>
      <c r="J221" s="3" t="str">
        <f t="shared" si="2"/>
        <v/>
      </c>
      <c r="K221" s="3" t="str">
        <f t="shared" si="3"/>
        <v>y</v>
      </c>
      <c r="L221" s="3" t="str">
        <f t="shared" si="4"/>
        <v>y</v>
      </c>
      <c r="N221" s="3" t="str">
        <f t="shared" si="5"/>
        <v/>
      </c>
      <c r="O221" s="3">
        <f t="shared" si="6"/>
        <v>1</v>
      </c>
      <c r="Q221" s="3">
        <f t="shared" si="7"/>
        <v>1</v>
      </c>
      <c r="U221" s="3">
        <f t="shared" si="8"/>
        <v>1</v>
      </c>
      <c r="V221" s="3" t="str">
        <f t="shared" si="9"/>
        <v>Överlapp</v>
      </c>
      <c r="W221" s="3" t="str">
        <f t="shared" si="10"/>
        <v>Överlapp</v>
      </c>
      <c r="X221" s="3" t="str">
        <f t="shared" si="11"/>
        <v/>
      </c>
    </row>
    <row r="222">
      <c r="A222" s="1" t="s">
        <v>228</v>
      </c>
      <c r="B222" s="3" t="str">
        <f>IFERROR(__xludf.DUMMYFUNCTION("SPLIT(A222, "","")"),"20-75")</f>
        <v>20-75</v>
      </c>
      <c r="C222" s="3" t="str">
        <f>IFERROR(__xludf.DUMMYFUNCTION("""COMPUTED_VALUE"""),"9-21")</f>
        <v>9-21</v>
      </c>
      <c r="D222" s="3">
        <f>IFERROR(__xludf.DUMMYFUNCTION("SPLIT(B222, ""-"")"),20.0)</f>
        <v>20</v>
      </c>
      <c r="E222" s="3">
        <f>IFERROR(__xludf.DUMMYFUNCTION("""COMPUTED_VALUE"""),75.0)</f>
        <v>75</v>
      </c>
      <c r="F222" s="3">
        <f>IFERROR(__xludf.DUMMYFUNCTION("SPLIT(C222, ""-"")"),9.0)</f>
        <v>9</v>
      </c>
      <c r="G222" s="3">
        <f>IFERROR(__xludf.DUMMYFUNCTION("""COMPUTED_VALUE"""),21.0)</f>
        <v>21</v>
      </c>
      <c r="I222" s="3" t="str">
        <f t="shared" si="1"/>
        <v/>
      </c>
      <c r="J222" s="3" t="str">
        <f t="shared" si="2"/>
        <v>y</v>
      </c>
      <c r="K222" s="3" t="str">
        <f t="shared" si="3"/>
        <v>y</v>
      </c>
      <c r="L222" s="3" t="str">
        <f t="shared" si="4"/>
        <v/>
      </c>
      <c r="N222" s="3" t="str">
        <f t="shared" si="5"/>
        <v/>
      </c>
      <c r="O222" s="3" t="str">
        <f t="shared" si="6"/>
        <v/>
      </c>
      <c r="Q222" s="3" t="str">
        <f t="shared" si="7"/>
        <v/>
      </c>
      <c r="U222" s="3">
        <f t="shared" si="8"/>
        <v>1</v>
      </c>
      <c r="V222" s="3" t="str">
        <f t="shared" si="9"/>
        <v>Överlapp</v>
      </c>
      <c r="W222" s="3" t="str">
        <f t="shared" si="10"/>
        <v>Överlapp</v>
      </c>
      <c r="X222" s="3" t="str">
        <f t="shared" si="11"/>
        <v/>
      </c>
    </row>
    <row r="223">
      <c r="A223" s="1" t="s">
        <v>229</v>
      </c>
      <c r="B223" s="3" t="str">
        <f>IFERROR(__xludf.DUMMYFUNCTION("SPLIT(A223, "","")"),"26-68")</f>
        <v>26-68</v>
      </c>
      <c r="C223" s="3" t="str">
        <f>IFERROR(__xludf.DUMMYFUNCTION("""COMPUTED_VALUE"""),"2-25")</f>
        <v>2-25</v>
      </c>
      <c r="D223" s="3">
        <f>IFERROR(__xludf.DUMMYFUNCTION("SPLIT(B223, ""-"")"),26.0)</f>
        <v>26</v>
      </c>
      <c r="E223" s="3">
        <f>IFERROR(__xludf.DUMMYFUNCTION("""COMPUTED_VALUE"""),68.0)</f>
        <v>68</v>
      </c>
      <c r="F223" s="3">
        <f>IFERROR(__xludf.DUMMYFUNCTION("SPLIT(C223, ""-"")"),2.0)</f>
        <v>2</v>
      </c>
      <c r="G223" s="3">
        <f>IFERROR(__xludf.DUMMYFUNCTION("""COMPUTED_VALUE"""),25.0)</f>
        <v>25</v>
      </c>
      <c r="I223" s="3" t="str">
        <f t="shared" si="1"/>
        <v/>
      </c>
      <c r="J223" s="3" t="str">
        <f t="shared" si="2"/>
        <v>y</v>
      </c>
      <c r="K223" s="3" t="str">
        <f t="shared" si="3"/>
        <v>y</v>
      </c>
      <c r="L223" s="3" t="str">
        <f t="shared" si="4"/>
        <v/>
      </c>
      <c r="N223" s="3" t="str">
        <f t="shared" si="5"/>
        <v/>
      </c>
      <c r="O223" s="3" t="str">
        <f t="shared" si="6"/>
        <v/>
      </c>
      <c r="Q223" s="3" t="str">
        <f t="shared" si="7"/>
        <v/>
      </c>
      <c r="U223" s="3">
        <f t="shared" si="8"/>
        <v>1</v>
      </c>
      <c r="V223" s="3" t="str">
        <f t="shared" si="9"/>
        <v>Överlapp</v>
      </c>
      <c r="W223" s="3">
        <f t="shared" si="10"/>
        <v>1</v>
      </c>
      <c r="X223" s="3">
        <f t="shared" si="11"/>
        <v>1</v>
      </c>
    </row>
    <row r="224">
      <c r="A224" s="1" t="s">
        <v>230</v>
      </c>
      <c r="B224" s="3" t="str">
        <f>IFERROR(__xludf.DUMMYFUNCTION("SPLIT(A224, "","")"),"95-98")</f>
        <v>95-98</v>
      </c>
      <c r="C224" s="3" t="str">
        <f>IFERROR(__xludf.DUMMYFUNCTION("""COMPUTED_VALUE"""),"69-95")</f>
        <v>69-95</v>
      </c>
      <c r="D224" s="3">
        <f>IFERROR(__xludf.DUMMYFUNCTION("SPLIT(B224, ""-"")"),95.0)</f>
        <v>95</v>
      </c>
      <c r="E224" s="3">
        <f>IFERROR(__xludf.DUMMYFUNCTION("""COMPUTED_VALUE"""),98.0)</f>
        <v>98</v>
      </c>
      <c r="F224" s="3">
        <f>IFERROR(__xludf.DUMMYFUNCTION("SPLIT(C224, ""-"")"),69.0)</f>
        <v>69</v>
      </c>
      <c r="G224" s="3">
        <f>IFERROR(__xludf.DUMMYFUNCTION("""COMPUTED_VALUE"""),95.0)</f>
        <v>95</v>
      </c>
      <c r="I224" s="3" t="str">
        <f t="shared" si="1"/>
        <v/>
      </c>
      <c r="J224" s="3" t="str">
        <f t="shared" si="2"/>
        <v>y</v>
      </c>
      <c r="K224" s="3" t="str">
        <f t="shared" si="3"/>
        <v>y</v>
      </c>
      <c r="L224" s="3" t="str">
        <f t="shared" si="4"/>
        <v/>
      </c>
      <c r="N224" s="3" t="str">
        <f t="shared" si="5"/>
        <v/>
      </c>
      <c r="O224" s="3" t="str">
        <f t="shared" si="6"/>
        <v/>
      </c>
      <c r="Q224" s="3" t="str">
        <f t="shared" si="7"/>
        <v/>
      </c>
      <c r="U224" s="3" t="str">
        <f t="shared" si="8"/>
        <v>Överlapp</v>
      </c>
      <c r="V224" s="3" t="str">
        <f t="shared" si="9"/>
        <v>Överlapp</v>
      </c>
      <c r="W224" s="3" t="str">
        <f t="shared" si="10"/>
        <v>Överlapp</v>
      </c>
      <c r="X224" s="3" t="str">
        <f t="shared" si="11"/>
        <v/>
      </c>
    </row>
    <row r="225">
      <c r="A225" s="1" t="s">
        <v>231</v>
      </c>
      <c r="B225" s="3" t="str">
        <f>IFERROR(__xludf.DUMMYFUNCTION("SPLIT(A225, "","")"),"93-98")</f>
        <v>93-98</v>
      </c>
      <c r="C225" s="3" t="str">
        <f>IFERROR(__xludf.DUMMYFUNCTION("""COMPUTED_VALUE"""),"12-94")</f>
        <v>12-94</v>
      </c>
      <c r="D225" s="3">
        <f>IFERROR(__xludf.DUMMYFUNCTION("SPLIT(B225, ""-"")"),93.0)</f>
        <v>93</v>
      </c>
      <c r="E225" s="3">
        <f>IFERROR(__xludf.DUMMYFUNCTION("""COMPUTED_VALUE"""),98.0)</f>
        <v>98</v>
      </c>
      <c r="F225" s="3">
        <f>IFERROR(__xludf.DUMMYFUNCTION("SPLIT(C225, ""-"")"),12.0)</f>
        <v>12</v>
      </c>
      <c r="G225" s="3">
        <f>IFERROR(__xludf.DUMMYFUNCTION("""COMPUTED_VALUE"""),94.0)</f>
        <v>94</v>
      </c>
      <c r="I225" s="3" t="str">
        <f t="shared" si="1"/>
        <v/>
      </c>
      <c r="J225" s="3" t="str">
        <f t="shared" si="2"/>
        <v>y</v>
      </c>
      <c r="K225" s="3" t="str">
        <f t="shared" si="3"/>
        <v>y</v>
      </c>
      <c r="L225" s="3" t="str">
        <f t="shared" si="4"/>
        <v/>
      </c>
      <c r="N225" s="3" t="str">
        <f t="shared" si="5"/>
        <v/>
      </c>
      <c r="O225" s="3" t="str">
        <f t="shared" si="6"/>
        <v/>
      </c>
      <c r="Q225" s="3" t="str">
        <f t="shared" si="7"/>
        <v/>
      </c>
      <c r="U225" s="3">
        <f t="shared" si="8"/>
        <v>1</v>
      </c>
      <c r="V225" s="3" t="str">
        <f t="shared" si="9"/>
        <v>Överlapp</v>
      </c>
      <c r="W225" s="3" t="str">
        <f t="shared" si="10"/>
        <v>Överlapp</v>
      </c>
      <c r="X225" s="3" t="str">
        <f t="shared" si="11"/>
        <v/>
      </c>
    </row>
    <row r="226">
      <c r="A226" s="1" t="s">
        <v>232</v>
      </c>
      <c r="B226" s="3" t="str">
        <f>IFERROR(__xludf.DUMMYFUNCTION("SPLIT(A226, "","")"),"28-42")</f>
        <v>28-42</v>
      </c>
      <c r="C226" s="3" t="str">
        <f>IFERROR(__xludf.DUMMYFUNCTION("""COMPUTED_VALUE"""),"29-29")</f>
        <v>29-29</v>
      </c>
      <c r="D226" s="3">
        <f>IFERROR(__xludf.DUMMYFUNCTION("SPLIT(B226, ""-"")"),28.0)</f>
        <v>28</v>
      </c>
      <c r="E226" s="3">
        <f>IFERROR(__xludf.DUMMYFUNCTION("""COMPUTED_VALUE"""),42.0)</f>
        <v>42</v>
      </c>
      <c r="F226" s="3">
        <f>IFERROR(__xludf.DUMMYFUNCTION("SPLIT(C226, ""-"")"),29.0)</f>
        <v>29</v>
      </c>
      <c r="G226" s="3">
        <f>IFERROR(__xludf.DUMMYFUNCTION("""COMPUTED_VALUE"""),29.0)</f>
        <v>29</v>
      </c>
      <c r="I226" s="3" t="str">
        <f t="shared" si="1"/>
        <v>y</v>
      </c>
      <c r="J226" s="3" t="str">
        <f t="shared" si="2"/>
        <v>y</v>
      </c>
      <c r="K226" s="3" t="str">
        <f t="shared" si="3"/>
        <v/>
      </c>
      <c r="L226" s="3" t="str">
        <f t="shared" si="4"/>
        <v/>
      </c>
      <c r="N226" s="3">
        <f t="shared" si="5"/>
        <v>1</v>
      </c>
      <c r="O226" s="3" t="str">
        <f t="shared" si="6"/>
        <v/>
      </c>
      <c r="Q226" s="3">
        <f t="shared" si="7"/>
        <v>1</v>
      </c>
      <c r="U226" s="3">
        <f t="shared" si="8"/>
        <v>1</v>
      </c>
      <c r="V226" s="3" t="str">
        <f t="shared" si="9"/>
        <v>Överlapp</v>
      </c>
      <c r="W226" s="3" t="str">
        <f t="shared" si="10"/>
        <v>Överlapp</v>
      </c>
      <c r="X226" s="3" t="str">
        <f t="shared" si="11"/>
        <v/>
      </c>
    </row>
    <row r="227">
      <c r="A227" s="1" t="s">
        <v>233</v>
      </c>
      <c r="B227" s="3" t="str">
        <f>IFERROR(__xludf.DUMMYFUNCTION("SPLIT(A227, "","")"),"4-82")</f>
        <v>4-82</v>
      </c>
      <c r="C227" s="3" t="str">
        <f>IFERROR(__xludf.DUMMYFUNCTION("""COMPUTED_VALUE"""),"5-82")</f>
        <v>5-82</v>
      </c>
      <c r="D227" s="3">
        <f>IFERROR(__xludf.DUMMYFUNCTION("SPLIT(B227, ""-"")"),4.0)</f>
        <v>4</v>
      </c>
      <c r="E227" s="3">
        <f>IFERROR(__xludf.DUMMYFUNCTION("""COMPUTED_VALUE"""),82.0)</f>
        <v>82</v>
      </c>
      <c r="F227" s="3">
        <f>IFERROR(__xludf.DUMMYFUNCTION("SPLIT(C227, ""-"")"),5.0)</f>
        <v>5</v>
      </c>
      <c r="G227" s="3">
        <f>IFERROR(__xludf.DUMMYFUNCTION("""COMPUTED_VALUE"""),82.0)</f>
        <v>82</v>
      </c>
      <c r="I227" s="3" t="str">
        <f t="shared" si="1"/>
        <v>y</v>
      </c>
      <c r="J227" s="3" t="str">
        <f t="shared" si="2"/>
        <v>y</v>
      </c>
      <c r="K227" s="3" t="str">
        <f t="shared" si="3"/>
        <v/>
      </c>
      <c r="L227" s="3" t="str">
        <f t="shared" si="4"/>
        <v>y</v>
      </c>
      <c r="N227" s="3">
        <f t="shared" si="5"/>
        <v>1</v>
      </c>
      <c r="O227" s="3" t="str">
        <f t="shared" si="6"/>
        <v/>
      </c>
      <c r="Q227" s="3">
        <f t="shared" si="7"/>
        <v>1</v>
      </c>
      <c r="U227" s="3" t="str">
        <f t="shared" si="8"/>
        <v>Överlapp</v>
      </c>
      <c r="V227" s="3" t="str">
        <f t="shared" si="9"/>
        <v>Överlapp</v>
      </c>
      <c r="W227" s="3" t="str">
        <f t="shared" si="10"/>
        <v>Överlapp</v>
      </c>
      <c r="X227" s="3" t="str">
        <f t="shared" si="11"/>
        <v/>
      </c>
    </row>
    <row r="228">
      <c r="A228" s="1" t="s">
        <v>234</v>
      </c>
      <c r="B228" s="3" t="str">
        <f>IFERROR(__xludf.DUMMYFUNCTION("SPLIT(A228, "","")"),"35-75")</f>
        <v>35-75</v>
      </c>
      <c r="C228" s="3" t="str">
        <f>IFERROR(__xludf.DUMMYFUNCTION("""COMPUTED_VALUE"""),"3-76")</f>
        <v>3-76</v>
      </c>
      <c r="D228" s="3">
        <f>IFERROR(__xludf.DUMMYFUNCTION("SPLIT(B228, ""-"")"),35.0)</f>
        <v>35</v>
      </c>
      <c r="E228" s="3">
        <f>IFERROR(__xludf.DUMMYFUNCTION("""COMPUTED_VALUE"""),75.0)</f>
        <v>75</v>
      </c>
      <c r="F228" s="3">
        <f>IFERROR(__xludf.DUMMYFUNCTION("SPLIT(C228, ""-"")"),3.0)</f>
        <v>3</v>
      </c>
      <c r="G228" s="3">
        <f>IFERROR(__xludf.DUMMYFUNCTION("""COMPUTED_VALUE"""),76.0)</f>
        <v>76</v>
      </c>
      <c r="I228" s="3" t="str">
        <f t="shared" si="1"/>
        <v/>
      </c>
      <c r="J228" s="3" t="str">
        <f t="shared" si="2"/>
        <v/>
      </c>
      <c r="K228" s="3" t="str">
        <f t="shared" si="3"/>
        <v>y</v>
      </c>
      <c r="L228" s="3" t="str">
        <f t="shared" si="4"/>
        <v>y</v>
      </c>
      <c r="N228" s="3" t="str">
        <f t="shared" si="5"/>
        <v/>
      </c>
      <c r="O228" s="3">
        <f t="shared" si="6"/>
        <v>1</v>
      </c>
      <c r="Q228" s="3">
        <f t="shared" si="7"/>
        <v>1</v>
      </c>
      <c r="U228" s="3">
        <f t="shared" si="8"/>
        <v>1</v>
      </c>
      <c r="V228" s="3" t="str">
        <f t="shared" si="9"/>
        <v>Överlapp</v>
      </c>
      <c r="W228" s="3" t="str">
        <f t="shared" si="10"/>
        <v>Överlapp</v>
      </c>
      <c r="X228" s="3" t="str">
        <f t="shared" si="11"/>
        <v/>
      </c>
    </row>
    <row r="229">
      <c r="A229" s="1" t="s">
        <v>235</v>
      </c>
      <c r="B229" s="3" t="str">
        <f>IFERROR(__xludf.DUMMYFUNCTION("SPLIT(A229, "","")"),"6-15")</f>
        <v>6-15</v>
      </c>
      <c r="C229" s="3" t="str">
        <f>IFERROR(__xludf.DUMMYFUNCTION("""COMPUTED_VALUE"""),"8-14")</f>
        <v>8-14</v>
      </c>
      <c r="D229" s="3">
        <f>IFERROR(__xludf.DUMMYFUNCTION("SPLIT(B229, ""-"")"),6.0)</f>
        <v>6</v>
      </c>
      <c r="E229" s="3">
        <f>IFERROR(__xludf.DUMMYFUNCTION("""COMPUTED_VALUE"""),15.0)</f>
        <v>15</v>
      </c>
      <c r="F229" s="3">
        <f>IFERROR(__xludf.DUMMYFUNCTION("SPLIT(C229, ""-"")"),8.0)</f>
        <v>8</v>
      </c>
      <c r="G229" s="3">
        <f>IFERROR(__xludf.DUMMYFUNCTION("""COMPUTED_VALUE"""),14.0)</f>
        <v>14</v>
      </c>
      <c r="I229" s="3" t="str">
        <f t="shared" si="1"/>
        <v>y</v>
      </c>
      <c r="J229" s="3" t="str">
        <f t="shared" si="2"/>
        <v>y</v>
      </c>
      <c r="K229" s="3" t="str">
        <f t="shared" si="3"/>
        <v/>
      </c>
      <c r="L229" s="3" t="str">
        <f t="shared" si="4"/>
        <v/>
      </c>
      <c r="N229" s="3">
        <f t="shared" si="5"/>
        <v>1</v>
      </c>
      <c r="O229" s="3" t="str">
        <f t="shared" si="6"/>
        <v/>
      </c>
      <c r="Q229" s="3">
        <f t="shared" si="7"/>
        <v>1</v>
      </c>
      <c r="U229" s="3">
        <f t="shared" si="8"/>
        <v>1</v>
      </c>
      <c r="V229" s="3" t="str">
        <f t="shared" si="9"/>
        <v>Överlapp</v>
      </c>
      <c r="W229" s="3" t="str">
        <f t="shared" si="10"/>
        <v>Överlapp</v>
      </c>
      <c r="X229" s="3" t="str">
        <f t="shared" si="11"/>
        <v/>
      </c>
    </row>
    <row r="230">
      <c r="A230" s="1" t="s">
        <v>236</v>
      </c>
      <c r="B230" s="3" t="str">
        <f>IFERROR(__xludf.DUMMYFUNCTION("SPLIT(A230, "","")"),"51-96")</f>
        <v>51-96</v>
      </c>
      <c r="C230" s="3" t="str">
        <f>IFERROR(__xludf.DUMMYFUNCTION("""COMPUTED_VALUE"""),"14-96")</f>
        <v>14-96</v>
      </c>
      <c r="D230" s="3">
        <f>IFERROR(__xludf.DUMMYFUNCTION("SPLIT(B230, ""-"")"),51.0)</f>
        <v>51</v>
      </c>
      <c r="E230" s="3">
        <f>IFERROR(__xludf.DUMMYFUNCTION("""COMPUTED_VALUE"""),96.0)</f>
        <v>96</v>
      </c>
      <c r="F230" s="3">
        <f>IFERROR(__xludf.DUMMYFUNCTION("SPLIT(C230, ""-"")"),14.0)</f>
        <v>14</v>
      </c>
      <c r="G230" s="3">
        <f>IFERROR(__xludf.DUMMYFUNCTION("""COMPUTED_VALUE"""),96.0)</f>
        <v>96</v>
      </c>
      <c r="I230" s="3" t="str">
        <f t="shared" si="1"/>
        <v/>
      </c>
      <c r="J230" s="3" t="str">
        <f t="shared" si="2"/>
        <v>y</v>
      </c>
      <c r="K230" s="3" t="str">
        <f t="shared" si="3"/>
        <v>y</v>
      </c>
      <c r="L230" s="3" t="str">
        <f t="shared" si="4"/>
        <v>y</v>
      </c>
      <c r="N230" s="3" t="str">
        <f t="shared" si="5"/>
        <v/>
      </c>
      <c r="O230" s="3">
        <f t="shared" si="6"/>
        <v>1</v>
      </c>
      <c r="Q230" s="3">
        <f t="shared" si="7"/>
        <v>1</v>
      </c>
      <c r="U230" s="3" t="str">
        <f t="shared" si="8"/>
        <v>Överlapp</v>
      </c>
      <c r="V230" s="3" t="str">
        <f t="shared" si="9"/>
        <v>Överlapp</v>
      </c>
      <c r="W230" s="3" t="str">
        <f t="shared" si="10"/>
        <v>Överlapp</v>
      </c>
      <c r="X230" s="3" t="str">
        <f t="shared" si="11"/>
        <v/>
      </c>
    </row>
    <row r="231">
      <c r="A231" s="1" t="s">
        <v>237</v>
      </c>
      <c r="B231" s="3" t="str">
        <f>IFERROR(__xludf.DUMMYFUNCTION("SPLIT(A231, "","")"),"77-80")</f>
        <v>77-80</v>
      </c>
      <c r="C231" s="3" t="str">
        <f>IFERROR(__xludf.DUMMYFUNCTION("""COMPUTED_VALUE"""),"41-70")</f>
        <v>41-70</v>
      </c>
      <c r="D231" s="3">
        <f>IFERROR(__xludf.DUMMYFUNCTION("SPLIT(B231, ""-"")"),77.0)</f>
        <v>77</v>
      </c>
      <c r="E231" s="3">
        <f>IFERROR(__xludf.DUMMYFUNCTION("""COMPUTED_VALUE"""),80.0)</f>
        <v>80</v>
      </c>
      <c r="F231" s="3">
        <f>IFERROR(__xludf.DUMMYFUNCTION("SPLIT(C231, ""-"")"),41.0)</f>
        <v>41</v>
      </c>
      <c r="G231" s="3">
        <f>IFERROR(__xludf.DUMMYFUNCTION("""COMPUTED_VALUE"""),70.0)</f>
        <v>70</v>
      </c>
      <c r="I231" s="3" t="str">
        <f t="shared" si="1"/>
        <v/>
      </c>
      <c r="J231" s="3" t="str">
        <f t="shared" si="2"/>
        <v>y</v>
      </c>
      <c r="K231" s="3" t="str">
        <f t="shared" si="3"/>
        <v>y</v>
      </c>
      <c r="L231" s="3" t="str">
        <f t="shared" si="4"/>
        <v/>
      </c>
      <c r="N231" s="3" t="str">
        <f t="shared" si="5"/>
        <v/>
      </c>
      <c r="O231" s="3" t="str">
        <f t="shared" si="6"/>
        <v/>
      </c>
      <c r="Q231" s="3" t="str">
        <f t="shared" si="7"/>
        <v/>
      </c>
      <c r="U231" s="3">
        <f t="shared" si="8"/>
        <v>1</v>
      </c>
      <c r="V231" s="3" t="str">
        <f t="shared" si="9"/>
        <v>Överlapp</v>
      </c>
      <c r="W231" s="3">
        <f t="shared" si="10"/>
        <v>1</v>
      </c>
      <c r="X231" s="3">
        <f t="shared" si="11"/>
        <v>1</v>
      </c>
    </row>
    <row r="232">
      <c r="A232" s="1" t="s">
        <v>238</v>
      </c>
      <c r="B232" s="3" t="str">
        <f>IFERROR(__xludf.DUMMYFUNCTION("SPLIT(A232, "","")"),"95-96")</f>
        <v>95-96</v>
      </c>
      <c r="C232" s="3" t="str">
        <f>IFERROR(__xludf.DUMMYFUNCTION("""COMPUTED_VALUE"""),"94-97")</f>
        <v>94-97</v>
      </c>
      <c r="D232" s="3">
        <f>IFERROR(__xludf.DUMMYFUNCTION("SPLIT(B232, ""-"")"),95.0)</f>
        <v>95</v>
      </c>
      <c r="E232" s="3">
        <f>IFERROR(__xludf.DUMMYFUNCTION("""COMPUTED_VALUE"""),96.0)</f>
        <v>96</v>
      </c>
      <c r="F232" s="3">
        <f>IFERROR(__xludf.DUMMYFUNCTION("SPLIT(C232, ""-"")"),94.0)</f>
        <v>94</v>
      </c>
      <c r="G232" s="3">
        <f>IFERROR(__xludf.DUMMYFUNCTION("""COMPUTED_VALUE"""),97.0)</f>
        <v>97</v>
      </c>
      <c r="I232" s="3" t="str">
        <f t="shared" si="1"/>
        <v/>
      </c>
      <c r="J232" s="3" t="str">
        <f t="shared" si="2"/>
        <v/>
      </c>
      <c r="K232" s="3" t="str">
        <f t="shared" si="3"/>
        <v>y</v>
      </c>
      <c r="L232" s="3" t="str">
        <f t="shared" si="4"/>
        <v>y</v>
      </c>
      <c r="N232" s="3" t="str">
        <f t="shared" si="5"/>
        <v/>
      </c>
      <c r="O232" s="3">
        <f t="shared" si="6"/>
        <v>1</v>
      </c>
      <c r="Q232" s="3">
        <f t="shared" si="7"/>
        <v>1</v>
      </c>
      <c r="U232" s="3">
        <f t="shared" si="8"/>
        <v>1</v>
      </c>
      <c r="V232" s="3" t="str">
        <f t="shared" si="9"/>
        <v>Överlapp</v>
      </c>
      <c r="W232" s="3" t="str">
        <f t="shared" si="10"/>
        <v>Överlapp</v>
      </c>
      <c r="X232" s="3" t="str">
        <f t="shared" si="11"/>
        <v/>
      </c>
    </row>
    <row r="233">
      <c r="A233" s="1" t="s">
        <v>239</v>
      </c>
      <c r="B233" s="3" t="str">
        <f>IFERROR(__xludf.DUMMYFUNCTION("SPLIT(A233, "","")"),"57-68")</f>
        <v>57-68</v>
      </c>
      <c r="C233" s="3" t="str">
        <f>IFERROR(__xludf.DUMMYFUNCTION("""COMPUTED_VALUE"""),"58-69")</f>
        <v>58-69</v>
      </c>
      <c r="D233" s="3">
        <f>IFERROR(__xludf.DUMMYFUNCTION("SPLIT(B233, ""-"")"),57.0)</f>
        <v>57</v>
      </c>
      <c r="E233" s="3">
        <f>IFERROR(__xludf.DUMMYFUNCTION("""COMPUTED_VALUE"""),68.0)</f>
        <v>68</v>
      </c>
      <c r="F233" s="3">
        <f>IFERROR(__xludf.DUMMYFUNCTION("SPLIT(C233, ""-"")"),58.0)</f>
        <v>58</v>
      </c>
      <c r="G233" s="3">
        <f>IFERROR(__xludf.DUMMYFUNCTION("""COMPUTED_VALUE"""),69.0)</f>
        <v>69</v>
      </c>
      <c r="I233" s="3" t="str">
        <f t="shared" si="1"/>
        <v>y</v>
      </c>
      <c r="J233" s="3" t="str">
        <f t="shared" si="2"/>
        <v/>
      </c>
      <c r="K233" s="3" t="str">
        <f t="shared" si="3"/>
        <v/>
      </c>
      <c r="L233" s="3" t="str">
        <f t="shared" si="4"/>
        <v>y</v>
      </c>
      <c r="N233" s="3" t="str">
        <f t="shared" si="5"/>
        <v/>
      </c>
      <c r="O233" s="3" t="str">
        <f t="shared" si="6"/>
        <v/>
      </c>
      <c r="Q233" s="3" t="str">
        <f t="shared" si="7"/>
        <v/>
      </c>
      <c r="U233" s="3">
        <f t="shared" si="8"/>
        <v>1</v>
      </c>
      <c r="V233" s="3" t="str">
        <f t="shared" si="9"/>
        <v>Överlapp</v>
      </c>
      <c r="W233" s="3" t="str">
        <f t="shared" si="10"/>
        <v>Överlapp</v>
      </c>
      <c r="X233" s="3" t="str">
        <f t="shared" si="11"/>
        <v/>
      </c>
    </row>
    <row r="234">
      <c r="A234" s="1" t="s">
        <v>240</v>
      </c>
      <c r="B234" s="3" t="str">
        <f>IFERROR(__xludf.DUMMYFUNCTION("SPLIT(A234, "","")"),"73-95")</f>
        <v>73-95</v>
      </c>
      <c r="C234" s="3" t="str">
        <f>IFERROR(__xludf.DUMMYFUNCTION("""COMPUTED_VALUE"""),"66-74")</f>
        <v>66-74</v>
      </c>
      <c r="D234" s="3">
        <f>IFERROR(__xludf.DUMMYFUNCTION("SPLIT(B234, ""-"")"),73.0)</f>
        <v>73</v>
      </c>
      <c r="E234" s="3">
        <f>IFERROR(__xludf.DUMMYFUNCTION("""COMPUTED_VALUE"""),95.0)</f>
        <v>95</v>
      </c>
      <c r="F234" s="3">
        <f>IFERROR(__xludf.DUMMYFUNCTION("SPLIT(C234, ""-"")"),66.0)</f>
        <v>66</v>
      </c>
      <c r="G234" s="3">
        <f>IFERROR(__xludf.DUMMYFUNCTION("""COMPUTED_VALUE"""),74.0)</f>
        <v>74</v>
      </c>
      <c r="I234" s="3" t="str">
        <f t="shared" si="1"/>
        <v/>
      </c>
      <c r="J234" s="3" t="str">
        <f t="shared" si="2"/>
        <v>y</v>
      </c>
      <c r="K234" s="3" t="str">
        <f t="shared" si="3"/>
        <v>y</v>
      </c>
      <c r="L234" s="3" t="str">
        <f t="shared" si="4"/>
        <v/>
      </c>
      <c r="N234" s="3" t="str">
        <f t="shared" si="5"/>
        <v/>
      </c>
      <c r="O234" s="3" t="str">
        <f t="shared" si="6"/>
        <v/>
      </c>
      <c r="Q234" s="3" t="str">
        <f t="shared" si="7"/>
        <v/>
      </c>
      <c r="U234" s="3">
        <f t="shared" si="8"/>
        <v>1</v>
      </c>
      <c r="V234" s="3" t="str">
        <f t="shared" si="9"/>
        <v>Överlapp</v>
      </c>
      <c r="W234" s="3" t="str">
        <f t="shared" si="10"/>
        <v>Överlapp</v>
      </c>
      <c r="X234" s="3" t="str">
        <f t="shared" si="11"/>
        <v/>
      </c>
    </row>
    <row r="235">
      <c r="A235" s="1" t="s">
        <v>241</v>
      </c>
      <c r="B235" s="3" t="str">
        <f>IFERROR(__xludf.DUMMYFUNCTION("SPLIT(A235, "","")"),"27-45")</f>
        <v>27-45</v>
      </c>
      <c r="C235" s="3" t="str">
        <f>IFERROR(__xludf.DUMMYFUNCTION("""COMPUTED_VALUE"""),"46-60")</f>
        <v>46-60</v>
      </c>
      <c r="D235" s="3">
        <f>IFERROR(__xludf.DUMMYFUNCTION("SPLIT(B235, ""-"")"),27.0)</f>
        <v>27</v>
      </c>
      <c r="E235" s="3">
        <f>IFERROR(__xludf.DUMMYFUNCTION("""COMPUTED_VALUE"""),45.0)</f>
        <v>45</v>
      </c>
      <c r="F235" s="3">
        <f>IFERROR(__xludf.DUMMYFUNCTION("SPLIT(C235, ""-"")"),46.0)</f>
        <v>46</v>
      </c>
      <c r="G235" s="3">
        <f>IFERROR(__xludf.DUMMYFUNCTION("""COMPUTED_VALUE"""),60.0)</f>
        <v>60</v>
      </c>
      <c r="I235" s="3" t="str">
        <f t="shared" si="1"/>
        <v>y</v>
      </c>
      <c r="J235" s="3" t="str">
        <f t="shared" si="2"/>
        <v/>
      </c>
      <c r="K235" s="3" t="str">
        <f t="shared" si="3"/>
        <v/>
      </c>
      <c r="L235" s="3" t="str">
        <f t="shared" si="4"/>
        <v>y</v>
      </c>
      <c r="N235" s="3" t="str">
        <f t="shared" si="5"/>
        <v/>
      </c>
      <c r="O235" s="3" t="str">
        <f t="shared" si="6"/>
        <v/>
      </c>
      <c r="Q235" s="3" t="str">
        <f t="shared" si="7"/>
        <v/>
      </c>
      <c r="U235" s="3">
        <f t="shared" si="8"/>
        <v>1</v>
      </c>
      <c r="V235" s="3">
        <f t="shared" si="9"/>
        <v>1</v>
      </c>
      <c r="W235" s="3" t="str">
        <f t="shared" si="10"/>
        <v>Överlapp</v>
      </c>
      <c r="X235" s="3">
        <f t="shared" si="11"/>
        <v>1</v>
      </c>
    </row>
    <row r="236">
      <c r="A236" s="1" t="s">
        <v>242</v>
      </c>
      <c r="B236" s="3" t="str">
        <f>IFERROR(__xludf.DUMMYFUNCTION("SPLIT(A236, "","")"),"3-16")</f>
        <v>3-16</v>
      </c>
      <c r="C236" s="3" t="str">
        <f>IFERROR(__xludf.DUMMYFUNCTION("""COMPUTED_VALUE"""),"13-27")</f>
        <v>13-27</v>
      </c>
      <c r="D236" s="3">
        <f>IFERROR(__xludf.DUMMYFUNCTION("SPLIT(B236, ""-"")"),3.0)</f>
        <v>3</v>
      </c>
      <c r="E236" s="3">
        <f>IFERROR(__xludf.DUMMYFUNCTION("""COMPUTED_VALUE"""),16.0)</f>
        <v>16</v>
      </c>
      <c r="F236" s="3">
        <f>IFERROR(__xludf.DUMMYFUNCTION("SPLIT(C236, ""-"")"),13.0)</f>
        <v>13</v>
      </c>
      <c r="G236" s="3">
        <f>IFERROR(__xludf.DUMMYFUNCTION("""COMPUTED_VALUE"""),27.0)</f>
        <v>27</v>
      </c>
      <c r="I236" s="3" t="str">
        <f t="shared" si="1"/>
        <v>y</v>
      </c>
      <c r="J236" s="3" t="str">
        <f t="shared" si="2"/>
        <v/>
      </c>
      <c r="K236" s="3" t="str">
        <f t="shared" si="3"/>
        <v/>
      </c>
      <c r="L236" s="3" t="str">
        <f t="shared" si="4"/>
        <v>y</v>
      </c>
      <c r="N236" s="3" t="str">
        <f t="shared" si="5"/>
        <v/>
      </c>
      <c r="O236" s="3" t="str">
        <f t="shared" si="6"/>
        <v/>
      </c>
      <c r="Q236" s="3" t="str">
        <f t="shared" si="7"/>
        <v/>
      </c>
      <c r="U236" s="3">
        <f t="shared" si="8"/>
        <v>1</v>
      </c>
      <c r="V236" s="3" t="str">
        <f t="shared" si="9"/>
        <v>Överlapp</v>
      </c>
      <c r="W236" s="3" t="str">
        <f t="shared" si="10"/>
        <v>Överlapp</v>
      </c>
      <c r="X236" s="3" t="str">
        <f t="shared" si="11"/>
        <v/>
      </c>
    </row>
    <row r="237">
      <c r="A237" s="1" t="s">
        <v>243</v>
      </c>
      <c r="B237" s="3" t="str">
        <f>IFERROR(__xludf.DUMMYFUNCTION("SPLIT(A237, "","")"),"2-82")</f>
        <v>2-82</v>
      </c>
      <c r="C237" s="3" t="str">
        <f>IFERROR(__xludf.DUMMYFUNCTION("""COMPUTED_VALUE"""),"2-83")</f>
        <v>2-83</v>
      </c>
      <c r="D237" s="3">
        <f>IFERROR(__xludf.DUMMYFUNCTION("SPLIT(B237, ""-"")"),2.0)</f>
        <v>2</v>
      </c>
      <c r="E237" s="3">
        <f>IFERROR(__xludf.DUMMYFUNCTION("""COMPUTED_VALUE"""),82.0)</f>
        <v>82</v>
      </c>
      <c r="F237" s="3">
        <f>IFERROR(__xludf.DUMMYFUNCTION("SPLIT(C237, ""-"")"),2.0)</f>
        <v>2</v>
      </c>
      <c r="G237" s="3">
        <f>IFERROR(__xludf.DUMMYFUNCTION("""COMPUTED_VALUE"""),83.0)</f>
        <v>83</v>
      </c>
      <c r="I237" s="3" t="str">
        <f t="shared" si="1"/>
        <v>y</v>
      </c>
      <c r="J237" s="3" t="str">
        <f t="shared" si="2"/>
        <v/>
      </c>
      <c r="K237" s="3" t="str">
        <f t="shared" si="3"/>
        <v>y</v>
      </c>
      <c r="L237" s="3" t="str">
        <f t="shared" si="4"/>
        <v>y</v>
      </c>
      <c r="N237" s="3" t="str">
        <f t="shared" si="5"/>
        <v/>
      </c>
      <c r="O237" s="3">
        <f t="shared" si="6"/>
        <v>1</v>
      </c>
      <c r="Q237" s="3">
        <f t="shared" si="7"/>
        <v>1</v>
      </c>
      <c r="U237" s="3" t="str">
        <f t="shared" si="8"/>
        <v>Överlapp</v>
      </c>
      <c r="V237" s="3" t="str">
        <f t="shared" si="9"/>
        <v>Överlapp</v>
      </c>
      <c r="W237" s="3" t="str">
        <f t="shared" si="10"/>
        <v>Överlapp</v>
      </c>
      <c r="X237" s="3" t="str">
        <f t="shared" si="11"/>
        <v/>
      </c>
    </row>
    <row r="238">
      <c r="A238" s="1" t="s">
        <v>244</v>
      </c>
      <c r="B238" s="3" t="str">
        <f>IFERROR(__xludf.DUMMYFUNCTION("SPLIT(A238, "","")"),"17-92")</f>
        <v>17-92</v>
      </c>
      <c r="C238" s="3" t="str">
        <f>IFERROR(__xludf.DUMMYFUNCTION("""COMPUTED_VALUE"""),"17-95")</f>
        <v>17-95</v>
      </c>
      <c r="D238" s="3">
        <f>IFERROR(__xludf.DUMMYFUNCTION("SPLIT(B238, ""-"")"),17.0)</f>
        <v>17</v>
      </c>
      <c r="E238" s="3">
        <f>IFERROR(__xludf.DUMMYFUNCTION("""COMPUTED_VALUE"""),92.0)</f>
        <v>92</v>
      </c>
      <c r="F238" s="3">
        <f>IFERROR(__xludf.DUMMYFUNCTION("SPLIT(C238, ""-"")"),17.0)</f>
        <v>17</v>
      </c>
      <c r="G238" s="3">
        <f>IFERROR(__xludf.DUMMYFUNCTION("""COMPUTED_VALUE"""),95.0)</f>
        <v>95</v>
      </c>
      <c r="I238" s="3" t="str">
        <f t="shared" si="1"/>
        <v>y</v>
      </c>
      <c r="J238" s="3" t="str">
        <f t="shared" si="2"/>
        <v/>
      </c>
      <c r="K238" s="3" t="str">
        <f t="shared" si="3"/>
        <v>y</v>
      </c>
      <c r="L238" s="3" t="str">
        <f t="shared" si="4"/>
        <v>y</v>
      </c>
      <c r="N238" s="3" t="str">
        <f t="shared" si="5"/>
        <v/>
      </c>
      <c r="O238" s="3">
        <f t="shared" si="6"/>
        <v>1</v>
      </c>
      <c r="Q238" s="3">
        <f t="shared" si="7"/>
        <v>1</v>
      </c>
      <c r="U238" s="3" t="str">
        <f t="shared" si="8"/>
        <v>Överlapp</v>
      </c>
      <c r="V238" s="3" t="str">
        <f t="shared" si="9"/>
        <v>Överlapp</v>
      </c>
      <c r="W238" s="3" t="str">
        <f t="shared" si="10"/>
        <v>Överlapp</v>
      </c>
      <c r="X238" s="3" t="str">
        <f t="shared" si="11"/>
        <v/>
      </c>
    </row>
    <row r="239">
      <c r="A239" s="1" t="s">
        <v>245</v>
      </c>
      <c r="B239" s="3" t="str">
        <f>IFERROR(__xludf.DUMMYFUNCTION("SPLIT(A239, "","")"),"16-34")</f>
        <v>16-34</v>
      </c>
      <c r="C239" s="3" t="str">
        <f>IFERROR(__xludf.DUMMYFUNCTION("""COMPUTED_VALUE"""),"20-70")</f>
        <v>20-70</v>
      </c>
      <c r="D239" s="3">
        <f>IFERROR(__xludf.DUMMYFUNCTION("SPLIT(B239, ""-"")"),16.0)</f>
        <v>16</v>
      </c>
      <c r="E239" s="3">
        <f>IFERROR(__xludf.DUMMYFUNCTION("""COMPUTED_VALUE"""),34.0)</f>
        <v>34</v>
      </c>
      <c r="F239" s="3">
        <f>IFERROR(__xludf.DUMMYFUNCTION("SPLIT(C239, ""-"")"),20.0)</f>
        <v>20</v>
      </c>
      <c r="G239" s="3">
        <f>IFERROR(__xludf.DUMMYFUNCTION("""COMPUTED_VALUE"""),70.0)</f>
        <v>70</v>
      </c>
      <c r="I239" s="3" t="str">
        <f t="shared" si="1"/>
        <v>y</v>
      </c>
      <c r="J239" s="3" t="str">
        <f t="shared" si="2"/>
        <v/>
      </c>
      <c r="K239" s="3" t="str">
        <f t="shared" si="3"/>
        <v/>
      </c>
      <c r="L239" s="3" t="str">
        <f t="shared" si="4"/>
        <v>y</v>
      </c>
      <c r="N239" s="3" t="str">
        <f t="shared" si="5"/>
        <v/>
      </c>
      <c r="O239" s="3" t="str">
        <f t="shared" si="6"/>
        <v/>
      </c>
      <c r="Q239" s="3" t="str">
        <f t="shared" si="7"/>
        <v/>
      </c>
      <c r="U239" s="3">
        <f t="shared" si="8"/>
        <v>1</v>
      </c>
      <c r="V239" s="3" t="str">
        <f t="shared" si="9"/>
        <v>Överlapp</v>
      </c>
      <c r="W239" s="3" t="str">
        <f t="shared" si="10"/>
        <v>Överlapp</v>
      </c>
      <c r="X239" s="3" t="str">
        <f t="shared" si="11"/>
        <v/>
      </c>
    </row>
    <row r="240">
      <c r="A240" s="1" t="s">
        <v>246</v>
      </c>
      <c r="B240" s="3" t="str">
        <f>IFERROR(__xludf.DUMMYFUNCTION("SPLIT(A240, "","")"),"25-97")</f>
        <v>25-97</v>
      </c>
      <c r="C240" s="3" t="str">
        <f>IFERROR(__xludf.DUMMYFUNCTION("""COMPUTED_VALUE"""),"3-98")</f>
        <v>3-98</v>
      </c>
      <c r="D240" s="3">
        <f>IFERROR(__xludf.DUMMYFUNCTION("SPLIT(B240, ""-"")"),25.0)</f>
        <v>25</v>
      </c>
      <c r="E240" s="3">
        <f>IFERROR(__xludf.DUMMYFUNCTION("""COMPUTED_VALUE"""),97.0)</f>
        <v>97</v>
      </c>
      <c r="F240" s="3">
        <f>IFERROR(__xludf.DUMMYFUNCTION("SPLIT(C240, ""-"")"),3.0)</f>
        <v>3</v>
      </c>
      <c r="G240" s="3">
        <f>IFERROR(__xludf.DUMMYFUNCTION("""COMPUTED_VALUE"""),98.0)</f>
        <v>98</v>
      </c>
      <c r="I240" s="3" t="str">
        <f t="shared" si="1"/>
        <v/>
      </c>
      <c r="J240" s="3" t="str">
        <f t="shared" si="2"/>
        <v/>
      </c>
      <c r="K240" s="3" t="str">
        <f t="shared" si="3"/>
        <v>y</v>
      </c>
      <c r="L240" s="3" t="str">
        <f t="shared" si="4"/>
        <v>y</v>
      </c>
      <c r="N240" s="3" t="str">
        <f t="shared" si="5"/>
        <v/>
      </c>
      <c r="O240" s="3">
        <f t="shared" si="6"/>
        <v>1</v>
      </c>
      <c r="Q240" s="3">
        <f t="shared" si="7"/>
        <v>1</v>
      </c>
      <c r="U240" s="3">
        <f t="shared" si="8"/>
        <v>1</v>
      </c>
      <c r="V240" s="3" t="str">
        <f t="shared" si="9"/>
        <v>Överlapp</v>
      </c>
      <c r="W240" s="3" t="str">
        <f t="shared" si="10"/>
        <v>Överlapp</v>
      </c>
      <c r="X240" s="3" t="str">
        <f t="shared" si="11"/>
        <v/>
      </c>
    </row>
    <row r="241">
      <c r="A241" s="1" t="s">
        <v>247</v>
      </c>
      <c r="B241" s="3" t="str">
        <f>IFERROR(__xludf.DUMMYFUNCTION("SPLIT(A241, "","")"),"3-91")</f>
        <v>3-91</v>
      </c>
      <c r="C241" s="3" t="str">
        <f>IFERROR(__xludf.DUMMYFUNCTION("""COMPUTED_VALUE"""),"4-91")</f>
        <v>4-91</v>
      </c>
      <c r="D241" s="3">
        <f>IFERROR(__xludf.DUMMYFUNCTION("SPLIT(B241, ""-"")"),3.0)</f>
        <v>3</v>
      </c>
      <c r="E241" s="3">
        <f>IFERROR(__xludf.DUMMYFUNCTION("""COMPUTED_VALUE"""),91.0)</f>
        <v>91</v>
      </c>
      <c r="F241" s="3">
        <f>IFERROR(__xludf.DUMMYFUNCTION("SPLIT(C241, ""-"")"),4.0)</f>
        <v>4</v>
      </c>
      <c r="G241" s="3">
        <f>IFERROR(__xludf.DUMMYFUNCTION("""COMPUTED_VALUE"""),91.0)</f>
        <v>91</v>
      </c>
      <c r="I241" s="3" t="str">
        <f t="shared" si="1"/>
        <v>y</v>
      </c>
      <c r="J241" s="3" t="str">
        <f t="shared" si="2"/>
        <v>y</v>
      </c>
      <c r="K241" s="3" t="str">
        <f t="shared" si="3"/>
        <v/>
      </c>
      <c r="L241" s="3" t="str">
        <f t="shared" si="4"/>
        <v>y</v>
      </c>
      <c r="N241" s="3">
        <f t="shared" si="5"/>
        <v>1</v>
      </c>
      <c r="O241" s="3" t="str">
        <f t="shared" si="6"/>
        <v/>
      </c>
      <c r="Q241" s="3">
        <f t="shared" si="7"/>
        <v>1</v>
      </c>
      <c r="U241" s="3" t="str">
        <f t="shared" si="8"/>
        <v>Överlapp</v>
      </c>
      <c r="V241" s="3" t="str">
        <f t="shared" si="9"/>
        <v>Överlapp</v>
      </c>
      <c r="W241" s="3" t="str">
        <f t="shared" si="10"/>
        <v>Överlapp</v>
      </c>
      <c r="X241" s="3" t="str">
        <f t="shared" si="11"/>
        <v/>
      </c>
    </row>
    <row r="242">
      <c r="A242" s="1" t="s">
        <v>51</v>
      </c>
      <c r="B242" s="3" t="str">
        <f>IFERROR(__xludf.DUMMYFUNCTION("SPLIT(A242, "","")"),"16-99")</f>
        <v>16-99</v>
      </c>
      <c r="C242" s="3" t="str">
        <f>IFERROR(__xludf.DUMMYFUNCTION("""COMPUTED_VALUE"""),"15-97")</f>
        <v>15-97</v>
      </c>
      <c r="D242" s="3">
        <f>IFERROR(__xludf.DUMMYFUNCTION("SPLIT(B242, ""-"")"),16.0)</f>
        <v>16</v>
      </c>
      <c r="E242" s="3">
        <f>IFERROR(__xludf.DUMMYFUNCTION("""COMPUTED_VALUE"""),99.0)</f>
        <v>99</v>
      </c>
      <c r="F242" s="3">
        <f>IFERROR(__xludf.DUMMYFUNCTION("SPLIT(C242, ""-"")"),15.0)</f>
        <v>15</v>
      </c>
      <c r="G242" s="3">
        <f>IFERROR(__xludf.DUMMYFUNCTION("""COMPUTED_VALUE"""),97.0)</f>
        <v>97</v>
      </c>
      <c r="I242" s="3" t="str">
        <f t="shared" si="1"/>
        <v/>
      </c>
      <c r="J242" s="3" t="str">
        <f t="shared" si="2"/>
        <v>y</v>
      </c>
      <c r="K242" s="3" t="str">
        <f t="shared" si="3"/>
        <v>y</v>
      </c>
      <c r="L242" s="3" t="str">
        <f t="shared" si="4"/>
        <v/>
      </c>
      <c r="N242" s="3" t="str">
        <f t="shared" si="5"/>
        <v/>
      </c>
      <c r="O242" s="3" t="str">
        <f t="shared" si="6"/>
        <v/>
      </c>
      <c r="Q242" s="3" t="str">
        <f t="shared" si="7"/>
        <v/>
      </c>
      <c r="U242" s="3">
        <f t="shared" si="8"/>
        <v>1</v>
      </c>
      <c r="V242" s="3" t="str">
        <f t="shared" si="9"/>
        <v>Överlapp</v>
      </c>
      <c r="W242" s="3" t="str">
        <f t="shared" si="10"/>
        <v>Överlapp</v>
      </c>
      <c r="X242" s="3" t="str">
        <f t="shared" si="11"/>
        <v/>
      </c>
    </row>
    <row r="243">
      <c r="A243" s="1" t="s">
        <v>248</v>
      </c>
      <c r="B243" s="3" t="str">
        <f>IFERROR(__xludf.DUMMYFUNCTION("SPLIT(A243, "","")"),"20-99")</f>
        <v>20-99</v>
      </c>
      <c r="C243" s="3" t="str">
        <f>IFERROR(__xludf.DUMMYFUNCTION("""COMPUTED_VALUE"""),"2-99")</f>
        <v>2-99</v>
      </c>
      <c r="D243" s="3">
        <f>IFERROR(__xludf.DUMMYFUNCTION("SPLIT(B243, ""-"")"),20.0)</f>
        <v>20</v>
      </c>
      <c r="E243" s="3">
        <f>IFERROR(__xludf.DUMMYFUNCTION("""COMPUTED_VALUE"""),99.0)</f>
        <v>99</v>
      </c>
      <c r="F243" s="3">
        <f>IFERROR(__xludf.DUMMYFUNCTION("SPLIT(C243, ""-"")"),2.0)</f>
        <v>2</v>
      </c>
      <c r="G243" s="3">
        <f>IFERROR(__xludf.DUMMYFUNCTION("""COMPUTED_VALUE"""),99.0)</f>
        <v>99</v>
      </c>
      <c r="I243" s="3" t="str">
        <f t="shared" si="1"/>
        <v/>
      </c>
      <c r="J243" s="3" t="str">
        <f t="shared" si="2"/>
        <v>y</v>
      </c>
      <c r="K243" s="3" t="str">
        <f t="shared" si="3"/>
        <v>y</v>
      </c>
      <c r="L243" s="3" t="str">
        <f t="shared" si="4"/>
        <v>y</v>
      </c>
      <c r="N243" s="3" t="str">
        <f t="shared" si="5"/>
        <v/>
      </c>
      <c r="O243" s="3">
        <f t="shared" si="6"/>
        <v>1</v>
      </c>
      <c r="Q243" s="3">
        <f t="shared" si="7"/>
        <v>1</v>
      </c>
      <c r="U243" s="3" t="str">
        <f t="shared" si="8"/>
        <v>Överlapp</v>
      </c>
      <c r="V243" s="3" t="str">
        <f t="shared" si="9"/>
        <v>Överlapp</v>
      </c>
      <c r="W243" s="3" t="str">
        <f t="shared" si="10"/>
        <v>Överlapp</v>
      </c>
      <c r="X243" s="3" t="str">
        <f t="shared" si="11"/>
        <v/>
      </c>
    </row>
    <row r="244">
      <c r="A244" s="1" t="s">
        <v>249</v>
      </c>
      <c r="B244" s="3" t="str">
        <f>IFERROR(__xludf.DUMMYFUNCTION("SPLIT(A244, "","")"),"78-89")</f>
        <v>78-89</v>
      </c>
      <c r="C244" s="3" t="str">
        <f>IFERROR(__xludf.DUMMYFUNCTION("""COMPUTED_VALUE"""),"79-89")</f>
        <v>79-89</v>
      </c>
      <c r="D244" s="3">
        <f>IFERROR(__xludf.DUMMYFUNCTION("SPLIT(B244, ""-"")"),78.0)</f>
        <v>78</v>
      </c>
      <c r="E244" s="3">
        <f>IFERROR(__xludf.DUMMYFUNCTION("""COMPUTED_VALUE"""),89.0)</f>
        <v>89</v>
      </c>
      <c r="F244" s="3">
        <f>IFERROR(__xludf.DUMMYFUNCTION("SPLIT(C244, ""-"")"),79.0)</f>
        <v>79</v>
      </c>
      <c r="G244" s="3">
        <f>IFERROR(__xludf.DUMMYFUNCTION("""COMPUTED_VALUE"""),89.0)</f>
        <v>89</v>
      </c>
      <c r="I244" s="3" t="str">
        <f t="shared" si="1"/>
        <v>y</v>
      </c>
      <c r="J244" s="3" t="str">
        <f t="shared" si="2"/>
        <v>y</v>
      </c>
      <c r="K244" s="3" t="str">
        <f t="shared" si="3"/>
        <v/>
      </c>
      <c r="L244" s="3" t="str">
        <f t="shared" si="4"/>
        <v>y</v>
      </c>
      <c r="N244" s="3">
        <f t="shared" si="5"/>
        <v>1</v>
      </c>
      <c r="O244" s="3" t="str">
        <f t="shared" si="6"/>
        <v/>
      </c>
      <c r="Q244" s="3">
        <f t="shared" si="7"/>
        <v>1</v>
      </c>
      <c r="U244" s="3" t="str">
        <f t="shared" si="8"/>
        <v>Överlapp</v>
      </c>
      <c r="V244" s="3" t="str">
        <f t="shared" si="9"/>
        <v>Överlapp</v>
      </c>
      <c r="W244" s="3" t="str">
        <f t="shared" si="10"/>
        <v>Överlapp</v>
      </c>
      <c r="X244" s="3" t="str">
        <f t="shared" si="11"/>
        <v/>
      </c>
    </row>
    <row r="245">
      <c r="A245" s="1" t="s">
        <v>250</v>
      </c>
      <c r="B245" s="3" t="str">
        <f>IFERROR(__xludf.DUMMYFUNCTION("SPLIT(A245, "","")"),"82-89")</f>
        <v>82-89</v>
      </c>
      <c r="C245" s="3" t="str">
        <f>IFERROR(__xludf.DUMMYFUNCTION("""COMPUTED_VALUE"""),"81-82")</f>
        <v>81-82</v>
      </c>
      <c r="D245" s="3">
        <f>IFERROR(__xludf.DUMMYFUNCTION("SPLIT(B245, ""-"")"),82.0)</f>
        <v>82</v>
      </c>
      <c r="E245" s="3">
        <f>IFERROR(__xludf.DUMMYFUNCTION("""COMPUTED_VALUE"""),89.0)</f>
        <v>89</v>
      </c>
      <c r="F245" s="3">
        <f>IFERROR(__xludf.DUMMYFUNCTION("SPLIT(C245, ""-"")"),81.0)</f>
        <v>81</v>
      </c>
      <c r="G245" s="3">
        <f>IFERROR(__xludf.DUMMYFUNCTION("""COMPUTED_VALUE"""),82.0)</f>
        <v>82</v>
      </c>
      <c r="I245" s="3" t="str">
        <f t="shared" si="1"/>
        <v/>
      </c>
      <c r="J245" s="3" t="str">
        <f t="shared" si="2"/>
        <v>y</v>
      </c>
      <c r="K245" s="3" t="str">
        <f t="shared" si="3"/>
        <v>y</v>
      </c>
      <c r="L245" s="3" t="str">
        <f t="shared" si="4"/>
        <v/>
      </c>
      <c r="N245" s="3" t="str">
        <f t="shared" si="5"/>
        <v/>
      </c>
      <c r="O245" s="3" t="str">
        <f t="shared" si="6"/>
        <v/>
      </c>
      <c r="Q245" s="3" t="str">
        <f t="shared" si="7"/>
        <v/>
      </c>
      <c r="U245" s="3" t="str">
        <f t="shared" si="8"/>
        <v>Överlapp</v>
      </c>
      <c r="V245" s="3" t="str">
        <f t="shared" si="9"/>
        <v>Överlapp</v>
      </c>
      <c r="W245" s="3" t="str">
        <f t="shared" si="10"/>
        <v>Överlapp</v>
      </c>
      <c r="X245" s="3" t="str">
        <f t="shared" si="11"/>
        <v/>
      </c>
    </row>
    <row r="246">
      <c r="A246" s="1" t="s">
        <v>251</v>
      </c>
      <c r="B246" s="3" t="str">
        <f>IFERROR(__xludf.DUMMYFUNCTION("SPLIT(A246, "","")"),"3-40")</f>
        <v>3-40</v>
      </c>
      <c r="C246" s="3" t="str">
        <f>IFERROR(__xludf.DUMMYFUNCTION("""COMPUTED_VALUE"""),"2-19")</f>
        <v>2-19</v>
      </c>
      <c r="D246" s="3">
        <f>IFERROR(__xludf.DUMMYFUNCTION("SPLIT(B246, ""-"")"),3.0)</f>
        <v>3</v>
      </c>
      <c r="E246" s="3">
        <f>IFERROR(__xludf.DUMMYFUNCTION("""COMPUTED_VALUE"""),40.0)</f>
        <v>40</v>
      </c>
      <c r="F246" s="3">
        <f>IFERROR(__xludf.DUMMYFUNCTION("SPLIT(C246, ""-"")"),2.0)</f>
        <v>2</v>
      </c>
      <c r="G246" s="3">
        <f>IFERROR(__xludf.DUMMYFUNCTION("""COMPUTED_VALUE"""),19.0)</f>
        <v>19</v>
      </c>
      <c r="I246" s="3" t="str">
        <f t="shared" si="1"/>
        <v/>
      </c>
      <c r="J246" s="3" t="str">
        <f t="shared" si="2"/>
        <v>y</v>
      </c>
      <c r="K246" s="3" t="str">
        <f t="shared" si="3"/>
        <v>y</v>
      </c>
      <c r="L246" s="3" t="str">
        <f t="shared" si="4"/>
        <v/>
      </c>
      <c r="N246" s="3" t="str">
        <f t="shared" si="5"/>
        <v/>
      </c>
      <c r="O246" s="3" t="str">
        <f t="shared" si="6"/>
        <v/>
      </c>
      <c r="Q246" s="3" t="str">
        <f t="shared" si="7"/>
        <v/>
      </c>
      <c r="U246" s="3">
        <f t="shared" si="8"/>
        <v>1</v>
      </c>
      <c r="V246" s="3" t="str">
        <f t="shared" si="9"/>
        <v>Överlapp</v>
      </c>
      <c r="W246" s="3" t="str">
        <f t="shared" si="10"/>
        <v>Överlapp</v>
      </c>
      <c r="X246" s="3" t="str">
        <f t="shared" si="11"/>
        <v/>
      </c>
    </row>
    <row r="247">
      <c r="A247" s="1" t="s">
        <v>252</v>
      </c>
      <c r="B247" s="3" t="str">
        <f>IFERROR(__xludf.DUMMYFUNCTION("SPLIT(A247, "","")"),"97-98")</f>
        <v>97-98</v>
      </c>
      <c r="C247" s="3" t="str">
        <f>IFERROR(__xludf.DUMMYFUNCTION("""COMPUTED_VALUE"""),"39-70")</f>
        <v>39-70</v>
      </c>
      <c r="D247" s="3">
        <f>IFERROR(__xludf.DUMMYFUNCTION("SPLIT(B247, ""-"")"),97.0)</f>
        <v>97</v>
      </c>
      <c r="E247" s="3">
        <f>IFERROR(__xludf.DUMMYFUNCTION("""COMPUTED_VALUE"""),98.0)</f>
        <v>98</v>
      </c>
      <c r="F247" s="3">
        <f>IFERROR(__xludf.DUMMYFUNCTION("SPLIT(C247, ""-"")"),39.0)</f>
        <v>39</v>
      </c>
      <c r="G247" s="3">
        <f>IFERROR(__xludf.DUMMYFUNCTION("""COMPUTED_VALUE"""),70.0)</f>
        <v>70</v>
      </c>
      <c r="I247" s="3" t="str">
        <f t="shared" si="1"/>
        <v/>
      </c>
      <c r="J247" s="3" t="str">
        <f t="shared" si="2"/>
        <v>y</v>
      </c>
      <c r="K247" s="3" t="str">
        <f t="shared" si="3"/>
        <v>y</v>
      </c>
      <c r="L247" s="3" t="str">
        <f t="shared" si="4"/>
        <v/>
      </c>
      <c r="N247" s="3" t="str">
        <f t="shared" si="5"/>
        <v/>
      </c>
      <c r="O247" s="3" t="str">
        <f t="shared" si="6"/>
        <v/>
      </c>
      <c r="Q247" s="3" t="str">
        <f t="shared" si="7"/>
        <v/>
      </c>
      <c r="U247" s="3">
        <f t="shared" si="8"/>
        <v>1</v>
      </c>
      <c r="V247" s="3" t="str">
        <f t="shared" si="9"/>
        <v>Överlapp</v>
      </c>
      <c r="W247" s="3">
        <f t="shared" si="10"/>
        <v>1</v>
      </c>
      <c r="X247" s="3">
        <f t="shared" si="11"/>
        <v>1</v>
      </c>
    </row>
    <row r="248">
      <c r="A248" s="1" t="s">
        <v>253</v>
      </c>
      <c r="B248" s="3" t="str">
        <f>IFERROR(__xludf.DUMMYFUNCTION("SPLIT(A248, "","")"),"3-82")</f>
        <v>3-82</v>
      </c>
      <c r="C248" s="3" t="str">
        <f>IFERROR(__xludf.DUMMYFUNCTION("""COMPUTED_VALUE"""),"5-85")</f>
        <v>5-85</v>
      </c>
      <c r="D248" s="3">
        <f>IFERROR(__xludf.DUMMYFUNCTION("SPLIT(B248, ""-"")"),3.0)</f>
        <v>3</v>
      </c>
      <c r="E248" s="3">
        <f>IFERROR(__xludf.DUMMYFUNCTION("""COMPUTED_VALUE"""),82.0)</f>
        <v>82</v>
      </c>
      <c r="F248" s="3">
        <f>IFERROR(__xludf.DUMMYFUNCTION("SPLIT(C248, ""-"")"),5.0)</f>
        <v>5</v>
      </c>
      <c r="G248" s="3">
        <f>IFERROR(__xludf.DUMMYFUNCTION("""COMPUTED_VALUE"""),85.0)</f>
        <v>85</v>
      </c>
      <c r="I248" s="3" t="str">
        <f t="shared" si="1"/>
        <v>y</v>
      </c>
      <c r="J248" s="3" t="str">
        <f t="shared" si="2"/>
        <v/>
      </c>
      <c r="K248" s="3" t="str">
        <f t="shared" si="3"/>
        <v/>
      </c>
      <c r="L248" s="3" t="str">
        <f t="shared" si="4"/>
        <v>y</v>
      </c>
      <c r="N248" s="3" t="str">
        <f t="shared" si="5"/>
        <v/>
      </c>
      <c r="O248" s="3" t="str">
        <f t="shared" si="6"/>
        <v/>
      </c>
      <c r="Q248" s="3" t="str">
        <f t="shared" si="7"/>
        <v/>
      </c>
      <c r="U248" s="3">
        <f t="shared" si="8"/>
        <v>1</v>
      </c>
      <c r="V248" s="3" t="str">
        <f t="shared" si="9"/>
        <v>Överlapp</v>
      </c>
      <c r="W248" s="3" t="str">
        <f t="shared" si="10"/>
        <v>Överlapp</v>
      </c>
      <c r="X248" s="3" t="str">
        <f t="shared" si="11"/>
        <v/>
      </c>
    </row>
    <row r="249">
      <c r="A249" s="1" t="s">
        <v>254</v>
      </c>
      <c r="B249" s="3" t="str">
        <f>IFERROR(__xludf.DUMMYFUNCTION("SPLIT(A249, "","")"),"8-15")</f>
        <v>8-15</v>
      </c>
      <c r="C249" s="4">
        <f>IFERROR(__xludf.DUMMYFUNCTION("""COMPUTED_VALUE"""),44872.0)</f>
        <v>44872</v>
      </c>
      <c r="D249" s="3">
        <f>IFERROR(__xludf.DUMMYFUNCTION("SPLIT(B249, ""-"")"),8.0)</f>
        <v>8</v>
      </c>
      <c r="E249" s="3">
        <f>IFERROR(__xludf.DUMMYFUNCTION("""COMPUTED_VALUE"""),15.0)</f>
        <v>15</v>
      </c>
      <c r="F249" s="3">
        <f>IFERROR(__xludf.DUMMYFUNCTION("SPLIT(C249, ""-"")"),7.0)</f>
        <v>7</v>
      </c>
      <c r="G249" s="3">
        <f>IFERROR(__xludf.DUMMYFUNCTION("""COMPUTED_VALUE"""),11.0)</f>
        <v>11</v>
      </c>
      <c r="I249" s="3" t="str">
        <f t="shared" si="1"/>
        <v/>
      </c>
      <c r="J249" s="3" t="str">
        <f t="shared" si="2"/>
        <v>y</v>
      </c>
      <c r="K249" s="3" t="str">
        <f t="shared" si="3"/>
        <v>y</v>
      </c>
      <c r="L249" s="3" t="str">
        <f t="shared" si="4"/>
        <v/>
      </c>
      <c r="N249" s="3" t="str">
        <f t="shared" si="5"/>
        <v/>
      </c>
      <c r="O249" s="3" t="str">
        <f t="shared" si="6"/>
        <v/>
      </c>
      <c r="Q249" s="3" t="str">
        <f t="shared" si="7"/>
        <v/>
      </c>
      <c r="U249" s="3">
        <f t="shared" si="8"/>
        <v>1</v>
      </c>
      <c r="V249" s="3" t="str">
        <f t="shared" si="9"/>
        <v>Överlapp</v>
      </c>
      <c r="W249" s="3" t="str">
        <f t="shared" si="10"/>
        <v>Överlapp</v>
      </c>
      <c r="X249" s="3" t="str">
        <f t="shared" si="11"/>
        <v/>
      </c>
    </row>
    <row r="250">
      <c r="A250" s="1" t="s">
        <v>255</v>
      </c>
      <c r="B250" s="3" t="str">
        <f>IFERROR(__xludf.DUMMYFUNCTION("SPLIT(A250, "","")"),"17-44")</f>
        <v>17-44</v>
      </c>
      <c r="C250" s="3" t="str">
        <f>IFERROR(__xludf.DUMMYFUNCTION("""COMPUTED_VALUE"""),"32-52")</f>
        <v>32-52</v>
      </c>
      <c r="D250" s="3">
        <f>IFERROR(__xludf.DUMMYFUNCTION("SPLIT(B250, ""-"")"),17.0)</f>
        <v>17</v>
      </c>
      <c r="E250" s="3">
        <f>IFERROR(__xludf.DUMMYFUNCTION("""COMPUTED_VALUE"""),44.0)</f>
        <v>44</v>
      </c>
      <c r="F250" s="3">
        <f>IFERROR(__xludf.DUMMYFUNCTION("SPLIT(C250, ""-"")"),32.0)</f>
        <v>32</v>
      </c>
      <c r="G250" s="3">
        <f>IFERROR(__xludf.DUMMYFUNCTION("""COMPUTED_VALUE"""),52.0)</f>
        <v>52</v>
      </c>
      <c r="I250" s="3" t="str">
        <f t="shared" si="1"/>
        <v>y</v>
      </c>
      <c r="J250" s="3" t="str">
        <f t="shared" si="2"/>
        <v/>
      </c>
      <c r="K250" s="3" t="str">
        <f t="shared" si="3"/>
        <v/>
      </c>
      <c r="L250" s="3" t="str">
        <f t="shared" si="4"/>
        <v>y</v>
      </c>
      <c r="N250" s="3" t="str">
        <f t="shared" si="5"/>
        <v/>
      </c>
      <c r="O250" s="3" t="str">
        <f t="shared" si="6"/>
        <v/>
      </c>
      <c r="Q250" s="3" t="str">
        <f t="shared" si="7"/>
        <v/>
      </c>
      <c r="U250" s="3">
        <f t="shared" si="8"/>
        <v>1</v>
      </c>
      <c r="V250" s="3" t="str">
        <f t="shared" si="9"/>
        <v>Överlapp</v>
      </c>
      <c r="W250" s="3" t="str">
        <f t="shared" si="10"/>
        <v>Överlapp</v>
      </c>
      <c r="X250" s="3" t="str">
        <f t="shared" si="11"/>
        <v/>
      </c>
    </row>
    <row r="251">
      <c r="A251" s="1" t="s">
        <v>256</v>
      </c>
      <c r="B251" s="3" t="str">
        <f>IFERROR(__xludf.DUMMYFUNCTION("SPLIT(A251, "","")"),"19-45")</f>
        <v>19-45</v>
      </c>
      <c r="C251" s="3" t="str">
        <f>IFERROR(__xludf.DUMMYFUNCTION("""COMPUTED_VALUE"""),"19-65")</f>
        <v>19-65</v>
      </c>
      <c r="D251" s="3">
        <f>IFERROR(__xludf.DUMMYFUNCTION("SPLIT(B251, ""-"")"),19.0)</f>
        <v>19</v>
      </c>
      <c r="E251" s="3">
        <f>IFERROR(__xludf.DUMMYFUNCTION("""COMPUTED_VALUE"""),45.0)</f>
        <v>45</v>
      </c>
      <c r="F251" s="3">
        <f>IFERROR(__xludf.DUMMYFUNCTION("SPLIT(C251, ""-"")"),19.0)</f>
        <v>19</v>
      </c>
      <c r="G251" s="3">
        <f>IFERROR(__xludf.DUMMYFUNCTION("""COMPUTED_VALUE"""),65.0)</f>
        <v>65</v>
      </c>
      <c r="I251" s="3" t="str">
        <f t="shared" si="1"/>
        <v>y</v>
      </c>
      <c r="J251" s="3" t="str">
        <f t="shared" si="2"/>
        <v/>
      </c>
      <c r="K251" s="3" t="str">
        <f t="shared" si="3"/>
        <v>y</v>
      </c>
      <c r="L251" s="3" t="str">
        <f t="shared" si="4"/>
        <v>y</v>
      </c>
      <c r="N251" s="3" t="str">
        <f t="shared" si="5"/>
        <v/>
      </c>
      <c r="O251" s="3">
        <f t="shared" si="6"/>
        <v>1</v>
      </c>
      <c r="Q251" s="3">
        <f t="shared" si="7"/>
        <v>1</v>
      </c>
      <c r="U251" s="3" t="str">
        <f t="shared" si="8"/>
        <v>Överlapp</v>
      </c>
      <c r="V251" s="3" t="str">
        <f t="shared" si="9"/>
        <v>Överlapp</v>
      </c>
      <c r="W251" s="3" t="str">
        <f t="shared" si="10"/>
        <v>Överlapp</v>
      </c>
      <c r="X251" s="3" t="str">
        <f t="shared" si="11"/>
        <v/>
      </c>
    </row>
    <row r="252">
      <c r="A252" s="1" t="s">
        <v>257</v>
      </c>
      <c r="B252" s="3" t="str">
        <f>IFERROR(__xludf.DUMMYFUNCTION("SPLIT(A252, "","")"),"31-97")</f>
        <v>31-97</v>
      </c>
      <c r="C252" s="3" t="str">
        <f>IFERROR(__xludf.DUMMYFUNCTION("""COMPUTED_VALUE"""),"32-75")</f>
        <v>32-75</v>
      </c>
      <c r="D252" s="3">
        <f>IFERROR(__xludf.DUMMYFUNCTION("SPLIT(B252, ""-"")"),31.0)</f>
        <v>31</v>
      </c>
      <c r="E252" s="3">
        <f>IFERROR(__xludf.DUMMYFUNCTION("""COMPUTED_VALUE"""),97.0)</f>
        <v>97</v>
      </c>
      <c r="F252" s="3">
        <f>IFERROR(__xludf.DUMMYFUNCTION("SPLIT(C252, ""-"")"),32.0)</f>
        <v>32</v>
      </c>
      <c r="G252" s="3">
        <f>IFERROR(__xludf.DUMMYFUNCTION("""COMPUTED_VALUE"""),75.0)</f>
        <v>75</v>
      </c>
      <c r="I252" s="3" t="str">
        <f t="shared" si="1"/>
        <v>y</v>
      </c>
      <c r="J252" s="3" t="str">
        <f t="shared" si="2"/>
        <v>y</v>
      </c>
      <c r="K252" s="3" t="str">
        <f t="shared" si="3"/>
        <v/>
      </c>
      <c r="L252" s="3" t="str">
        <f t="shared" si="4"/>
        <v/>
      </c>
      <c r="N252" s="3">
        <f t="shared" si="5"/>
        <v>1</v>
      </c>
      <c r="O252" s="3" t="str">
        <f t="shared" si="6"/>
        <v/>
      </c>
      <c r="Q252" s="3">
        <f t="shared" si="7"/>
        <v>1</v>
      </c>
      <c r="U252" s="3">
        <f t="shared" si="8"/>
        <v>1</v>
      </c>
      <c r="V252" s="3" t="str">
        <f t="shared" si="9"/>
        <v>Överlapp</v>
      </c>
      <c r="W252" s="3" t="str">
        <f t="shared" si="10"/>
        <v>Överlapp</v>
      </c>
      <c r="X252" s="3" t="str">
        <f t="shared" si="11"/>
        <v/>
      </c>
    </row>
    <row r="253">
      <c r="A253" s="1" t="s">
        <v>258</v>
      </c>
      <c r="B253" s="3" t="str">
        <f>IFERROR(__xludf.DUMMYFUNCTION("SPLIT(A253, "","")"),"2-97")</f>
        <v>2-97</v>
      </c>
      <c r="C253" s="3" t="str">
        <f>IFERROR(__xludf.DUMMYFUNCTION("""COMPUTED_VALUE"""),"2-96")</f>
        <v>2-96</v>
      </c>
      <c r="D253" s="3">
        <f>IFERROR(__xludf.DUMMYFUNCTION("SPLIT(B253, ""-"")"),2.0)</f>
        <v>2</v>
      </c>
      <c r="E253" s="3">
        <f>IFERROR(__xludf.DUMMYFUNCTION("""COMPUTED_VALUE"""),97.0)</f>
        <v>97</v>
      </c>
      <c r="F253" s="3">
        <f>IFERROR(__xludf.DUMMYFUNCTION("SPLIT(C253, ""-"")"),2.0)</f>
        <v>2</v>
      </c>
      <c r="G253" s="3">
        <f>IFERROR(__xludf.DUMMYFUNCTION("""COMPUTED_VALUE"""),96.0)</f>
        <v>96</v>
      </c>
      <c r="I253" s="3" t="str">
        <f t="shared" si="1"/>
        <v>y</v>
      </c>
      <c r="J253" s="3" t="str">
        <f t="shared" si="2"/>
        <v>y</v>
      </c>
      <c r="K253" s="3" t="str">
        <f t="shared" si="3"/>
        <v>y</v>
      </c>
      <c r="L253" s="3" t="str">
        <f t="shared" si="4"/>
        <v/>
      </c>
      <c r="N253" s="3">
        <f t="shared" si="5"/>
        <v>1</v>
      </c>
      <c r="O253" s="3" t="str">
        <f t="shared" si="6"/>
        <v/>
      </c>
      <c r="Q253" s="3">
        <f t="shared" si="7"/>
        <v>1</v>
      </c>
      <c r="U253" s="3" t="str">
        <f t="shared" si="8"/>
        <v>Överlapp</v>
      </c>
      <c r="V253" s="3" t="str">
        <f t="shared" si="9"/>
        <v>Överlapp</v>
      </c>
      <c r="W253" s="3" t="str">
        <f t="shared" si="10"/>
        <v>Överlapp</v>
      </c>
      <c r="X253" s="3" t="str">
        <f t="shared" si="11"/>
        <v/>
      </c>
    </row>
    <row r="254">
      <c r="A254" s="1" t="s">
        <v>259</v>
      </c>
      <c r="B254" s="3" t="str">
        <f>IFERROR(__xludf.DUMMYFUNCTION("SPLIT(A254, "","")"),"30-31")</f>
        <v>30-31</v>
      </c>
      <c r="C254" s="3" t="str">
        <f>IFERROR(__xludf.DUMMYFUNCTION("""COMPUTED_VALUE"""),"30-84")</f>
        <v>30-84</v>
      </c>
      <c r="D254" s="3">
        <f>IFERROR(__xludf.DUMMYFUNCTION("SPLIT(B254, ""-"")"),30.0)</f>
        <v>30</v>
      </c>
      <c r="E254" s="3">
        <f>IFERROR(__xludf.DUMMYFUNCTION("""COMPUTED_VALUE"""),31.0)</f>
        <v>31</v>
      </c>
      <c r="F254" s="3">
        <f>IFERROR(__xludf.DUMMYFUNCTION("SPLIT(C254, ""-"")"),30.0)</f>
        <v>30</v>
      </c>
      <c r="G254" s="3">
        <f>IFERROR(__xludf.DUMMYFUNCTION("""COMPUTED_VALUE"""),84.0)</f>
        <v>84</v>
      </c>
      <c r="I254" s="3" t="str">
        <f t="shared" si="1"/>
        <v>y</v>
      </c>
      <c r="J254" s="3" t="str">
        <f t="shared" si="2"/>
        <v/>
      </c>
      <c r="K254" s="3" t="str">
        <f t="shared" si="3"/>
        <v>y</v>
      </c>
      <c r="L254" s="3" t="str">
        <f t="shared" si="4"/>
        <v>y</v>
      </c>
      <c r="N254" s="3" t="str">
        <f t="shared" si="5"/>
        <v/>
      </c>
      <c r="O254" s="3">
        <f t="shared" si="6"/>
        <v>1</v>
      </c>
      <c r="Q254" s="3">
        <f t="shared" si="7"/>
        <v>1</v>
      </c>
      <c r="U254" s="3" t="str">
        <f t="shared" si="8"/>
        <v>Överlapp</v>
      </c>
      <c r="V254" s="3" t="str">
        <f t="shared" si="9"/>
        <v>Överlapp</v>
      </c>
      <c r="W254" s="3" t="str">
        <f t="shared" si="10"/>
        <v>Överlapp</v>
      </c>
      <c r="X254" s="3" t="str">
        <f t="shared" si="11"/>
        <v/>
      </c>
    </row>
    <row r="255">
      <c r="A255" s="1" t="s">
        <v>260</v>
      </c>
      <c r="B255" s="3" t="str">
        <f>IFERROR(__xludf.DUMMYFUNCTION("SPLIT(A255, "","")"),"38-57")</f>
        <v>38-57</v>
      </c>
      <c r="C255" s="3" t="str">
        <f>IFERROR(__xludf.DUMMYFUNCTION("""COMPUTED_VALUE"""),"37-84")</f>
        <v>37-84</v>
      </c>
      <c r="D255" s="3">
        <f>IFERROR(__xludf.DUMMYFUNCTION("SPLIT(B255, ""-"")"),38.0)</f>
        <v>38</v>
      </c>
      <c r="E255" s="3">
        <f>IFERROR(__xludf.DUMMYFUNCTION("""COMPUTED_VALUE"""),57.0)</f>
        <v>57</v>
      </c>
      <c r="F255" s="3">
        <f>IFERROR(__xludf.DUMMYFUNCTION("SPLIT(C255, ""-"")"),37.0)</f>
        <v>37</v>
      </c>
      <c r="G255" s="3">
        <f>IFERROR(__xludf.DUMMYFUNCTION("""COMPUTED_VALUE"""),84.0)</f>
        <v>84</v>
      </c>
      <c r="I255" s="3" t="str">
        <f t="shared" si="1"/>
        <v/>
      </c>
      <c r="J255" s="3" t="str">
        <f t="shared" si="2"/>
        <v/>
      </c>
      <c r="K255" s="3" t="str">
        <f t="shared" si="3"/>
        <v>y</v>
      </c>
      <c r="L255" s="3" t="str">
        <f t="shared" si="4"/>
        <v>y</v>
      </c>
      <c r="N255" s="3" t="str">
        <f t="shared" si="5"/>
        <v/>
      </c>
      <c r="O255" s="3">
        <f t="shared" si="6"/>
        <v>1</v>
      </c>
      <c r="Q255" s="3">
        <f t="shared" si="7"/>
        <v>1</v>
      </c>
      <c r="U255" s="3">
        <f t="shared" si="8"/>
        <v>1</v>
      </c>
      <c r="V255" s="3" t="str">
        <f t="shared" si="9"/>
        <v>Överlapp</v>
      </c>
      <c r="W255" s="3" t="str">
        <f t="shared" si="10"/>
        <v>Överlapp</v>
      </c>
      <c r="X255" s="3" t="str">
        <f t="shared" si="11"/>
        <v/>
      </c>
    </row>
    <row r="256">
      <c r="A256" s="1" t="s">
        <v>261</v>
      </c>
      <c r="B256" s="3" t="str">
        <f>IFERROR(__xludf.DUMMYFUNCTION("SPLIT(A256, "","")"),"41-74")</f>
        <v>41-74</v>
      </c>
      <c r="C256" s="3" t="str">
        <f>IFERROR(__xludf.DUMMYFUNCTION("""COMPUTED_VALUE"""),"42-42")</f>
        <v>42-42</v>
      </c>
      <c r="D256" s="3">
        <f>IFERROR(__xludf.DUMMYFUNCTION("SPLIT(B256, ""-"")"),41.0)</f>
        <v>41</v>
      </c>
      <c r="E256" s="3">
        <f>IFERROR(__xludf.DUMMYFUNCTION("""COMPUTED_VALUE"""),74.0)</f>
        <v>74</v>
      </c>
      <c r="F256" s="3">
        <f>IFERROR(__xludf.DUMMYFUNCTION("SPLIT(C256, ""-"")"),42.0)</f>
        <v>42</v>
      </c>
      <c r="G256" s="3">
        <f>IFERROR(__xludf.DUMMYFUNCTION("""COMPUTED_VALUE"""),42.0)</f>
        <v>42</v>
      </c>
      <c r="I256" s="3" t="str">
        <f t="shared" si="1"/>
        <v>y</v>
      </c>
      <c r="J256" s="3" t="str">
        <f t="shared" si="2"/>
        <v>y</v>
      </c>
      <c r="K256" s="3" t="str">
        <f t="shared" si="3"/>
        <v/>
      </c>
      <c r="L256" s="3" t="str">
        <f t="shared" si="4"/>
        <v/>
      </c>
      <c r="N256" s="3">
        <f t="shared" si="5"/>
        <v>1</v>
      </c>
      <c r="O256" s="3" t="str">
        <f t="shared" si="6"/>
        <v/>
      </c>
      <c r="Q256" s="3">
        <f t="shared" si="7"/>
        <v>1</v>
      </c>
      <c r="U256" s="3">
        <f t="shared" si="8"/>
        <v>1</v>
      </c>
      <c r="V256" s="3" t="str">
        <f t="shared" si="9"/>
        <v>Överlapp</v>
      </c>
      <c r="W256" s="3" t="str">
        <f t="shared" si="10"/>
        <v>Överlapp</v>
      </c>
      <c r="X256" s="3" t="str">
        <f t="shared" si="11"/>
        <v/>
      </c>
    </row>
    <row r="257">
      <c r="A257" s="1" t="s">
        <v>262</v>
      </c>
      <c r="B257" s="3" t="str">
        <f>IFERROR(__xludf.DUMMYFUNCTION("SPLIT(A257, "","")"),"81-81")</f>
        <v>81-81</v>
      </c>
      <c r="C257" s="3" t="str">
        <f>IFERROR(__xludf.DUMMYFUNCTION("""COMPUTED_VALUE"""),"50-82")</f>
        <v>50-82</v>
      </c>
      <c r="D257" s="3">
        <f>IFERROR(__xludf.DUMMYFUNCTION("SPLIT(B257, ""-"")"),81.0)</f>
        <v>81</v>
      </c>
      <c r="E257" s="3">
        <f>IFERROR(__xludf.DUMMYFUNCTION("""COMPUTED_VALUE"""),81.0)</f>
        <v>81</v>
      </c>
      <c r="F257" s="3">
        <f>IFERROR(__xludf.DUMMYFUNCTION("SPLIT(C257, ""-"")"),50.0)</f>
        <v>50</v>
      </c>
      <c r="G257" s="3">
        <f>IFERROR(__xludf.DUMMYFUNCTION("""COMPUTED_VALUE"""),82.0)</f>
        <v>82</v>
      </c>
      <c r="I257" s="3" t="str">
        <f t="shared" si="1"/>
        <v/>
      </c>
      <c r="J257" s="3" t="str">
        <f t="shared" si="2"/>
        <v/>
      </c>
      <c r="K257" s="3" t="str">
        <f t="shared" si="3"/>
        <v>y</v>
      </c>
      <c r="L257" s="3" t="str">
        <f t="shared" si="4"/>
        <v>y</v>
      </c>
      <c r="N257" s="3" t="str">
        <f t="shared" si="5"/>
        <v/>
      </c>
      <c r="O257" s="3">
        <f t="shared" si="6"/>
        <v>1</v>
      </c>
      <c r="Q257" s="3">
        <f t="shared" si="7"/>
        <v>1</v>
      </c>
      <c r="U257" s="3">
        <f t="shared" si="8"/>
        <v>1</v>
      </c>
      <c r="V257" s="3" t="str">
        <f t="shared" si="9"/>
        <v>Överlapp</v>
      </c>
      <c r="W257" s="3" t="str">
        <f t="shared" si="10"/>
        <v>Överlapp</v>
      </c>
      <c r="X257" s="3" t="str">
        <f t="shared" si="11"/>
        <v/>
      </c>
    </row>
    <row r="258">
      <c r="A258" s="1" t="s">
        <v>263</v>
      </c>
      <c r="B258" s="3" t="str">
        <f>IFERROR(__xludf.DUMMYFUNCTION("SPLIT(A258, "","")"),"5-94")</f>
        <v>5-94</v>
      </c>
      <c r="C258" s="3" t="str">
        <f>IFERROR(__xludf.DUMMYFUNCTION("""COMPUTED_VALUE"""),"5-94")</f>
        <v>5-94</v>
      </c>
      <c r="D258" s="3">
        <f>IFERROR(__xludf.DUMMYFUNCTION("SPLIT(B258, ""-"")"),5.0)</f>
        <v>5</v>
      </c>
      <c r="E258" s="3">
        <f>IFERROR(__xludf.DUMMYFUNCTION("""COMPUTED_VALUE"""),94.0)</f>
        <v>94</v>
      </c>
      <c r="F258" s="3">
        <f>IFERROR(__xludf.DUMMYFUNCTION("SPLIT(C258, ""-"")"),5.0)</f>
        <v>5</v>
      </c>
      <c r="G258" s="3">
        <f>IFERROR(__xludf.DUMMYFUNCTION("""COMPUTED_VALUE"""),94.0)</f>
        <v>94</v>
      </c>
      <c r="I258" s="3" t="str">
        <f t="shared" si="1"/>
        <v>y</v>
      </c>
      <c r="J258" s="3" t="str">
        <f t="shared" si="2"/>
        <v>y</v>
      </c>
      <c r="K258" s="3" t="str">
        <f t="shared" si="3"/>
        <v>y</v>
      </c>
      <c r="L258" s="3" t="str">
        <f t="shared" si="4"/>
        <v>y</v>
      </c>
      <c r="N258" s="3">
        <f t="shared" si="5"/>
        <v>1</v>
      </c>
      <c r="O258" s="3">
        <f t="shared" si="6"/>
        <v>1</v>
      </c>
      <c r="Q258" s="3">
        <f t="shared" si="7"/>
        <v>1</v>
      </c>
      <c r="U258" s="3" t="str">
        <f t="shared" si="8"/>
        <v>Överlapp</v>
      </c>
      <c r="V258" s="3" t="str">
        <f t="shared" si="9"/>
        <v>Överlapp</v>
      </c>
      <c r="W258" s="3" t="str">
        <f t="shared" si="10"/>
        <v>Överlapp</v>
      </c>
      <c r="X258" s="3" t="str">
        <f t="shared" si="11"/>
        <v/>
      </c>
    </row>
    <row r="259">
      <c r="A259" s="1" t="s">
        <v>264</v>
      </c>
      <c r="B259" s="3" t="str">
        <f>IFERROR(__xludf.DUMMYFUNCTION("SPLIT(A259, "","")"),"59-87")</f>
        <v>59-87</v>
      </c>
      <c r="C259" s="3" t="str">
        <f>IFERROR(__xludf.DUMMYFUNCTION("""COMPUTED_VALUE"""),"11-88")</f>
        <v>11-88</v>
      </c>
      <c r="D259" s="3">
        <f>IFERROR(__xludf.DUMMYFUNCTION("SPLIT(B259, ""-"")"),59.0)</f>
        <v>59</v>
      </c>
      <c r="E259" s="3">
        <f>IFERROR(__xludf.DUMMYFUNCTION("""COMPUTED_VALUE"""),87.0)</f>
        <v>87</v>
      </c>
      <c r="F259" s="3">
        <f>IFERROR(__xludf.DUMMYFUNCTION("SPLIT(C259, ""-"")"),11.0)</f>
        <v>11</v>
      </c>
      <c r="G259" s="3">
        <f>IFERROR(__xludf.DUMMYFUNCTION("""COMPUTED_VALUE"""),88.0)</f>
        <v>88</v>
      </c>
      <c r="I259" s="3" t="str">
        <f t="shared" si="1"/>
        <v/>
      </c>
      <c r="J259" s="3" t="str">
        <f t="shared" si="2"/>
        <v/>
      </c>
      <c r="K259" s="3" t="str">
        <f t="shared" si="3"/>
        <v>y</v>
      </c>
      <c r="L259" s="3" t="str">
        <f t="shared" si="4"/>
        <v>y</v>
      </c>
      <c r="N259" s="3" t="str">
        <f t="shared" si="5"/>
        <v/>
      </c>
      <c r="O259" s="3">
        <f t="shared" si="6"/>
        <v>1</v>
      </c>
      <c r="Q259" s="3">
        <f t="shared" si="7"/>
        <v>1</v>
      </c>
      <c r="U259" s="3">
        <f t="shared" si="8"/>
        <v>1</v>
      </c>
      <c r="V259" s="3" t="str">
        <f t="shared" si="9"/>
        <v>Överlapp</v>
      </c>
      <c r="W259" s="3" t="str">
        <f t="shared" si="10"/>
        <v>Överlapp</v>
      </c>
      <c r="X259" s="3" t="str">
        <f t="shared" si="11"/>
        <v/>
      </c>
    </row>
    <row r="260">
      <c r="A260" s="1" t="s">
        <v>265</v>
      </c>
      <c r="B260" s="3" t="str">
        <f>IFERROR(__xludf.DUMMYFUNCTION("SPLIT(A260, "","")"),"8-83")</f>
        <v>8-83</v>
      </c>
      <c r="C260" s="3" t="str">
        <f>IFERROR(__xludf.DUMMYFUNCTION("""COMPUTED_VALUE"""),"7-84")</f>
        <v>7-84</v>
      </c>
      <c r="D260" s="3">
        <f>IFERROR(__xludf.DUMMYFUNCTION("SPLIT(B260, ""-"")"),8.0)</f>
        <v>8</v>
      </c>
      <c r="E260" s="3">
        <f>IFERROR(__xludf.DUMMYFUNCTION("""COMPUTED_VALUE"""),83.0)</f>
        <v>83</v>
      </c>
      <c r="F260" s="3">
        <f>IFERROR(__xludf.DUMMYFUNCTION("SPLIT(C260, ""-"")"),7.0)</f>
        <v>7</v>
      </c>
      <c r="G260" s="3">
        <f>IFERROR(__xludf.DUMMYFUNCTION("""COMPUTED_VALUE"""),84.0)</f>
        <v>84</v>
      </c>
      <c r="I260" s="3" t="str">
        <f t="shared" si="1"/>
        <v/>
      </c>
      <c r="J260" s="3" t="str">
        <f t="shared" si="2"/>
        <v/>
      </c>
      <c r="K260" s="3" t="str">
        <f t="shared" si="3"/>
        <v>y</v>
      </c>
      <c r="L260" s="3" t="str">
        <f t="shared" si="4"/>
        <v>y</v>
      </c>
      <c r="N260" s="3" t="str">
        <f t="shared" si="5"/>
        <v/>
      </c>
      <c r="O260" s="3">
        <f t="shared" si="6"/>
        <v>1</v>
      </c>
      <c r="Q260" s="3">
        <f t="shared" si="7"/>
        <v>1</v>
      </c>
      <c r="U260" s="3">
        <f t="shared" si="8"/>
        <v>1</v>
      </c>
      <c r="V260" s="3" t="str">
        <f t="shared" si="9"/>
        <v>Överlapp</v>
      </c>
      <c r="W260" s="3" t="str">
        <f t="shared" si="10"/>
        <v>Överlapp</v>
      </c>
      <c r="X260" s="3" t="str">
        <f t="shared" si="11"/>
        <v/>
      </c>
    </row>
    <row r="261">
      <c r="A261" s="1" t="s">
        <v>266</v>
      </c>
      <c r="B261" s="3" t="str">
        <f>IFERROR(__xludf.DUMMYFUNCTION("SPLIT(A261, "","")"),"22-96")</f>
        <v>22-96</v>
      </c>
      <c r="C261" s="3" t="str">
        <f>IFERROR(__xludf.DUMMYFUNCTION("""COMPUTED_VALUE"""),"22-95")</f>
        <v>22-95</v>
      </c>
      <c r="D261" s="3">
        <f>IFERROR(__xludf.DUMMYFUNCTION("SPLIT(B261, ""-"")"),22.0)</f>
        <v>22</v>
      </c>
      <c r="E261" s="3">
        <f>IFERROR(__xludf.DUMMYFUNCTION("""COMPUTED_VALUE"""),96.0)</f>
        <v>96</v>
      </c>
      <c r="F261" s="3">
        <f>IFERROR(__xludf.DUMMYFUNCTION("SPLIT(C261, ""-"")"),22.0)</f>
        <v>22</v>
      </c>
      <c r="G261" s="3">
        <f>IFERROR(__xludf.DUMMYFUNCTION("""COMPUTED_VALUE"""),95.0)</f>
        <v>95</v>
      </c>
      <c r="I261" s="3" t="str">
        <f t="shared" si="1"/>
        <v>y</v>
      </c>
      <c r="J261" s="3" t="str">
        <f t="shared" si="2"/>
        <v>y</v>
      </c>
      <c r="K261" s="3" t="str">
        <f t="shared" si="3"/>
        <v>y</v>
      </c>
      <c r="L261" s="3" t="str">
        <f t="shared" si="4"/>
        <v/>
      </c>
      <c r="N261" s="3">
        <f t="shared" si="5"/>
        <v>1</v>
      </c>
      <c r="O261" s="3" t="str">
        <f t="shared" si="6"/>
        <v/>
      </c>
      <c r="Q261" s="3">
        <f t="shared" si="7"/>
        <v>1</v>
      </c>
      <c r="U261" s="3" t="str">
        <f t="shared" si="8"/>
        <v>Överlapp</v>
      </c>
      <c r="V261" s="3" t="str">
        <f t="shared" si="9"/>
        <v>Överlapp</v>
      </c>
      <c r="W261" s="3" t="str">
        <f t="shared" si="10"/>
        <v>Överlapp</v>
      </c>
      <c r="X261" s="3" t="str">
        <f t="shared" si="11"/>
        <v/>
      </c>
    </row>
    <row r="262">
      <c r="A262" s="1" t="s">
        <v>267</v>
      </c>
      <c r="B262" s="3" t="str">
        <f>IFERROR(__xludf.DUMMYFUNCTION("SPLIT(A262, "","")"),"3-75")</f>
        <v>3-75</v>
      </c>
      <c r="C262" s="3" t="str">
        <f>IFERROR(__xludf.DUMMYFUNCTION("""COMPUTED_VALUE"""),"1-99")</f>
        <v>1-99</v>
      </c>
      <c r="D262" s="3">
        <f>IFERROR(__xludf.DUMMYFUNCTION("SPLIT(B262, ""-"")"),3.0)</f>
        <v>3</v>
      </c>
      <c r="E262" s="3">
        <f>IFERROR(__xludf.DUMMYFUNCTION("""COMPUTED_VALUE"""),75.0)</f>
        <v>75</v>
      </c>
      <c r="F262" s="3">
        <f>IFERROR(__xludf.DUMMYFUNCTION("SPLIT(C262, ""-"")"),1.0)</f>
        <v>1</v>
      </c>
      <c r="G262" s="3">
        <f>IFERROR(__xludf.DUMMYFUNCTION("""COMPUTED_VALUE"""),99.0)</f>
        <v>99</v>
      </c>
      <c r="I262" s="3" t="str">
        <f t="shared" si="1"/>
        <v/>
      </c>
      <c r="J262" s="3" t="str">
        <f t="shared" si="2"/>
        <v/>
      </c>
      <c r="K262" s="3" t="str">
        <f t="shared" si="3"/>
        <v>y</v>
      </c>
      <c r="L262" s="3" t="str">
        <f t="shared" si="4"/>
        <v>y</v>
      </c>
      <c r="N262" s="3" t="str">
        <f t="shared" si="5"/>
        <v/>
      </c>
      <c r="O262" s="3">
        <f t="shared" si="6"/>
        <v>1</v>
      </c>
      <c r="Q262" s="3">
        <f t="shared" si="7"/>
        <v>1</v>
      </c>
      <c r="U262" s="3">
        <f t="shared" si="8"/>
        <v>1</v>
      </c>
      <c r="V262" s="3" t="str">
        <f t="shared" si="9"/>
        <v>Överlapp</v>
      </c>
      <c r="W262" s="3" t="str">
        <f t="shared" si="10"/>
        <v>Överlapp</v>
      </c>
      <c r="X262" s="3" t="str">
        <f t="shared" si="11"/>
        <v/>
      </c>
    </row>
    <row r="263">
      <c r="A263" s="1" t="s">
        <v>268</v>
      </c>
      <c r="B263" s="3" t="str">
        <f>IFERROR(__xludf.DUMMYFUNCTION("SPLIT(A263, "","")"),"3-56")</f>
        <v>3-56</v>
      </c>
      <c r="C263" s="3" t="str">
        <f>IFERROR(__xludf.DUMMYFUNCTION("""COMPUTED_VALUE"""),"2-56")</f>
        <v>2-56</v>
      </c>
      <c r="D263" s="3">
        <f>IFERROR(__xludf.DUMMYFUNCTION("SPLIT(B263, ""-"")"),3.0)</f>
        <v>3</v>
      </c>
      <c r="E263" s="3">
        <f>IFERROR(__xludf.DUMMYFUNCTION("""COMPUTED_VALUE"""),56.0)</f>
        <v>56</v>
      </c>
      <c r="F263" s="3">
        <f>IFERROR(__xludf.DUMMYFUNCTION("SPLIT(C263, ""-"")"),2.0)</f>
        <v>2</v>
      </c>
      <c r="G263" s="3">
        <f>IFERROR(__xludf.DUMMYFUNCTION("""COMPUTED_VALUE"""),56.0)</f>
        <v>56</v>
      </c>
      <c r="I263" s="3" t="str">
        <f t="shared" si="1"/>
        <v/>
      </c>
      <c r="J263" s="3" t="str">
        <f t="shared" si="2"/>
        <v>y</v>
      </c>
      <c r="K263" s="3" t="str">
        <f t="shared" si="3"/>
        <v>y</v>
      </c>
      <c r="L263" s="3" t="str">
        <f t="shared" si="4"/>
        <v>y</v>
      </c>
      <c r="N263" s="3" t="str">
        <f t="shared" si="5"/>
        <v/>
      </c>
      <c r="O263" s="3">
        <f t="shared" si="6"/>
        <v>1</v>
      </c>
      <c r="Q263" s="3">
        <f t="shared" si="7"/>
        <v>1</v>
      </c>
      <c r="U263" s="3" t="str">
        <f t="shared" si="8"/>
        <v>Överlapp</v>
      </c>
      <c r="V263" s="3" t="str">
        <f t="shared" si="9"/>
        <v>Överlapp</v>
      </c>
      <c r="W263" s="3" t="str">
        <f t="shared" si="10"/>
        <v>Överlapp</v>
      </c>
      <c r="X263" s="3" t="str">
        <f t="shared" si="11"/>
        <v/>
      </c>
    </row>
    <row r="264">
      <c r="A264" s="1" t="s">
        <v>269</v>
      </c>
      <c r="B264" s="3" t="str">
        <f>IFERROR(__xludf.DUMMYFUNCTION("SPLIT(A264, "","")"),"12-87")</f>
        <v>12-87</v>
      </c>
      <c r="C264" s="3" t="str">
        <f>IFERROR(__xludf.DUMMYFUNCTION("""COMPUTED_VALUE"""),"4-88")</f>
        <v>4-88</v>
      </c>
      <c r="D264" s="3">
        <f>IFERROR(__xludf.DUMMYFUNCTION("SPLIT(B264, ""-"")"),12.0)</f>
        <v>12</v>
      </c>
      <c r="E264" s="3">
        <f>IFERROR(__xludf.DUMMYFUNCTION("""COMPUTED_VALUE"""),87.0)</f>
        <v>87</v>
      </c>
      <c r="F264" s="3">
        <f>IFERROR(__xludf.DUMMYFUNCTION("SPLIT(C264, ""-"")"),4.0)</f>
        <v>4</v>
      </c>
      <c r="G264" s="3">
        <f>IFERROR(__xludf.DUMMYFUNCTION("""COMPUTED_VALUE"""),88.0)</f>
        <v>88</v>
      </c>
      <c r="I264" s="3" t="str">
        <f t="shared" si="1"/>
        <v/>
      </c>
      <c r="J264" s="3" t="str">
        <f t="shared" si="2"/>
        <v/>
      </c>
      <c r="K264" s="3" t="str">
        <f t="shared" si="3"/>
        <v>y</v>
      </c>
      <c r="L264" s="3" t="str">
        <f t="shared" si="4"/>
        <v>y</v>
      </c>
      <c r="N264" s="3" t="str">
        <f t="shared" si="5"/>
        <v/>
      </c>
      <c r="O264" s="3">
        <f t="shared" si="6"/>
        <v>1</v>
      </c>
      <c r="Q264" s="3">
        <f t="shared" si="7"/>
        <v>1</v>
      </c>
      <c r="U264" s="3">
        <f t="shared" si="8"/>
        <v>1</v>
      </c>
      <c r="V264" s="3" t="str">
        <f t="shared" si="9"/>
        <v>Överlapp</v>
      </c>
      <c r="W264" s="3" t="str">
        <f t="shared" si="10"/>
        <v>Överlapp</v>
      </c>
      <c r="X264" s="3" t="str">
        <f t="shared" si="11"/>
        <v/>
      </c>
    </row>
    <row r="265">
      <c r="A265" s="1" t="s">
        <v>270</v>
      </c>
      <c r="B265" s="3" t="str">
        <f>IFERROR(__xludf.DUMMYFUNCTION("SPLIT(A265, "","")"),"8-63")</f>
        <v>8-63</v>
      </c>
      <c r="C265" s="3" t="str">
        <f>IFERROR(__xludf.DUMMYFUNCTION("""COMPUTED_VALUE"""),"63-64")</f>
        <v>63-64</v>
      </c>
      <c r="D265" s="3">
        <f>IFERROR(__xludf.DUMMYFUNCTION("SPLIT(B265, ""-"")"),8.0)</f>
        <v>8</v>
      </c>
      <c r="E265" s="3">
        <f>IFERROR(__xludf.DUMMYFUNCTION("""COMPUTED_VALUE"""),63.0)</f>
        <v>63</v>
      </c>
      <c r="F265" s="3">
        <f>IFERROR(__xludf.DUMMYFUNCTION("SPLIT(C265, ""-"")"),63.0)</f>
        <v>63</v>
      </c>
      <c r="G265" s="3">
        <f>IFERROR(__xludf.DUMMYFUNCTION("""COMPUTED_VALUE"""),64.0)</f>
        <v>64</v>
      </c>
      <c r="I265" s="3" t="str">
        <f t="shared" si="1"/>
        <v>y</v>
      </c>
      <c r="J265" s="3" t="str">
        <f t="shared" si="2"/>
        <v/>
      </c>
      <c r="K265" s="3" t="str">
        <f t="shared" si="3"/>
        <v/>
      </c>
      <c r="L265" s="3" t="str">
        <f t="shared" si="4"/>
        <v>y</v>
      </c>
      <c r="N265" s="3" t="str">
        <f t="shared" si="5"/>
        <v/>
      </c>
      <c r="O265" s="3" t="str">
        <f t="shared" si="6"/>
        <v/>
      </c>
      <c r="Q265" s="3" t="str">
        <f t="shared" si="7"/>
        <v/>
      </c>
      <c r="U265" s="3" t="str">
        <f t="shared" si="8"/>
        <v>Överlapp</v>
      </c>
      <c r="V265" s="3" t="str">
        <f t="shared" si="9"/>
        <v>Överlapp</v>
      </c>
      <c r="W265" s="3" t="str">
        <f t="shared" si="10"/>
        <v>Överlapp</v>
      </c>
      <c r="X265" s="3" t="str">
        <f t="shared" si="11"/>
        <v/>
      </c>
    </row>
    <row r="266">
      <c r="A266" s="1" t="s">
        <v>271</v>
      </c>
      <c r="B266" s="3" t="str">
        <f>IFERROR(__xludf.DUMMYFUNCTION("SPLIT(A266, "","")"),"15-62")</f>
        <v>15-62</v>
      </c>
      <c r="C266" s="3" t="str">
        <f>IFERROR(__xludf.DUMMYFUNCTION("""COMPUTED_VALUE"""),"14-61")</f>
        <v>14-61</v>
      </c>
      <c r="D266" s="3">
        <f>IFERROR(__xludf.DUMMYFUNCTION("SPLIT(B266, ""-"")"),15.0)</f>
        <v>15</v>
      </c>
      <c r="E266" s="3">
        <f>IFERROR(__xludf.DUMMYFUNCTION("""COMPUTED_VALUE"""),62.0)</f>
        <v>62</v>
      </c>
      <c r="F266" s="3">
        <f>IFERROR(__xludf.DUMMYFUNCTION("SPLIT(C266, ""-"")"),14.0)</f>
        <v>14</v>
      </c>
      <c r="G266" s="3">
        <f>IFERROR(__xludf.DUMMYFUNCTION("""COMPUTED_VALUE"""),61.0)</f>
        <v>61</v>
      </c>
      <c r="I266" s="3" t="str">
        <f t="shared" si="1"/>
        <v/>
      </c>
      <c r="J266" s="3" t="str">
        <f t="shared" si="2"/>
        <v>y</v>
      </c>
      <c r="K266" s="3" t="str">
        <f t="shared" si="3"/>
        <v>y</v>
      </c>
      <c r="L266" s="3" t="str">
        <f t="shared" si="4"/>
        <v/>
      </c>
      <c r="N266" s="3" t="str">
        <f t="shared" si="5"/>
        <v/>
      </c>
      <c r="O266" s="3" t="str">
        <f t="shared" si="6"/>
        <v/>
      </c>
      <c r="Q266" s="3" t="str">
        <f t="shared" si="7"/>
        <v/>
      </c>
      <c r="U266" s="3">
        <f t="shared" si="8"/>
        <v>1</v>
      </c>
      <c r="V266" s="3" t="str">
        <f t="shared" si="9"/>
        <v>Överlapp</v>
      </c>
      <c r="W266" s="3" t="str">
        <f t="shared" si="10"/>
        <v>Överlapp</v>
      </c>
      <c r="X266" s="3" t="str">
        <f t="shared" si="11"/>
        <v/>
      </c>
    </row>
    <row r="267">
      <c r="A267" s="1" t="s">
        <v>272</v>
      </c>
      <c r="B267" s="3" t="str">
        <f>IFERROR(__xludf.DUMMYFUNCTION("SPLIT(A267, "","")"),"43-88")</f>
        <v>43-88</v>
      </c>
      <c r="C267" s="3" t="str">
        <f>IFERROR(__xludf.DUMMYFUNCTION("""COMPUTED_VALUE"""),"42-89")</f>
        <v>42-89</v>
      </c>
      <c r="D267" s="3">
        <f>IFERROR(__xludf.DUMMYFUNCTION("SPLIT(B267, ""-"")"),43.0)</f>
        <v>43</v>
      </c>
      <c r="E267" s="3">
        <f>IFERROR(__xludf.DUMMYFUNCTION("""COMPUTED_VALUE"""),88.0)</f>
        <v>88</v>
      </c>
      <c r="F267" s="3">
        <f>IFERROR(__xludf.DUMMYFUNCTION("SPLIT(C267, ""-"")"),42.0)</f>
        <v>42</v>
      </c>
      <c r="G267" s="3">
        <f>IFERROR(__xludf.DUMMYFUNCTION("""COMPUTED_VALUE"""),89.0)</f>
        <v>89</v>
      </c>
      <c r="I267" s="3" t="str">
        <f t="shared" si="1"/>
        <v/>
      </c>
      <c r="J267" s="3" t="str">
        <f t="shared" si="2"/>
        <v/>
      </c>
      <c r="K267" s="3" t="str">
        <f t="shared" si="3"/>
        <v>y</v>
      </c>
      <c r="L267" s="3" t="str">
        <f t="shared" si="4"/>
        <v>y</v>
      </c>
      <c r="N267" s="3" t="str">
        <f t="shared" si="5"/>
        <v/>
      </c>
      <c r="O267" s="3">
        <f t="shared" si="6"/>
        <v>1</v>
      </c>
      <c r="Q267" s="3">
        <f t="shared" si="7"/>
        <v>1</v>
      </c>
      <c r="U267" s="3">
        <f t="shared" si="8"/>
        <v>1</v>
      </c>
      <c r="V267" s="3" t="str">
        <f t="shared" si="9"/>
        <v>Överlapp</v>
      </c>
      <c r="W267" s="3" t="str">
        <f t="shared" si="10"/>
        <v>Överlapp</v>
      </c>
      <c r="X267" s="3" t="str">
        <f t="shared" si="11"/>
        <v/>
      </c>
    </row>
    <row r="268">
      <c r="A268" s="1" t="s">
        <v>273</v>
      </c>
      <c r="B268" s="3" t="str">
        <f>IFERROR(__xludf.DUMMYFUNCTION("SPLIT(A268, "","")"),"23-24")</f>
        <v>23-24</v>
      </c>
      <c r="C268" s="3" t="str">
        <f>IFERROR(__xludf.DUMMYFUNCTION("""COMPUTED_VALUE"""),"23-90")</f>
        <v>23-90</v>
      </c>
      <c r="D268" s="3">
        <f>IFERROR(__xludf.DUMMYFUNCTION("SPLIT(B268, ""-"")"),23.0)</f>
        <v>23</v>
      </c>
      <c r="E268" s="3">
        <f>IFERROR(__xludf.DUMMYFUNCTION("""COMPUTED_VALUE"""),24.0)</f>
        <v>24</v>
      </c>
      <c r="F268" s="3">
        <f>IFERROR(__xludf.DUMMYFUNCTION("SPLIT(C268, ""-"")"),23.0)</f>
        <v>23</v>
      </c>
      <c r="G268" s="3">
        <f>IFERROR(__xludf.DUMMYFUNCTION("""COMPUTED_VALUE"""),90.0)</f>
        <v>90</v>
      </c>
      <c r="I268" s="3" t="str">
        <f t="shared" si="1"/>
        <v>y</v>
      </c>
      <c r="J268" s="3" t="str">
        <f t="shared" si="2"/>
        <v/>
      </c>
      <c r="K268" s="3" t="str">
        <f t="shared" si="3"/>
        <v>y</v>
      </c>
      <c r="L268" s="3" t="str">
        <f t="shared" si="4"/>
        <v>y</v>
      </c>
      <c r="N268" s="3" t="str">
        <f t="shared" si="5"/>
        <v/>
      </c>
      <c r="O268" s="3">
        <f t="shared" si="6"/>
        <v>1</v>
      </c>
      <c r="Q268" s="3">
        <f t="shared" si="7"/>
        <v>1</v>
      </c>
      <c r="U268" s="3" t="str">
        <f t="shared" si="8"/>
        <v>Överlapp</v>
      </c>
      <c r="V268" s="3" t="str">
        <f t="shared" si="9"/>
        <v>Överlapp</v>
      </c>
      <c r="W268" s="3" t="str">
        <f t="shared" si="10"/>
        <v>Överlapp</v>
      </c>
      <c r="X268" s="3" t="str">
        <f t="shared" si="11"/>
        <v/>
      </c>
    </row>
    <row r="269">
      <c r="A269" s="1" t="s">
        <v>274</v>
      </c>
      <c r="B269" s="3" t="str">
        <f>IFERROR(__xludf.DUMMYFUNCTION("SPLIT(A269, "","")"),"1-92")</f>
        <v>1-92</v>
      </c>
      <c r="C269" s="3" t="str">
        <f>IFERROR(__xludf.DUMMYFUNCTION("""COMPUTED_VALUE"""),"92-94")</f>
        <v>92-94</v>
      </c>
      <c r="D269" s="3">
        <f>IFERROR(__xludf.DUMMYFUNCTION("SPLIT(B269, ""-"")"),1.0)</f>
        <v>1</v>
      </c>
      <c r="E269" s="3">
        <f>IFERROR(__xludf.DUMMYFUNCTION("""COMPUTED_VALUE"""),92.0)</f>
        <v>92</v>
      </c>
      <c r="F269" s="3">
        <f>IFERROR(__xludf.DUMMYFUNCTION("SPLIT(C269, ""-"")"),92.0)</f>
        <v>92</v>
      </c>
      <c r="G269" s="3">
        <f>IFERROR(__xludf.DUMMYFUNCTION("""COMPUTED_VALUE"""),94.0)</f>
        <v>94</v>
      </c>
      <c r="I269" s="3" t="str">
        <f t="shared" si="1"/>
        <v>y</v>
      </c>
      <c r="J269" s="3" t="str">
        <f t="shared" si="2"/>
        <v/>
      </c>
      <c r="K269" s="3" t="str">
        <f t="shared" si="3"/>
        <v/>
      </c>
      <c r="L269" s="3" t="str">
        <f t="shared" si="4"/>
        <v>y</v>
      </c>
      <c r="N269" s="3" t="str">
        <f t="shared" si="5"/>
        <v/>
      </c>
      <c r="O269" s="3" t="str">
        <f t="shared" si="6"/>
        <v/>
      </c>
      <c r="Q269" s="3" t="str">
        <f t="shared" si="7"/>
        <v/>
      </c>
      <c r="U269" s="3" t="str">
        <f t="shared" si="8"/>
        <v>Överlapp</v>
      </c>
      <c r="V269" s="3" t="str">
        <f t="shared" si="9"/>
        <v>Överlapp</v>
      </c>
      <c r="W269" s="3" t="str">
        <f t="shared" si="10"/>
        <v>Överlapp</v>
      </c>
      <c r="X269" s="3" t="str">
        <f t="shared" si="11"/>
        <v/>
      </c>
    </row>
    <row r="270">
      <c r="A270" s="1" t="s">
        <v>275</v>
      </c>
      <c r="B270" s="3" t="str">
        <f>IFERROR(__xludf.DUMMYFUNCTION("SPLIT(A270, "","")"),"28-73")</f>
        <v>28-73</v>
      </c>
      <c r="C270" s="3" t="str">
        <f>IFERROR(__xludf.DUMMYFUNCTION("""COMPUTED_VALUE"""),"29-29")</f>
        <v>29-29</v>
      </c>
      <c r="D270" s="3">
        <f>IFERROR(__xludf.DUMMYFUNCTION("SPLIT(B270, ""-"")"),28.0)</f>
        <v>28</v>
      </c>
      <c r="E270" s="3">
        <f>IFERROR(__xludf.DUMMYFUNCTION("""COMPUTED_VALUE"""),73.0)</f>
        <v>73</v>
      </c>
      <c r="F270" s="3">
        <f>IFERROR(__xludf.DUMMYFUNCTION("SPLIT(C270, ""-"")"),29.0)</f>
        <v>29</v>
      </c>
      <c r="G270" s="3">
        <f>IFERROR(__xludf.DUMMYFUNCTION("""COMPUTED_VALUE"""),29.0)</f>
        <v>29</v>
      </c>
      <c r="I270" s="3" t="str">
        <f t="shared" si="1"/>
        <v>y</v>
      </c>
      <c r="J270" s="3" t="str">
        <f t="shared" si="2"/>
        <v>y</v>
      </c>
      <c r="K270" s="3" t="str">
        <f t="shared" si="3"/>
        <v/>
      </c>
      <c r="L270" s="3" t="str">
        <f t="shared" si="4"/>
        <v/>
      </c>
      <c r="N270" s="3">
        <f t="shared" si="5"/>
        <v>1</v>
      </c>
      <c r="O270" s="3" t="str">
        <f t="shared" si="6"/>
        <v/>
      </c>
      <c r="Q270" s="3">
        <f t="shared" si="7"/>
        <v>1</v>
      </c>
      <c r="U270" s="3">
        <f t="shared" si="8"/>
        <v>1</v>
      </c>
      <c r="V270" s="3" t="str">
        <f t="shared" si="9"/>
        <v>Överlapp</v>
      </c>
      <c r="W270" s="3" t="str">
        <f t="shared" si="10"/>
        <v>Överlapp</v>
      </c>
      <c r="X270" s="3" t="str">
        <f t="shared" si="11"/>
        <v/>
      </c>
    </row>
    <row r="271">
      <c r="A271" s="1" t="s">
        <v>276</v>
      </c>
      <c r="B271" s="3" t="str">
        <f>IFERROR(__xludf.DUMMYFUNCTION("SPLIT(A271, "","")"),"76-76")</f>
        <v>76-76</v>
      </c>
      <c r="C271" s="3" t="str">
        <f>IFERROR(__xludf.DUMMYFUNCTION("""COMPUTED_VALUE"""),"27-75")</f>
        <v>27-75</v>
      </c>
      <c r="D271" s="3">
        <f>IFERROR(__xludf.DUMMYFUNCTION("SPLIT(B271, ""-"")"),76.0)</f>
        <v>76</v>
      </c>
      <c r="E271" s="3">
        <f>IFERROR(__xludf.DUMMYFUNCTION("""COMPUTED_VALUE"""),76.0)</f>
        <v>76</v>
      </c>
      <c r="F271" s="3">
        <f>IFERROR(__xludf.DUMMYFUNCTION("SPLIT(C271, ""-"")"),27.0)</f>
        <v>27</v>
      </c>
      <c r="G271" s="3">
        <f>IFERROR(__xludf.DUMMYFUNCTION("""COMPUTED_VALUE"""),75.0)</f>
        <v>75</v>
      </c>
      <c r="I271" s="3" t="str">
        <f t="shared" si="1"/>
        <v/>
      </c>
      <c r="J271" s="3" t="str">
        <f t="shared" si="2"/>
        <v>y</v>
      </c>
      <c r="K271" s="3" t="str">
        <f t="shared" si="3"/>
        <v>y</v>
      </c>
      <c r="L271" s="3" t="str">
        <f t="shared" si="4"/>
        <v/>
      </c>
      <c r="N271" s="3" t="str">
        <f t="shared" si="5"/>
        <v/>
      </c>
      <c r="O271" s="3" t="str">
        <f t="shared" si="6"/>
        <v/>
      </c>
      <c r="Q271" s="3" t="str">
        <f t="shared" si="7"/>
        <v/>
      </c>
      <c r="U271" s="3">
        <f t="shared" si="8"/>
        <v>1</v>
      </c>
      <c r="V271" s="3" t="str">
        <f t="shared" si="9"/>
        <v>Överlapp</v>
      </c>
      <c r="W271" s="3">
        <f t="shared" si="10"/>
        <v>1</v>
      </c>
      <c r="X271" s="3">
        <f t="shared" si="11"/>
        <v>1</v>
      </c>
    </row>
    <row r="272">
      <c r="A272" s="1" t="s">
        <v>277</v>
      </c>
      <c r="B272" s="3" t="str">
        <f>IFERROR(__xludf.DUMMYFUNCTION("SPLIT(A272, "","")"),"76-76")</f>
        <v>76-76</v>
      </c>
      <c r="C272" s="3" t="str">
        <f>IFERROR(__xludf.DUMMYFUNCTION("""COMPUTED_VALUE"""),"13-77")</f>
        <v>13-77</v>
      </c>
      <c r="D272" s="3">
        <f>IFERROR(__xludf.DUMMYFUNCTION("SPLIT(B272, ""-"")"),76.0)</f>
        <v>76</v>
      </c>
      <c r="E272" s="3">
        <f>IFERROR(__xludf.DUMMYFUNCTION("""COMPUTED_VALUE"""),76.0)</f>
        <v>76</v>
      </c>
      <c r="F272" s="3">
        <f>IFERROR(__xludf.DUMMYFUNCTION("SPLIT(C272, ""-"")"),13.0)</f>
        <v>13</v>
      </c>
      <c r="G272" s="3">
        <f>IFERROR(__xludf.DUMMYFUNCTION("""COMPUTED_VALUE"""),77.0)</f>
        <v>77</v>
      </c>
      <c r="I272" s="3" t="str">
        <f t="shared" si="1"/>
        <v/>
      </c>
      <c r="J272" s="3" t="str">
        <f t="shared" si="2"/>
        <v/>
      </c>
      <c r="K272" s="3" t="str">
        <f t="shared" si="3"/>
        <v>y</v>
      </c>
      <c r="L272" s="3" t="str">
        <f t="shared" si="4"/>
        <v>y</v>
      </c>
      <c r="N272" s="3" t="str">
        <f t="shared" si="5"/>
        <v/>
      </c>
      <c r="O272" s="3">
        <f t="shared" si="6"/>
        <v>1</v>
      </c>
      <c r="Q272" s="3">
        <f t="shared" si="7"/>
        <v>1</v>
      </c>
      <c r="U272" s="3">
        <f t="shared" si="8"/>
        <v>1</v>
      </c>
      <c r="V272" s="3" t="str">
        <f t="shared" si="9"/>
        <v>Överlapp</v>
      </c>
      <c r="W272" s="3" t="str">
        <f t="shared" si="10"/>
        <v>Överlapp</v>
      </c>
      <c r="X272" s="3" t="str">
        <f t="shared" si="11"/>
        <v/>
      </c>
    </row>
    <row r="273">
      <c r="A273" s="1" t="s">
        <v>278</v>
      </c>
      <c r="B273" s="3" t="str">
        <f>IFERROR(__xludf.DUMMYFUNCTION("SPLIT(A273, "","")"),"32-78")</f>
        <v>32-78</v>
      </c>
      <c r="C273" s="3" t="str">
        <f>IFERROR(__xludf.DUMMYFUNCTION("""COMPUTED_VALUE"""),"32-79")</f>
        <v>32-79</v>
      </c>
      <c r="D273" s="3">
        <f>IFERROR(__xludf.DUMMYFUNCTION("SPLIT(B273, ""-"")"),32.0)</f>
        <v>32</v>
      </c>
      <c r="E273" s="3">
        <f>IFERROR(__xludf.DUMMYFUNCTION("""COMPUTED_VALUE"""),78.0)</f>
        <v>78</v>
      </c>
      <c r="F273" s="3">
        <f>IFERROR(__xludf.DUMMYFUNCTION("SPLIT(C273, ""-"")"),32.0)</f>
        <v>32</v>
      </c>
      <c r="G273" s="3">
        <f>IFERROR(__xludf.DUMMYFUNCTION("""COMPUTED_VALUE"""),79.0)</f>
        <v>79</v>
      </c>
      <c r="I273" s="3" t="str">
        <f t="shared" si="1"/>
        <v>y</v>
      </c>
      <c r="J273" s="3" t="str">
        <f t="shared" si="2"/>
        <v/>
      </c>
      <c r="K273" s="3" t="str">
        <f t="shared" si="3"/>
        <v>y</v>
      </c>
      <c r="L273" s="3" t="str">
        <f t="shared" si="4"/>
        <v>y</v>
      </c>
      <c r="N273" s="3" t="str">
        <f t="shared" si="5"/>
        <v/>
      </c>
      <c r="O273" s="3">
        <f t="shared" si="6"/>
        <v>1</v>
      </c>
      <c r="Q273" s="3">
        <f t="shared" si="7"/>
        <v>1</v>
      </c>
      <c r="U273" s="3" t="str">
        <f t="shared" si="8"/>
        <v>Överlapp</v>
      </c>
      <c r="V273" s="3" t="str">
        <f t="shared" si="9"/>
        <v>Överlapp</v>
      </c>
      <c r="W273" s="3" t="str">
        <f t="shared" si="10"/>
        <v>Överlapp</v>
      </c>
      <c r="X273" s="3" t="str">
        <f t="shared" si="11"/>
        <v/>
      </c>
    </row>
    <row r="274">
      <c r="A274" s="1" t="s">
        <v>279</v>
      </c>
      <c r="B274" s="3" t="str">
        <f>IFERROR(__xludf.DUMMYFUNCTION("SPLIT(A274, "","")"),"60-98")</f>
        <v>60-98</v>
      </c>
      <c r="C274" s="3" t="str">
        <f>IFERROR(__xludf.DUMMYFUNCTION("""COMPUTED_VALUE"""),"60-98")</f>
        <v>60-98</v>
      </c>
      <c r="D274" s="3">
        <f>IFERROR(__xludf.DUMMYFUNCTION("SPLIT(B274, ""-"")"),60.0)</f>
        <v>60</v>
      </c>
      <c r="E274" s="3">
        <f>IFERROR(__xludf.DUMMYFUNCTION("""COMPUTED_VALUE"""),98.0)</f>
        <v>98</v>
      </c>
      <c r="F274" s="3">
        <f>IFERROR(__xludf.DUMMYFUNCTION("SPLIT(C274, ""-"")"),60.0)</f>
        <v>60</v>
      </c>
      <c r="G274" s="3">
        <f>IFERROR(__xludf.DUMMYFUNCTION("""COMPUTED_VALUE"""),98.0)</f>
        <v>98</v>
      </c>
      <c r="I274" s="3" t="str">
        <f t="shared" si="1"/>
        <v>y</v>
      </c>
      <c r="J274" s="3" t="str">
        <f t="shared" si="2"/>
        <v>y</v>
      </c>
      <c r="K274" s="3" t="str">
        <f t="shared" si="3"/>
        <v>y</v>
      </c>
      <c r="L274" s="3" t="str">
        <f t="shared" si="4"/>
        <v>y</v>
      </c>
      <c r="N274" s="3">
        <f t="shared" si="5"/>
        <v>1</v>
      </c>
      <c r="O274" s="3">
        <f t="shared" si="6"/>
        <v>1</v>
      </c>
      <c r="Q274" s="3">
        <f t="shared" si="7"/>
        <v>1</v>
      </c>
      <c r="U274" s="3" t="str">
        <f t="shared" si="8"/>
        <v>Överlapp</v>
      </c>
      <c r="V274" s="3" t="str">
        <f t="shared" si="9"/>
        <v>Överlapp</v>
      </c>
      <c r="W274" s="3" t="str">
        <f t="shared" si="10"/>
        <v>Överlapp</v>
      </c>
      <c r="X274" s="3" t="str">
        <f t="shared" si="11"/>
        <v/>
      </c>
    </row>
    <row r="275">
      <c r="A275" s="1" t="s">
        <v>280</v>
      </c>
      <c r="B275" s="3" t="str">
        <f>IFERROR(__xludf.DUMMYFUNCTION("SPLIT(A275, "","")"),"64-70")</f>
        <v>64-70</v>
      </c>
      <c r="C275" s="3" t="str">
        <f>IFERROR(__xludf.DUMMYFUNCTION("""COMPUTED_VALUE"""),"41-69")</f>
        <v>41-69</v>
      </c>
      <c r="D275" s="3">
        <f>IFERROR(__xludf.DUMMYFUNCTION("SPLIT(B275, ""-"")"),64.0)</f>
        <v>64</v>
      </c>
      <c r="E275" s="3">
        <f>IFERROR(__xludf.DUMMYFUNCTION("""COMPUTED_VALUE"""),70.0)</f>
        <v>70</v>
      </c>
      <c r="F275" s="3">
        <f>IFERROR(__xludf.DUMMYFUNCTION("SPLIT(C275, ""-"")"),41.0)</f>
        <v>41</v>
      </c>
      <c r="G275" s="3">
        <f>IFERROR(__xludf.DUMMYFUNCTION("""COMPUTED_VALUE"""),69.0)</f>
        <v>69</v>
      </c>
      <c r="I275" s="3" t="str">
        <f t="shared" si="1"/>
        <v/>
      </c>
      <c r="J275" s="3" t="str">
        <f t="shared" si="2"/>
        <v>y</v>
      </c>
      <c r="K275" s="3" t="str">
        <f t="shared" si="3"/>
        <v>y</v>
      </c>
      <c r="L275" s="3" t="str">
        <f t="shared" si="4"/>
        <v/>
      </c>
      <c r="N275" s="3" t="str">
        <f t="shared" si="5"/>
        <v/>
      </c>
      <c r="O275" s="3" t="str">
        <f t="shared" si="6"/>
        <v/>
      </c>
      <c r="Q275" s="3" t="str">
        <f t="shared" si="7"/>
        <v/>
      </c>
      <c r="U275" s="3">
        <f t="shared" si="8"/>
        <v>1</v>
      </c>
      <c r="V275" s="3" t="str">
        <f t="shared" si="9"/>
        <v>Överlapp</v>
      </c>
      <c r="W275" s="3" t="str">
        <f t="shared" si="10"/>
        <v>Överlapp</v>
      </c>
      <c r="X275" s="3" t="str">
        <f t="shared" si="11"/>
        <v/>
      </c>
    </row>
    <row r="276">
      <c r="A276" s="1" t="s">
        <v>281</v>
      </c>
      <c r="B276" s="3" t="str">
        <f>IFERROR(__xludf.DUMMYFUNCTION("SPLIT(A276, "","")"),"14-59")</f>
        <v>14-59</v>
      </c>
      <c r="C276" s="3" t="str">
        <f>IFERROR(__xludf.DUMMYFUNCTION("""COMPUTED_VALUE"""),"14-59")</f>
        <v>14-59</v>
      </c>
      <c r="D276" s="3">
        <f>IFERROR(__xludf.DUMMYFUNCTION("SPLIT(B276, ""-"")"),14.0)</f>
        <v>14</v>
      </c>
      <c r="E276" s="3">
        <f>IFERROR(__xludf.DUMMYFUNCTION("""COMPUTED_VALUE"""),59.0)</f>
        <v>59</v>
      </c>
      <c r="F276" s="3">
        <f>IFERROR(__xludf.DUMMYFUNCTION("SPLIT(C276, ""-"")"),14.0)</f>
        <v>14</v>
      </c>
      <c r="G276" s="3">
        <f>IFERROR(__xludf.DUMMYFUNCTION("""COMPUTED_VALUE"""),59.0)</f>
        <v>59</v>
      </c>
      <c r="I276" s="3" t="str">
        <f t="shared" si="1"/>
        <v>y</v>
      </c>
      <c r="J276" s="3" t="str">
        <f t="shared" si="2"/>
        <v>y</v>
      </c>
      <c r="K276" s="3" t="str">
        <f t="shared" si="3"/>
        <v>y</v>
      </c>
      <c r="L276" s="3" t="str">
        <f t="shared" si="4"/>
        <v>y</v>
      </c>
      <c r="N276" s="3">
        <f t="shared" si="5"/>
        <v>1</v>
      </c>
      <c r="O276" s="3">
        <f t="shared" si="6"/>
        <v>1</v>
      </c>
      <c r="Q276" s="3">
        <f t="shared" si="7"/>
        <v>1</v>
      </c>
      <c r="U276" s="3" t="str">
        <f t="shared" si="8"/>
        <v>Överlapp</v>
      </c>
      <c r="V276" s="3" t="str">
        <f t="shared" si="9"/>
        <v>Överlapp</v>
      </c>
      <c r="W276" s="3" t="str">
        <f t="shared" si="10"/>
        <v>Överlapp</v>
      </c>
      <c r="X276" s="3" t="str">
        <f t="shared" si="11"/>
        <v/>
      </c>
    </row>
    <row r="277">
      <c r="A277" s="1" t="s">
        <v>282</v>
      </c>
      <c r="B277" s="3" t="str">
        <f>IFERROR(__xludf.DUMMYFUNCTION("SPLIT(A277, "","")"),"46-98")</f>
        <v>46-98</v>
      </c>
      <c r="C277" s="3" t="str">
        <f>IFERROR(__xludf.DUMMYFUNCTION("""COMPUTED_VALUE"""),"3-99")</f>
        <v>3-99</v>
      </c>
      <c r="D277" s="3">
        <f>IFERROR(__xludf.DUMMYFUNCTION("SPLIT(B277, ""-"")"),46.0)</f>
        <v>46</v>
      </c>
      <c r="E277" s="3">
        <f>IFERROR(__xludf.DUMMYFUNCTION("""COMPUTED_VALUE"""),98.0)</f>
        <v>98</v>
      </c>
      <c r="F277" s="3">
        <f>IFERROR(__xludf.DUMMYFUNCTION("SPLIT(C277, ""-"")"),3.0)</f>
        <v>3</v>
      </c>
      <c r="G277" s="3">
        <f>IFERROR(__xludf.DUMMYFUNCTION("""COMPUTED_VALUE"""),99.0)</f>
        <v>99</v>
      </c>
      <c r="I277" s="3" t="str">
        <f t="shared" si="1"/>
        <v/>
      </c>
      <c r="J277" s="3" t="str">
        <f t="shared" si="2"/>
        <v/>
      </c>
      <c r="K277" s="3" t="str">
        <f t="shared" si="3"/>
        <v>y</v>
      </c>
      <c r="L277" s="3" t="str">
        <f t="shared" si="4"/>
        <v>y</v>
      </c>
      <c r="N277" s="3" t="str">
        <f t="shared" si="5"/>
        <v/>
      </c>
      <c r="O277" s="3">
        <f t="shared" si="6"/>
        <v>1</v>
      </c>
      <c r="Q277" s="3">
        <f t="shared" si="7"/>
        <v>1</v>
      </c>
      <c r="U277" s="3">
        <f t="shared" si="8"/>
        <v>1</v>
      </c>
      <c r="V277" s="3" t="str">
        <f t="shared" si="9"/>
        <v>Överlapp</v>
      </c>
      <c r="W277" s="3" t="str">
        <f t="shared" si="10"/>
        <v>Överlapp</v>
      </c>
      <c r="X277" s="3" t="str">
        <f t="shared" si="11"/>
        <v/>
      </c>
    </row>
    <row r="278">
      <c r="A278" s="1" t="s">
        <v>283</v>
      </c>
      <c r="B278" s="3" t="str">
        <f>IFERROR(__xludf.DUMMYFUNCTION("SPLIT(A278, "","")"),"29-62")</f>
        <v>29-62</v>
      </c>
      <c r="C278" s="3" t="str">
        <f>IFERROR(__xludf.DUMMYFUNCTION("""COMPUTED_VALUE"""),"62-97")</f>
        <v>62-97</v>
      </c>
      <c r="D278" s="3">
        <f>IFERROR(__xludf.DUMMYFUNCTION("SPLIT(B278, ""-"")"),29.0)</f>
        <v>29</v>
      </c>
      <c r="E278" s="3">
        <f>IFERROR(__xludf.DUMMYFUNCTION("""COMPUTED_VALUE"""),62.0)</f>
        <v>62</v>
      </c>
      <c r="F278" s="3">
        <f>IFERROR(__xludf.DUMMYFUNCTION("SPLIT(C278, ""-"")"),62.0)</f>
        <v>62</v>
      </c>
      <c r="G278" s="3">
        <f>IFERROR(__xludf.DUMMYFUNCTION("""COMPUTED_VALUE"""),97.0)</f>
        <v>97</v>
      </c>
      <c r="I278" s="3" t="str">
        <f t="shared" si="1"/>
        <v>y</v>
      </c>
      <c r="J278" s="3" t="str">
        <f t="shared" si="2"/>
        <v/>
      </c>
      <c r="K278" s="3" t="str">
        <f t="shared" si="3"/>
        <v/>
      </c>
      <c r="L278" s="3" t="str">
        <f t="shared" si="4"/>
        <v>y</v>
      </c>
      <c r="N278" s="3" t="str">
        <f t="shared" si="5"/>
        <v/>
      </c>
      <c r="O278" s="3" t="str">
        <f t="shared" si="6"/>
        <v/>
      </c>
      <c r="Q278" s="3" t="str">
        <f t="shared" si="7"/>
        <v/>
      </c>
      <c r="U278" s="3" t="str">
        <f t="shared" si="8"/>
        <v>Överlapp</v>
      </c>
      <c r="V278" s="3" t="str">
        <f t="shared" si="9"/>
        <v>Överlapp</v>
      </c>
      <c r="W278" s="3" t="str">
        <f t="shared" si="10"/>
        <v>Överlapp</v>
      </c>
      <c r="X278" s="3" t="str">
        <f t="shared" si="11"/>
        <v/>
      </c>
    </row>
    <row r="279">
      <c r="A279" s="1" t="s">
        <v>284</v>
      </c>
      <c r="B279" s="3" t="str">
        <f>IFERROR(__xludf.DUMMYFUNCTION("SPLIT(A279, "","")"),"18-95")</f>
        <v>18-95</v>
      </c>
      <c r="C279" s="3" t="str">
        <f>IFERROR(__xludf.DUMMYFUNCTION("""COMPUTED_VALUE"""),"36-96")</f>
        <v>36-96</v>
      </c>
      <c r="D279" s="3">
        <f>IFERROR(__xludf.DUMMYFUNCTION("SPLIT(B279, ""-"")"),18.0)</f>
        <v>18</v>
      </c>
      <c r="E279" s="3">
        <f>IFERROR(__xludf.DUMMYFUNCTION("""COMPUTED_VALUE"""),95.0)</f>
        <v>95</v>
      </c>
      <c r="F279" s="3">
        <f>IFERROR(__xludf.DUMMYFUNCTION("SPLIT(C279, ""-"")"),36.0)</f>
        <v>36</v>
      </c>
      <c r="G279" s="3">
        <f>IFERROR(__xludf.DUMMYFUNCTION("""COMPUTED_VALUE"""),96.0)</f>
        <v>96</v>
      </c>
      <c r="I279" s="3" t="str">
        <f t="shared" si="1"/>
        <v>y</v>
      </c>
      <c r="J279" s="3" t="str">
        <f t="shared" si="2"/>
        <v/>
      </c>
      <c r="K279" s="3" t="str">
        <f t="shared" si="3"/>
        <v/>
      </c>
      <c r="L279" s="3" t="str">
        <f t="shared" si="4"/>
        <v>y</v>
      </c>
      <c r="N279" s="3" t="str">
        <f t="shared" si="5"/>
        <v/>
      </c>
      <c r="O279" s="3" t="str">
        <f t="shared" si="6"/>
        <v/>
      </c>
      <c r="Q279" s="3" t="str">
        <f t="shared" si="7"/>
        <v/>
      </c>
      <c r="U279" s="3">
        <f t="shared" si="8"/>
        <v>1</v>
      </c>
      <c r="V279" s="3" t="str">
        <f t="shared" si="9"/>
        <v>Överlapp</v>
      </c>
      <c r="W279" s="3" t="str">
        <f t="shared" si="10"/>
        <v>Överlapp</v>
      </c>
      <c r="X279" s="3" t="str">
        <f t="shared" si="11"/>
        <v/>
      </c>
    </row>
    <row r="280">
      <c r="A280" s="1" t="s">
        <v>285</v>
      </c>
      <c r="B280" s="3" t="str">
        <f>IFERROR(__xludf.DUMMYFUNCTION("SPLIT(A280, "","")"),"84-85")</f>
        <v>84-85</v>
      </c>
      <c r="C280" s="3" t="str">
        <f>IFERROR(__xludf.DUMMYFUNCTION("""COMPUTED_VALUE"""),"27-85")</f>
        <v>27-85</v>
      </c>
      <c r="D280" s="3">
        <f>IFERROR(__xludf.DUMMYFUNCTION("SPLIT(B280, ""-"")"),84.0)</f>
        <v>84</v>
      </c>
      <c r="E280" s="3">
        <f>IFERROR(__xludf.DUMMYFUNCTION("""COMPUTED_VALUE"""),85.0)</f>
        <v>85</v>
      </c>
      <c r="F280" s="3">
        <f>IFERROR(__xludf.DUMMYFUNCTION("SPLIT(C280, ""-"")"),27.0)</f>
        <v>27</v>
      </c>
      <c r="G280" s="3">
        <f>IFERROR(__xludf.DUMMYFUNCTION("""COMPUTED_VALUE"""),85.0)</f>
        <v>85</v>
      </c>
      <c r="I280" s="3" t="str">
        <f t="shared" si="1"/>
        <v/>
      </c>
      <c r="J280" s="3" t="str">
        <f t="shared" si="2"/>
        <v>y</v>
      </c>
      <c r="K280" s="3" t="str">
        <f t="shared" si="3"/>
        <v>y</v>
      </c>
      <c r="L280" s="3" t="str">
        <f t="shared" si="4"/>
        <v>y</v>
      </c>
      <c r="N280" s="3" t="str">
        <f t="shared" si="5"/>
        <v/>
      </c>
      <c r="O280" s="3">
        <f t="shared" si="6"/>
        <v>1</v>
      </c>
      <c r="Q280" s="3">
        <f t="shared" si="7"/>
        <v>1</v>
      </c>
      <c r="U280" s="3" t="str">
        <f t="shared" si="8"/>
        <v>Överlapp</v>
      </c>
      <c r="V280" s="3" t="str">
        <f t="shared" si="9"/>
        <v>Överlapp</v>
      </c>
      <c r="W280" s="3" t="str">
        <f t="shared" si="10"/>
        <v>Överlapp</v>
      </c>
      <c r="X280" s="3" t="str">
        <f t="shared" si="11"/>
        <v/>
      </c>
    </row>
    <row r="281">
      <c r="A281" s="1" t="s">
        <v>286</v>
      </c>
      <c r="B281" s="3" t="str">
        <f>IFERROR(__xludf.DUMMYFUNCTION("SPLIT(A281, "","")"),"16-18")</f>
        <v>16-18</v>
      </c>
      <c r="C281" s="3" t="str">
        <f>IFERROR(__xludf.DUMMYFUNCTION("""COMPUTED_VALUE"""),"17-44")</f>
        <v>17-44</v>
      </c>
      <c r="D281" s="3">
        <f>IFERROR(__xludf.DUMMYFUNCTION("SPLIT(B281, ""-"")"),16.0)</f>
        <v>16</v>
      </c>
      <c r="E281" s="3">
        <f>IFERROR(__xludf.DUMMYFUNCTION("""COMPUTED_VALUE"""),18.0)</f>
        <v>18</v>
      </c>
      <c r="F281" s="3">
        <f>IFERROR(__xludf.DUMMYFUNCTION("SPLIT(C281, ""-"")"),17.0)</f>
        <v>17</v>
      </c>
      <c r="G281" s="3">
        <f>IFERROR(__xludf.DUMMYFUNCTION("""COMPUTED_VALUE"""),44.0)</f>
        <v>44</v>
      </c>
      <c r="I281" s="3" t="str">
        <f t="shared" si="1"/>
        <v>y</v>
      </c>
      <c r="J281" s="3" t="str">
        <f t="shared" si="2"/>
        <v/>
      </c>
      <c r="K281" s="3" t="str">
        <f t="shared" si="3"/>
        <v/>
      </c>
      <c r="L281" s="3" t="str">
        <f t="shared" si="4"/>
        <v>y</v>
      </c>
      <c r="N281" s="3" t="str">
        <f t="shared" si="5"/>
        <v/>
      </c>
      <c r="O281" s="3" t="str">
        <f t="shared" si="6"/>
        <v/>
      </c>
      <c r="Q281" s="3" t="str">
        <f t="shared" si="7"/>
        <v/>
      </c>
      <c r="U281" s="3">
        <f t="shared" si="8"/>
        <v>1</v>
      </c>
      <c r="V281" s="3" t="str">
        <f t="shared" si="9"/>
        <v>Överlapp</v>
      </c>
      <c r="W281" s="3" t="str">
        <f t="shared" si="10"/>
        <v>Överlapp</v>
      </c>
      <c r="X281" s="3" t="str">
        <f t="shared" si="11"/>
        <v/>
      </c>
    </row>
    <row r="282">
      <c r="A282" s="1" t="s">
        <v>287</v>
      </c>
      <c r="B282" s="3" t="str">
        <f>IFERROR(__xludf.DUMMYFUNCTION("SPLIT(A282, "","")"),"33-72")</f>
        <v>33-72</v>
      </c>
      <c r="C282" s="3" t="str">
        <f>IFERROR(__xludf.DUMMYFUNCTION("""COMPUTED_VALUE"""),"53-71")</f>
        <v>53-71</v>
      </c>
      <c r="D282" s="3">
        <f>IFERROR(__xludf.DUMMYFUNCTION("SPLIT(B282, ""-"")"),33.0)</f>
        <v>33</v>
      </c>
      <c r="E282" s="3">
        <f>IFERROR(__xludf.DUMMYFUNCTION("""COMPUTED_VALUE"""),72.0)</f>
        <v>72</v>
      </c>
      <c r="F282" s="3">
        <f>IFERROR(__xludf.DUMMYFUNCTION("SPLIT(C282, ""-"")"),53.0)</f>
        <v>53</v>
      </c>
      <c r="G282" s="3">
        <f>IFERROR(__xludf.DUMMYFUNCTION("""COMPUTED_VALUE"""),71.0)</f>
        <v>71</v>
      </c>
      <c r="I282" s="3" t="str">
        <f t="shared" si="1"/>
        <v>y</v>
      </c>
      <c r="J282" s="3" t="str">
        <f t="shared" si="2"/>
        <v>y</v>
      </c>
      <c r="K282" s="3" t="str">
        <f t="shared" si="3"/>
        <v/>
      </c>
      <c r="L282" s="3" t="str">
        <f t="shared" si="4"/>
        <v/>
      </c>
      <c r="N282" s="3">
        <f t="shared" si="5"/>
        <v>1</v>
      </c>
      <c r="O282" s="3" t="str">
        <f t="shared" si="6"/>
        <v/>
      </c>
      <c r="Q282" s="3">
        <f t="shared" si="7"/>
        <v>1</v>
      </c>
      <c r="U282" s="3">
        <f t="shared" si="8"/>
        <v>1</v>
      </c>
      <c r="V282" s="3" t="str">
        <f t="shared" si="9"/>
        <v>Överlapp</v>
      </c>
      <c r="W282" s="3" t="str">
        <f t="shared" si="10"/>
        <v>Överlapp</v>
      </c>
      <c r="X282" s="3" t="str">
        <f t="shared" si="11"/>
        <v/>
      </c>
    </row>
    <row r="283">
      <c r="A283" s="1" t="s">
        <v>288</v>
      </c>
      <c r="B283" s="3" t="str">
        <f>IFERROR(__xludf.DUMMYFUNCTION("SPLIT(A283, "","")"),"47-91")</f>
        <v>47-91</v>
      </c>
      <c r="C283" s="3" t="str">
        <f>IFERROR(__xludf.DUMMYFUNCTION("""COMPUTED_VALUE"""),"27-28")</f>
        <v>27-28</v>
      </c>
      <c r="D283" s="3">
        <f>IFERROR(__xludf.DUMMYFUNCTION("SPLIT(B283, ""-"")"),47.0)</f>
        <v>47</v>
      </c>
      <c r="E283" s="3">
        <f>IFERROR(__xludf.DUMMYFUNCTION("""COMPUTED_VALUE"""),91.0)</f>
        <v>91</v>
      </c>
      <c r="F283" s="3">
        <f>IFERROR(__xludf.DUMMYFUNCTION("SPLIT(C283, ""-"")"),27.0)</f>
        <v>27</v>
      </c>
      <c r="G283" s="3">
        <f>IFERROR(__xludf.DUMMYFUNCTION("""COMPUTED_VALUE"""),28.0)</f>
        <v>28</v>
      </c>
      <c r="I283" s="3" t="str">
        <f t="shared" si="1"/>
        <v/>
      </c>
      <c r="J283" s="3" t="str">
        <f t="shared" si="2"/>
        <v>y</v>
      </c>
      <c r="K283" s="3" t="str">
        <f t="shared" si="3"/>
        <v>y</v>
      </c>
      <c r="L283" s="3" t="str">
        <f t="shared" si="4"/>
        <v/>
      </c>
      <c r="N283" s="3" t="str">
        <f t="shared" si="5"/>
        <v/>
      </c>
      <c r="O283" s="3" t="str">
        <f t="shared" si="6"/>
        <v/>
      </c>
      <c r="Q283" s="3" t="str">
        <f t="shared" si="7"/>
        <v/>
      </c>
      <c r="U283" s="3">
        <f t="shared" si="8"/>
        <v>1</v>
      </c>
      <c r="V283" s="3" t="str">
        <f t="shared" si="9"/>
        <v>Överlapp</v>
      </c>
      <c r="W283" s="3">
        <f t="shared" si="10"/>
        <v>1</v>
      </c>
      <c r="X283" s="3">
        <f t="shared" si="11"/>
        <v>1</v>
      </c>
    </row>
    <row r="284">
      <c r="A284" s="1" t="s">
        <v>289</v>
      </c>
      <c r="B284" s="3" t="str">
        <f>IFERROR(__xludf.DUMMYFUNCTION("SPLIT(A284, "","")"),"35-88")</f>
        <v>35-88</v>
      </c>
      <c r="C284" s="3" t="str">
        <f>IFERROR(__xludf.DUMMYFUNCTION("""COMPUTED_VALUE"""),"35-87")</f>
        <v>35-87</v>
      </c>
      <c r="D284" s="3">
        <f>IFERROR(__xludf.DUMMYFUNCTION("SPLIT(B284, ""-"")"),35.0)</f>
        <v>35</v>
      </c>
      <c r="E284" s="3">
        <f>IFERROR(__xludf.DUMMYFUNCTION("""COMPUTED_VALUE"""),88.0)</f>
        <v>88</v>
      </c>
      <c r="F284" s="3">
        <f>IFERROR(__xludf.DUMMYFUNCTION("SPLIT(C284, ""-"")"),35.0)</f>
        <v>35</v>
      </c>
      <c r="G284" s="3">
        <f>IFERROR(__xludf.DUMMYFUNCTION("""COMPUTED_VALUE"""),87.0)</f>
        <v>87</v>
      </c>
      <c r="I284" s="3" t="str">
        <f t="shared" si="1"/>
        <v>y</v>
      </c>
      <c r="J284" s="3" t="str">
        <f t="shared" si="2"/>
        <v>y</v>
      </c>
      <c r="K284" s="3" t="str">
        <f t="shared" si="3"/>
        <v>y</v>
      </c>
      <c r="L284" s="3" t="str">
        <f t="shared" si="4"/>
        <v/>
      </c>
      <c r="N284" s="3">
        <f t="shared" si="5"/>
        <v>1</v>
      </c>
      <c r="O284" s="3" t="str">
        <f t="shared" si="6"/>
        <v/>
      </c>
      <c r="Q284" s="3">
        <f t="shared" si="7"/>
        <v>1</v>
      </c>
      <c r="U284" s="3" t="str">
        <f t="shared" si="8"/>
        <v>Överlapp</v>
      </c>
      <c r="V284" s="3" t="str">
        <f t="shared" si="9"/>
        <v>Överlapp</v>
      </c>
      <c r="W284" s="3" t="str">
        <f t="shared" si="10"/>
        <v>Överlapp</v>
      </c>
      <c r="X284" s="3" t="str">
        <f t="shared" si="11"/>
        <v/>
      </c>
    </row>
    <row r="285">
      <c r="A285" s="1" t="s">
        <v>290</v>
      </c>
      <c r="B285" s="4">
        <f>IFERROR(__xludf.DUMMYFUNCTION("SPLIT(A285, "","")"),44714.0)</f>
        <v>44714</v>
      </c>
      <c r="C285" s="4">
        <f>IFERROR(__xludf.DUMMYFUNCTION("""COMPUTED_VALUE"""),44621.0)</f>
        <v>44621</v>
      </c>
      <c r="D285" s="3">
        <f>IFERROR(__xludf.DUMMYFUNCTION("SPLIT(B285, ""-"")"),2.0)</f>
        <v>2</v>
      </c>
      <c r="E285" s="3">
        <f>IFERROR(__xludf.DUMMYFUNCTION("""COMPUTED_VALUE"""),6.0)</f>
        <v>6</v>
      </c>
      <c r="F285" s="3">
        <f>IFERROR(__xludf.DUMMYFUNCTION("SPLIT(C285, ""-"")"),1.0)</f>
        <v>1</v>
      </c>
      <c r="G285" s="3">
        <f>IFERROR(__xludf.DUMMYFUNCTION("""COMPUTED_VALUE"""),3.0)</f>
        <v>3</v>
      </c>
      <c r="I285" s="3" t="str">
        <f t="shared" si="1"/>
        <v/>
      </c>
      <c r="J285" s="3" t="str">
        <f t="shared" si="2"/>
        <v>y</v>
      </c>
      <c r="K285" s="3" t="str">
        <f t="shared" si="3"/>
        <v>y</v>
      </c>
      <c r="L285" s="3" t="str">
        <f t="shared" si="4"/>
        <v/>
      </c>
      <c r="N285" s="3" t="str">
        <f t="shared" si="5"/>
        <v/>
      </c>
      <c r="O285" s="3" t="str">
        <f t="shared" si="6"/>
        <v/>
      </c>
      <c r="Q285" s="3" t="str">
        <f t="shared" si="7"/>
        <v/>
      </c>
      <c r="U285" s="3">
        <f t="shared" si="8"/>
        <v>1</v>
      </c>
      <c r="V285" s="3" t="str">
        <f t="shared" si="9"/>
        <v>Överlapp</v>
      </c>
      <c r="W285" s="3" t="str">
        <f t="shared" si="10"/>
        <v>Överlapp</v>
      </c>
      <c r="X285" s="3" t="str">
        <f t="shared" si="11"/>
        <v/>
      </c>
    </row>
    <row r="286">
      <c r="A286" s="1" t="s">
        <v>291</v>
      </c>
      <c r="B286" s="3" t="str">
        <f>IFERROR(__xludf.DUMMYFUNCTION("SPLIT(A286, "","")"),"84-86")</f>
        <v>84-86</v>
      </c>
      <c r="C286" s="3" t="str">
        <f>IFERROR(__xludf.DUMMYFUNCTION("""COMPUTED_VALUE"""),"73-85")</f>
        <v>73-85</v>
      </c>
      <c r="D286" s="3">
        <f>IFERROR(__xludf.DUMMYFUNCTION("SPLIT(B286, ""-"")"),84.0)</f>
        <v>84</v>
      </c>
      <c r="E286" s="3">
        <f>IFERROR(__xludf.DUMMYFUNCTION("""COMPUTED_VALUE"""),86.0)</f>
        <v>86</v>
      </c>
      <c r="F286" s="3">
        <f>IFERROR(__xludf.DUMMYFUNCTION("SPLIT(C286, ""-"")"),73.0)</f>
        <v>73</v>
      </c>
      <c r="G286" s="3">
        <f>IFERROR(__xludf.DUMMYFUNCTION("""COMPUTED_VALUE"""),85.0)</f>
        <v>85</v>
      </c>
      <c r="I286" s="3" t="str">
        <f t="shared" si="1"/>
        <v/>
      </c>
      <c r="J286" s="3" t="str">
        <f t="shared" si="2"/>
        <v>y</v>
      </c>
      <c r="K286" s="3" t="str">
        <f t="shared" si="3"/>
        <v>y</v>
      </c>
      <c r="L286" s="3" t="str">
        <f t="shared" si="4"/>
        <v/>
      </c>
      <c r="N286" s="3" t="str">
        <f t="shared" si="5"/>
        <v/>
      </c>
      <c r="O286" s="3" t="str">
        <f t="shared" si="6"/>
        <v/>
      </c>
      <c r="Q286" s="3" t="str">
        <f t="shared" si="7"/>
        <v/>
      </c>
      <c r="U286" s="3">
        <f t="shared" si="8"/>
        <v>1</v>
      </c>
      <c r="V286" s="3" t="str">
        <f t="shared" si="9"/>
        <v>Överlapp</v>
      </c>
      <c r="W286" s="3" t="str">
        <f t="shared" si="10"/>
        <v>Överlapp</v>
      </c>
      <c r="X286" s="3" t="str">
        <f t="shared" si="11"/>
        <v/>
      </c>
    </row>
    <row r="287">
      <c r="A287" s="1" t="s">
        <v>292</v>
      </c>
      <c r="B287" s="3" t="str">
        <f>IFERROR(__xludf.DUMMYFUNCTION("SPLIT(A287, "","")"),"5-99")</f>
        <v>5-99</v>
      </c>
      <c r="C287" s="3" t="str">
        <f>IFERROR(__xludf.DUMMYFUNCTION("""COMPUTED_VALUE"""),"4-87")</f>
        <v>4-87</v>
      </c>
      <c r="D287" s="3">
        <f>IFERROR(__xludf.DUMMYFUNCTION("SPLIT(B287, ""-"")"),5.0)</f>
        <v>5</v>
      </c>
      <c r="E287" s="3">
        <f>IFERROR(__xludf.DUMMYFUNCTION("""COMPUTED_VALUE"""),99.0)</f>
        <v>99</v>
      </c>
      <c r="F287" s="3">
        <f>IFERROR(__xludf.DUMMYFUNCTION("SPLIT(C287, ""-"")"),4.0)</f>
        <v>4</v>
      </c>
      <c r="G287" s="3">
        <f>IFERROR(__xludf.DUMMYFUNCTION("""COMPUTED_VALUE"""),87.0)</f>
        <v>87</v>
      </c>
      <c r="I287" s="3" t="str">
        <f t="shared" si="1"/>
        <v/>
      </c>
      <c r="J287" s="3" t="str">
        <f t="shared" si="2"/>
        <v>y</v>
      </c>
      <c r="K287" s="3" t="str">
        <f t="shared" si="3"/>
        <v>y</v>
      </c>
      <c r="L287" s="3" t="str">
        <f t="shared" si="4"/>
        <v/>
      </c>
      <c r="N287" s="3" t="str">
        <f t="shared" si="5"/>
        <v/>
      </c>
      <c r="O287" s="3" t="str">
        <f t="shared" si="6"/>
        <v/>
      </c>
      <c r="Q287" s="3" t="str">
        <f t="shared" si="7"/>
        <v/>
      </c>
      <c r="U287" s="3">
        <f t="shared" si="8"/>
        <v>1</v>
      </c>
      <c r="V287" s="3" t="str">
        <f t="shared" si="9"/>
        <v>Överlapp</v>
      </c>
      <c r="W287" s="3" t="str">
        <f t="shared" si="10"/>
        <v>Överlapp</v>
      </c>
      <c r="X287" s="3" t="str">
        <f t="shared" si="11"/>
        <v/>
      </c>
    </row>
    <row r="288">
      <c r="A288" s="1" t="s">
        <v>293</v>
      </c>
      <c r="B288" s="4">
        <f>IFERROR(__xludf.DUMMYFUNCTION("SPLIT(A288, "","")"),44685.0)</f>
        <v>44685</v>
      </c>
      <c r="C288" s="3" t="str">
        <f>IFERROR(__xludf.DUMMYFUNCTION("""COMPUTED_VALUE"""),"5-92")</f>
        <v>5-92</v>
      </c>
      <c r="D288" s="3">
        <f>IFERROR(__xludf.DUMMYFUNCTION("SPLIT(B288, ""-"")"),4.0)</f>
        <v>4</v>
      </c>
      <c r="E288" s="3">
        <f>IFERROR(__xludf.DUMMYFUNCTION("""COMPUTED_VALUE"""),5.0)</f>
        <v>5</v>
      </c>
      <c r="F288" s="3">
        <f>IFERROR(__xludf.DUMMYFUNCTION("SPLIT(C288, ""-"")"),5.0)</f>
        <v>5</v>
      </c>
      <c r="G288" s="3">
        <f>IFERROR(__xludf.DUMMYFUNCTION("""COMPUTED_VALUE"""),92.0)</f>
        <v>92</v>
      </c>
      <c r="I288" s="3" t="str">
        <f t="shared" si="1"/>
        <v>y</v>
      </c>
      <c r="J288" s="3" t="str">
        <f t="shared" si="2"/>
        <v/>
      </c>
      <c r="K288" s="3" t="str">
        <f t="shared" si="3"/>
        <v/>
      </c>
      <c r="L288" s="3" t="str">
        <f t="shared" si="4"/>
        <v>y</v>
      </c>
      <c r="N288" s="3" t="str">
        <f t="shared" si="5"/>
        <v/>
      </c>
      <c r="O288" s="3" t="str">
        <f t="shared" si="6"/>
        <v/>
      </c>
      <c r="Q288" s="3" t="str">
        <f t="shared" si="7"/>
        <v/>
      </c>
      <c r="U288" s="3" t="str">
        <f t="shared" si="8"/>
        <v>Överlapp</v>
      </c>
      <c r="V288" s="3" t="str">
        <f t="shared" si="9"/>
        <v>Överlapp</v>
      </c>
      <c r="W288" s="3" t="str">
        <f t="shared" si="10"/>
        <v>Överlapp</v>
      </c>
      <c r="X288" s="3" t="str">
        <f t="shared" si="11"/>
        <v/>
      </c>
    </row>
    <row r="289">
      <c r="A289" s="1" t="s">
        <v>294</v>
      </c>
      <c r="B289" s="3" t="str">
        <f>IFERROR(__xludf.DUMMYFUNCTION("SPLIT(A289, "","")"),"11-66")</f>
        <v>11-66</v>
      </c>
      <c r="C289" s="3" t="str">
        <f>IFERROR(__xludf.DUMMYFUNCTION("""COMPUTED_VALUE"""),"11-67")</f>
        <v>11-67</v>
      </c>
      <c r="D289" s="3">
        <f>IFERROR(__xludf.DUMMYFUNCTION("SPLIT(B289, ""-"")"),11.0)</f>
        <v>11</v>
      </c>
      <c r="E289" s="3">
        <f>IFERROR(__xludf.DUMMYFUNCTION("""COMPUTED_VALUE"""),66.0)</f>
        <v>66</v>
      </c>
      <c r="F289" s="3">
        <f>IFERROR(__xludf.DUMMYFUNCTION("SPLIT(C289, ""-"")"),11.0)</f>
        <v>11</v>
      </c>
      <c r="G289" s="3">
        <f>IFERROR(__xludf.DUMMYFUNCTION("""COMPUTED_VALUE"""),67.0)</f>
        <v>67</v>
      </c>
      <c r="I289" s="3" t="str">
        <f t="shared" si="1"/>
        <v>y</v>
      </c>
      <c r="J289" s="3" t="str">
        <f t="shared" si="2"/>
        <v/>
      </c>
      <c r="K289" s="3" t="str">
        <f t="shared" si="3"/>
        <v>y</v>
      </c>
      <c r="L289" s="3" t="str">
        <f t="shared" si="4"/>
        <v>y</v>
      </c>
      <c r="N289" s="3" t="str">
        <f t="shared" si="5"/>
        <v/>
      </c>
      <c r="O289" s="3">
        <f t="shared" si="6"/>
        <v>1</v>
      </c>
      <c r="Q289" s="3">
        <f t="shared" si="7"/>
        <v>1</v>
      </c>
      <c r="U289" s="3" t="str">
        <f t="shared" si="8"/>
        <v>Överlapp</v>
      </c>
      <c r="V289" s="3" t="str">
        <f t="shared" si="9"/>
        <v>Överlapp</v>
      </c>
      <c r="W289" s="3" t="str">
        <f t="shared" si="10"/>
        <v>Överlapp</v>
      </c>
      <c r="X289" s="3" t="str">
        <f t="shared" si="11"/>
        <v/>
      </c>
    </row>
    <row r="290">
      <c r="A290" s="1" t="s">
        <v>295</v>
      </c>
      <c r="B290" s="3" t="str">
        <f>IFERROR(__xludf.DUMMYFUNCTION("SPLIT(A290, "","")"),"4-42")</f>
        <v>4-42</v>
      </c>
      <c r="C290" s="3" t="str">
        <f>IFERROR(__xludf.DUMMYFUNCTION("""COMPUTED_VALUE"""),"5-48")</f>
        <v>5-48</v>
      </c>
      <c r="D290" s="3">
        <f>IFERROR(__xludf.DUMMYFUNCTION("SPLIT(B290, ""-"")"),4.0)</f>
        <v>4</v>
      </c>
      <c r="E290" s="3">
        <f>IFERROR(__xludf.DUMMYFUNCTION("""COMPUTED_VALUE"""),42.0)</f>
        <v>42</v>
      </c>
      <c r="F290" s="3">
        <f>IFERROR(__xludf.DUMMYFUNCTION("SPLIT(C290, ""-"")"),5.0)</f>
        <v>5</v>
      </c>
      <c r="G290" s="3">
        <f>IFERROR(__xludf.DUMMYFUNCTION("""COMPUTED_VALUE"""),48.0)</f>
        <v>48</v>
      </c>
      <c r="I290" s="3" t="str">
        <f t="shared" si="1"/>
        <v>y</v>
      </c>
      <c r="J290" s="3" t="str">
        <f t="shared" si="2"/>
        <v/>
      </c>
      <c r="K290" s="3" t="str">
        <f t="shared" si="3"/>
        <v/>
      </c>
      <c r="L290" s="3" t="str">
        <f t="shared" si="4"/>
        <v>y</v>
      </c>
      <c r="N290" s="3" t="str">
        <f t="shared" si="5"/>
        <v/>
      </c>
      <c r="O290" s="3" t="str">
        <f t="shared" si="6"/>
        <v/>
      </c>
      <c r="Q290" s="3" t="str">
        <f t="shared" si="7"/>
        <v/>
      </c>
      <c r="U290" s="3">
        <f t="shared" si="8"/>
        <v>1</v>
      </c>
      <c r="V290" s="3" t="str">
        <f t="shared" si="9"/>
        <v>Överlapp</v>
      </c>
      <c r="W290" s="3" t="str">
        <f t="shared" si="10"/>
        <v>Överlapp</v>
      </c>
      <c r="X290" s="3" t="str">
        <f t="shared" si="11"/>
        <v/>
      </c>
    </row>
    <row r="291">
      <c r="A291" s="1" t="s">
        <v>296</v>
      </c>
      <c r="B291" s="3" t="str">
        <f>IFERROR(__xludf.DUMMYFUNCTION("SPLIT(A291, "","")"),"28-93")</f>
        <v>28-93</v>
      </c>
      <c r="C291" s="3" t="str">
        <f>IFERROR(__xludf.DUMMYFUNCTION("""COMPUTED_VALUE"""),"29-92")</f>
        <v>29-92</v>
      </c>
      <c r="D291" s="3">
        <f>IFERROR(__xludf.DUMMYFUNCTION("SPLIT(B291, ""-"")"),28.0)</f>
        <v>28</v>
      </c>
      <c r="E291" s="3">
        <f>IFERROR(__xludf.DUMMYFUNCTION("""COMPUTED_VALUE"""),93.0)</f>
        <v>93</v>
      </c>
      <c r="F291" s="3">
        <f>IFERROR(__xludf.DUMMYFUNCTION("SPLIT(C291, ""-"")"),29.0)</f>
        <v>29</v>
      </c>
      <c r="G291" s="3">
        <f>IFERROR(__xludf.DUMMYFUNCTION("""COMPUTED_VALUE"""),92.0)</f>
        <v>92</v>
      </c>
      <c r="I291" s="3" t="str">
        <f t="shared" si="1"/>
        <v>y</v>
      </c>
      <c r="J291" s="3" t="str">
        <f t="shared" si="2"/>
        <v>y</v>
      </c>
      <c r="K291" s="3" t="str">
        <f t="shared" si="3"/>
        <v/>
      </c>
      <c r="L291" s="3" t="str">
        <f t="shared" si="4"/>
        <v/>
      </c>
      <c r="N291" s="3">
        <f t="shared" si="5"/>
        <v>1</v>
      </c>
      <c r="O291" s="3" t="str">
        <f t="shared" si="6"/>
        <v/>
      </c>
      <c r="Q291" s="3">
        <f t="shared" si="7"/>
        <v>1</v>
      </c>
      <c r="U291" s="3">
        <f t="shared" si="8"/>
        <v>1</v>
      </c>
      <c r="V291" s="3" t="str">
        <f t="shared" si="9"/>
        <v>Överlapp</v>
      </c>
      <c r="W291" s="3" t="str">
        <f t="shared" si="10"/>
        <v>Överlapp</v>
      </c>
      <c r="X291" s="3" t="str">
        <f t="shared" si="11"/>
        <v/>
      </c>
    </row>
    <row r="292">
      <c r="A292" s="1" t="s">
        <v>297</v>
      </c>
      <c r="B292" s="3" t="str">
        <f>IFERROR(__xludf.DUMMYFUNCTION("SPLIT(A292, "","")"),"2-50")</f>
        <v>2-50</v>
      </c>
      <c r="C292" s="3" t="str">
        <f>IFERROR(__xludf.DUMMYFUNCTION("""COMPUTED_VALUE"""),"3-49")</f>
        <v>3-49</v>
      </c>
      <c r="D292" s="3">
        <f>IFERROR(__xludf.DUMMYFUNCTION("SPLIT(B292, ""-"")"),2.0)</f>
        <v>2</v>
      </c>
      <c r="E292" s="3">
        <f>IFERROR(__xludf.DUMMYFUNCTION("""COMPUTED_VALUE"""),50.0)</f>
        <v>50</v>
      </c>
      <c r="F292" s="3">
        <f>IFERROR(__xludf.DUMMYFUNCTION("SPLIT(C292, ""-"")"),3.0)</f>
        <v>3</v>
      </c>
      <c r="G292" s="3">
        <f>IFERROR(__xludf.DUMMYFUNCTION("""COMPUTED_VALUE"""),49.0)</f>
        <v>49</v>
      </c>
      <c r="I292" s="3" t="str">
        <f t="shared" si="1"/>
        <v>y</v>
      </c>
      <c r="J292" s="3" t="str">
        <f t="shared" si="2"/>
        <v>y</v>
      </c>
      <c r="K292" s="3" t="str">
        <f t="shared" si="3"/>
        <v/>
      </c>
      <c r="L292" s="3" t="str">
        <f t="shared" si="4"/>
        <v/>
      </c>
      <c r="N292" s="3">
        <f t="shared" si="5"/>
        <v>1</v>
      </c>
      <c r="O292" s="3" t="str">
        <f t="shared" si="6"/>
        <v/>
      </c>
      <c r="Q292" s="3">
        <f t="shared" si="7"/>
        <v>1</v>
      </c>
      <c r="U292" s="3">
        <f t="shared" si="8"/>
        <v>1</v>
      </c>
      <c r="V292" s="3" t="str">
        <f t="shared" si="9"/>
        <v>Överlapp</v>
      </c>
      <c r="W292" s="3" t="str">
        <f t="shared" si="10"/>
        <v>Överlapp</v>
      </c>
      <c r="X292" s="3" t="str">
        <f t="shared" si="11"/>
        <v/>
      </c>
    </row>
    <row r="293">
      <c r="A293" s="1" t="s">
        <v>298</v>
      </c>
      <c r="B293" s="3" t="str">
        <f>IFERROR(__xludf.DUMMYFUNCTION("SPLIT(A293, "","")"),"37-87")</f>
        <v>37-87</v>
      </c>
      <c r="C293" s="3" t="str">
        <f>IFERROR(__xludf.DUMMYFUNCTION("""COMPUTED_VALUE"""),"87-87")</f>
        <v>87-87</v>
      </c>
      <c r="D293" s="3">
        <f>IFERROR(__xludf.DUMMYFUNCTION("SPLIT(B293, ""-"")"),37.0)</f>
        <v>37</v>
      </c>
      <c r="E293" s="3">
        <f>IFERROR(__xludf.DUMMYFUNCTION("""COMPUTED_VALUE"""),87.0)</f>
        <v>87</v>
      </c>
      <c r="F293" s="3">
        <f>IFERROR(__xludf.DUMMYFUNCTION("SPLIT(C293, ""-"")"),87.0)</f>
        <v>87</v>
      </c>
      <c r="G293" s="3">
        <f>IFERROR(__xludf.DUMMYFUNCTION("""COMPUTED_VALUE"""),87.0)</f>
        <v>87</v>
      </c>
      <c r="I293" s="3" t="str">
        <f t="shared" si="1"/>
        <v>y</v>
      </c>
      <c r="J293" s="3" t="str">
        <f t="shared" si="2"/>
        <v>y</v>
      </c>
      <c r="K293" s="3" t="str">
        <f t="shared" si="3"/>
        <v/>
      </c>
      <c r="L293" s="3" t="str">
        <f t="shared" si="4"/>
        <v>y</v>
      </c>
      <c r="N293" s="3">
        <f t="shared" si="5"/>
        <v>1</v>
      </c>
      <c r="O293" s="3" t="str">
        <f t="shared" si="6"/>
        <v/>
      </c>
      <c r="Q293" s="3">
        <f t="shared" si="7"/>
        <v>1</v>
      </c>
      <c r="U293" s="3" t="str">
        <f t="shared" si="8"/>
        <v>Överlapp</v>
      </c>
      <c r="V293" s="3" t="str">
        <f t="shared" si="9"/>
        <v>Överlapp</v>
      </c>
      <c r="W293" s="3" t="str">
        <f t="shared" si="10"/>
        <v>Överlapp</v>
      </c>
      <c r="X293" s="3" t="str">
        <f t="shared" si="11"/>
        <v/>
      </c>
    </row>
    <row r="294">
      <c r="A294" s="1" t="s">
        <v>299</v>
      </c>
      <c r="B294" s="3" t="str">
        <f>IFERROR(__xludf.DUMMYFUNCTION("SPLIT(A294, "","")"),"14-90")</f>
        <v>14-90</v>
      </c>
      <c r="C294" s="3" t="str">
        <f>IFERROR(__xludf.DUMMYFUNCTION("""COMPUTED_VALUE"""),"97-99")</f>
        <v>97-99</v>
      </c>
      <c r="D294" s="3">
        <f>IFERROR(__xludf.DUMMYFUNCTION("SPLIT(B294, ""-"")"),14.0)</f>
        <v>14</v>
      </c>
      <c r="E294" s="3">
        <f>IFERROR(__xludf.DUMMYFUNCTION("""COMPUTED_VALUE"""),90.0)</f>
        <v>90</v>
      </c>
      <c r="F294" s="3">
        <f>IFERROR(__xludf.DUMMYFUNCTION("SPLIT(C294, ""-"")"),97.0)</f>
        <v>97</v>
      </c>
      <c r="G294" s="3">
        <f>IFERROR(__xludf.DUMMYFUNCTION("""COMPUTED_VALUE"""),99.0)</f>
        <v>99</v>
      </c>
      <c r="I294" s="3" t="str">
        <f t="shared" si="1"/>
        <v>y</v>
      </c>
      <c r="J294" s="3" t="str">
        <f t="shared" si="2"/>
        <v/>
      </c>
      <c r="K294" s="3" t="str">
        <f t="shared" si="3"/>
        <v/>
      </c>
      <c r="L294" s="3" t="str">
        <f t="shared" si="4"/>
        <v>y</v>
      </c>
      <c r="N294" s="3" t="str">
        <f t="shared" si="5"/>
        <v/>
      </c>
      <c r="O294" s="3" t="str">
        <f t="shared" si="6"/>
        <v/>
      </c>
      <c r="Q294" s="3" t="str">
        <f t="shared" si="7"/>
        <v/>
      </c>
      <c r="U294" s="3">
        <f t="shared" si="8"/>
        <v>1</v>
      </c>
      <c r="V294" s="3">
        <f t="shared" si="9"/>
        <v>1</v>
      </c>
      <c r="W294" s="3" t="str">
        <f t="shared" si="10"/>
        <v>Överlapp</v>
      </c>
      <c r="X294" s="3">
        <f t="shared" si="11"/>
        <v>1</v>
      </c>
    </row>
    <row r="295">
      <c r="A295" s="1" t="s">
        <v>300</v>
      </c>
      <c r="B295" s="3" t="str">
        <f>IFERROR(__xludf.DUMMYFUNCTION("SPLIT(A295, "","")"),"74-95")</f>
        <v>74-95</v>
      </c>
      <c r="C295" s="3" t="str">
        <f>IFERROR(__xludf.DUMMYFUNCTION("""COMPUTED_VALUE"""),"74-94")</f>
        <v>74-94</v>
      </c>
      <c r="D295" s="3">
        <f>IFERROR(__xludf.DUMMYFUNCTION("SPLIT(B295, ""-"")"),74.0)</f>
        <v>74</v>
      </c>
      <c r="E295" s="3">
        <f>IFERROR(__xludf.DUMMYFUNCTION("""COMPUTED_VALUE"""),95.0)</f>
        <v>95</v>
      </c>
      <c r="F295" s="3">
        <f>IFERROR(__xludf.DUMMYFUNCTION("SPLIT(C295, ""-"")"),74.0)</f>
        <v>74</v>
      </c>
      <c r="G295" s="3">
        <f>IFERROR(__xludf.DUMMYFUNCTION("""COMPUTED_VALUE"""),94.0)</f>
        <v>94</v>
      </c>
      <c r="I295" s="3" t="str">
        <f t="shared" si="1"/>
        <v>y</v>
      </c>
      <c r="J295" s="3" t="str">
        <f t="shared" si="2"/>
        <v>y</v>
      </c>
      <c r="K295" s="3" t="str">
        <f t="shared" si="3"/>
        <v>y</v>
      </c>
      <c r="L295" s="3" t="str">
        <f t="shared" si="4"/>
        <v/>
      </c>
      <c r="N295" s="3">
        <f t="shared" si="5"/>
        <v>1</v>
      </c>
      <c r="O295" s="3" t="str">
        <f t="shared" si="6"/>
        <v/>
      </c>
      <c r="Q295" s="3">
        <f t="shared" si="7"/>
        <v>1</v>
      </c>
      <c r="U295" s="3" t="str">
        <f t="shared" si="8"/>
        <v>Överlapp</v>
      </c>
      <c r="V295" s="3" t="str">
        <f t="shared" si="9"/>
        <v>Överlapp</v>
      </c>
      <c r="W295" s="3" t="str">
        <f t="shared" si="10"/>
        <v>Överlapp</v>
      </c>
      <c r="X295" s="3" t="str">
        <f t="shared" si="11"/>
        <v/>
      </c>
    </row>
    <row r="296">
      <c r="A296" s="1" t="s">
        <v>301</v>
      </c>
      <c r="B296" s="3" t="str">
        <f>IFERROR(__xludf.DUMMYFUNCTION("SPLIT(A296, "","")"),"25-74")</f>
        <v>25-74</v>
      </c>
      <c r="C296" s="3" t="str">
        <f>IFERROR(__xludf.DUMMYFUNCTION("""COMPUTED_VALUE"""),"22-73")</f>
        <v>22-73</v>
      </c>
      <c r="D296" s="3">
        <f>IFERROR(__xludf.DUMMYFUNCTION("SPLIT(B296, ""-"")"),25.0)</f>
        <v>25</v>
      </c>
      <c r="E296" s="3">
        <f>IFERROR(__xludf.DUMMYFUNCTION("""COMPUTED_VALUE"""),74.0)</f>
        <v>74</v>
      </c>
      <c r="F296" s="3">
        <f>IFERROR(__xludf.DUMMYFUNCTION("SPLIT(C296, ""-"")"),22.0)</f>
        <v>22</v>
      </c>
      <c r="G296" s="3">
        <f>IFERROR(__xludf.DUMMYFUNCTION("""COMPUTED_VALUE"""),73.0)</f>
        <v>73</v>
      </c>
      <c r="I296" s="3" t="str">
        <f t="shared" si="1"/>
        <v/>
      </c>
      <c r="J296" s="3" t="str">
        <f t="shared" si="2"/>
        <v>y</v>
      </c>
      <c r="K296" s="3" t="str">
        <f t="shared" si="3"/>
        <v>y</v>
      </c>
      <c r="L296" s="3" t="str">
        <f t="shared" si="4"/>
        <v/>
      </c>
      <c r="N296" s="3" t="str">
        <f t="shared" si="5"/>
        <v/>
      </c>
      <c r="O296" s="3" t="str">
        <f t="shared" si="6"/>
        <v/>
      </c>
      <c r="Q296" s="3" t="str">
        <f t="shared" si="7"/>
        <v/>
      </c>
      <c r="U296" s="3">
        <f t="shared" si="8"/>
        <v>1</v>
      </c>
      <c r="V296" s="3" t="str">
        <f t="shared" si="9"/>
        <v>Överlapp</v>
      </c>
      <c r="W296" s="3" t="str">
        <f t="shared" si="10"/>
        <v>Överlapp</v>
      </c>
      <c r="X296" s="3" t="str">
        <f t="shared" si="11"/>
        <v/>
      </c>
    </row>
    <row r="297">
      <c r="A297" s="1" t="s">
        <v>302</v>
      </c>
      <c r="B297" s="3" t="str">
        <f>IFERROR(__xludf.DUMMYFUNCTION("SPLIT(A297, "","")"),"47-99")</f>
        <v>47-99</v>
      </c>
      <c r="C297" s="3" t="str">
        <f>IFERROR(__xludf.DUMMYFUNCTION("""COMPUTED_VALUE"""),"47-93")</f>
        <v>47-93</v>
      </c>
      <c r="D297" s="3">
        <f>IFERROR(__xludf.DUMMYFUNCTION("SPLIT(B297, ""-"")"),47.0)</f>
        <v>47</v>
      </c>
      <c r="E297" s="3">
        <f>IFERROR(__xludf.DUMMYFUNCTION("""COMPUTED_VALUE"""),99.0)</f>
        <v>99</v>
      </c>
      <c r="F297" s="3">
        <f>IFERROR(__xludf.DUMMYFUNCTION("SPLIT(C297, ""-"")"),47.0)</f>
        <v>47</v>
      </c>
      <c r="G297" s="3">
        <f>IFERROR(__xludf.DUMMYFUNCTION("""COMPUTED_VALUE"""),93.0)</f>
        <v>93</v>
      </c>
      <c r="I297" s="3" t="str">
        <f t="shared" si="1"/>
        <v>y</v>
      </c>
      <c r="J297" s="3" t="str">
        <f t="shared" si="2"/>
        <v>y</v>
      </c>
      <c r="K297" s="3" t="str">
        <f t="shared" si="3"/>
        <v>y</v>
      </c>
      <c r="L297" s="3" t="str">
        <f t="shared" si="4"/>
        <v/>
      </c>
      <c r="N297" s="3">
        <f t="shared" si="5"/>
        <v>1</v>
      </c>
      <c r="O297" s="3" t="str">
        <f t="shared" si="6"/>
        <v/>
      </c>
      <c r="Q297" s="3">
        <f t="shared" si="7"/>
        <v>1</v>
      </c>
      <c r="U297" s="3" t="str">
        <f t="shared" si="8"/>
        <v>Överlapp</v>
      </c>
      <c r="V297" s="3" t="str">
        <f t="shared" si="9"/>
        <v>Överlapp</v>
      </c>
      <c r="W297" s="3" t="str">
        <f t="shared" si="10"/>
        <v>Överlapp</v>
      </c>
      <c r="X297" s="3" t="str">
        <f t="shared" si="11"/>
        <v/>
      </c>
    </row>
    <row r="298">
      <c r="A298" s="1" t="s">
        <v>303</v>
      </c>
      <c r="B298" s="3" t="str">
        <f>IFERROR(__xludf.DUMMYFUNCTION("SPLIT(A298, "","")"),"8-86")</f>
        <v>8-86</v>
      </c>
      <c r="C298" s="3" t="str">
        <f>IFERROR(__xludf.DUMMYFUNCTION("""COMPUTED_VALUE"""),"7-87")</f>
        <v>7-87</v>
      </c>
      <c r="D298" s="3">
        <f>IFERROR(__xludf.DUMMYFUNCTION("SPLIT(B298, ""-"")"),8.0)</f>
        <v>8</v>
      </c>
      <c r="E298" s="3">
        <f>IFERROR(__xludf.DUMMYFUNCTION("""COMPUTED_VALUE"""),86.0)</f>
        <v>86</v>
      </c>
      <c r="F298" s="3">
        <f>IFERROR(__xludf.DUMMYFUNCTION("SPLIT(C298, ""-"")"),7.0)</f>
        <v>7</v>
      </c>
      <c r="G298" s="3">
        <f>IFERROR(__xludf.DUMMYFUNCTION("""COMPUTED_VALUE"""),87.0)</f>
        <v>87</v>
      </c>
      <c r="I298" s="3" t="str">
        <f t="shared" si="1"/>
        <v/>
      </c>
      <c r="J298" s="3" t="str">
        <f t="shared" si="2"/>
        <v/>
      </c>
      <c r="K298" s="3" t="str">
        <f t="shared" si="3"/>
        <v>y</v>
      </c>
      <c r="L298" s="3" t="str">
        <f t="shared" si="4"/>
        <v>y</v>
      </c>
      <c r="N298" s="3" t="str">
        <f t="shared" si="5"/>
        <v/>
      </c>
      <c r="O298" s="3">
        <f t="shared" si="6"/>
        <v>1</v>
      </c>
      <c r="Q298" s="3">
        <f t="shared" si="7"/>
        <v>1</v>
      </c>
      <c r="U298" s="3">
        <f t="shared" si="8"/>
        <v>1</v>
      </c>
      <c r="V298" s="3" t="str">
        <f t="shared" si="9"/>
        <v>Överlapp</v>
      </c>
      <c r="W298" s="3" t="str">
        <f t="shared" si="10"/>
        <v>Överlapp</v>
      </c>
      <c r="X298" s="3" t="str">
        <f t="shared" si="11"/>
        <v/>
      </c>
    </row>
    <row r="299">
      <c r="A299" s="1" t="s">
        <v>304</v>
      </c>
      <c r="B299" s="3" t="str">
        <f>IFERROR(__xludf.DUMMYFUNCTION("SPLIT(A299, "","")"),"33-99")</f>
        <v>33-99</v>
      </c>
      <c r="C299" s="3" t="str">
        <f>IFERROR(__xludf.DUMMYFUNCTION("""COMPUTED_VALUE"""),"32-34")</f>
        <v>32-34</v>
      </c>
      <c r="D299" s="3">
        <f>IFERROR(__xludf.DUMMYFUNCTION("SPLIT(B299, ""-"")"),33.0)</f>
        <v>33</v>
      </c>
      <c r="E299" s="3">
        <f>IFERROR(__xludf.DUMMYFUNCTION("""COMPUTED_VALUE"""),99.0)</f>
        <v>99</v>
      </c>
      <c r="F299" s="3">
        <f>IFERROR(__xludf.DUMMYFUNCTION("SPLIT(C299, ""-"")"),32.0)</f>
        <v>32</v>
      </c>
      <c r="G299" s="3">
        <f>IFERROR(__xludf.DUMMYFUNCTION("""COMPUTED_VALUE"""),34.0)</f>
        <v>34</v>
      </c>
      <c r="I299" s="3" t="str">
        <f t="shared" si="1"/>
        <v/>
      </c>
      <c r="J299" s="3" t="str">
        <f t="shared" si="2"/>
        <v>y</v>
      </c>
      <c r="K299" s="3" t="str">
        <f t="shared" si="3"/>
        <v>y</v>
      </c>
      <c r="L299" s="3" t="str">
        <f t="shared" si="4"/>
        <v/>
      </c>
      <c r="N299" s="3" t="str">
        <f t="shared" si="5"/>
        <v/>
      </c>
      <c r="O299" s="3" t="str">
        <f t="shared" si="6"/>
        <v/>
      </c>
      <c r="Q299" s="3" t="str">
        <f t="shared" si="7"/>
        <v/>
      </c>
      <c r="U299" s="3">
        <f t="shared" si="8"/>
        <v>1</v>
      </c>
      <c r="V299" s="3" t="str">
        <f t="shared" si="9"/>
        <v>Överlapp</v>
      </c>
      <c r="W299" s="3" t="str">
        <f t="shared" si="10"/>
        <v>Överlapp</v>
      </c>
      <c r="X299" s="3" t="str">
        <f t="shared" si="11"/>
        <v/>
      </c>
    </row>
    <row r="300">
      <c r="A300" s="1" t="s">
        <v>305</v>
      </c>
      <c r="B300" s="3" t="str">
        <f>IFERROR(__xludf.DUMMYFUNCTION("SPLIT(A300, "","")"),"50-51")</f>
        <v>50-51</v>
      </c>
      <c r="C300" s="3" t="str">
        <f>IFERROR(__xludf.DUMMYFUNCTION("""COMPUTED_VALUE"""),"35-50")</f>
        <v>35-50</v>
      </c>
      <c r="D300" s="3">
        <f>IFERROR(__xludf.DUMMYFUNCTION("SPLIT(B300, ""-"")"),50.0)</f>
        <v>50</v>
      </c>
      <c r="E300" s="3">
        <f>IFERROR(__xludf.DUMMYFUNCTION("""COMPUTED_VALUE"""),51.0)</f>
        <v>51</v>
      </c>
      <c r="F300" s="3">
        <f>IFERROR(__xludf.DUMMYFUNCTION("SPLIT(C300, ""-"")"),35.0)</f>
        <v>35</v>
      </c>
      <c r="G300" s="3">
        <f>IFERROR(__xludf.DUMMYFUNCTION("""COMPUTED_VALUE"""),50.0)</f>
        <v>50</v>
      </c>
      <c r="I300" s="3" t="str">
        <f t="shared" si="1"/>
        <v/>
      </c>
      <c r="J300" s="3" t="str">
        <f t="shared" si="2"/>
        <v>y</v>
      </c>
      <c r="K300" s="3" t="str">
        <f t="shared" si="3"/>
        <v>y</v>
      </c>
      <c r="L300" s="3" t="str">
        <f t="shared" si="4"/>
        <v/>
      </c>
      <c r="N300" s="3" t="str">
        <f t="shared" si="5"/>
        <v/>
      </c>
      <c r="O300" s="3" t="str">
        <f t="shared" si="6"/>
        <v/>
      </c>
      <c r="Q300" s="3" t="str">
        <f t="shared" si="7"/>
        <v/>
      </c>
      <c r="U300" s="3" t="str">
        <f t="shared" si="8"/>
        <v>Överlapp</v>
      </c>
      <c r="V300" s="3" t="str">
        <f t="shared" si="9"/>
        <v>Överlapp</v>
      </c>
      <c r="W300" s="3" t="str">
        <f t="shared" si="10"/>
        <v>Överlapp</v>
      </c>
      <c r="X300" s="3" t="str">
        <f t="shared" si="11"/>
        <v/>
      </c>
    </row>
    <row r="301">
      <c r="A301" s="1" t="s">
        <v>306</v>
      </c>
      <c r="B301" s="3" t="str">
        <f>IFERROR(__xludf.DUMMYFUNCTION("SPLIT(A301, "","")"),"91-97")</f>
        <v>91-97</v>
      </c>
      <c r="C301" s="3" t="str">
        <f>IFERROR(__xludf.DUMMYFUNCTION("""COMPUTED_VALUE"""),"15-92")</f>
        <v>15-92</v>
      </c>
      <c r="D301" s="3">
        <f>IFERROR(__xludf.DUMMYFUNCTION("SPLIT(B301, ""-"")"),91.0)</f>
        <v>91</v>
      </c>
      <c r="E301" s="3">
        <f>IFERROR(__xludf.DUMMYFUNCTION("""COMPUTED_VALUE"""),97.0)</f>
        <v>97</v>
      </c>
      <c r="F301" s="3">
        <f>IFERROR(__xludf.DUMMYFUNCTION("SPLIT(C301, ""-"")"),15.0)</f>
        <v>15</v>
      </c>
      <c r="G301" s="3">
        <f>IFERROR(__xludf.DUMMYFUNCTION("""COMPUTED_VALUE"""),92.0)</f>
        <v>92</v>
      </c>
      <c r="I301" s="3" t="str">
        <f t="shared" si="1"/>
        <v/>
      </c>
      <c r="J301" s="3" t="str">
        <f t="shared" si="2"/>
        <v>y</v>
      </c>
      <c r="K301" s="3" t="str">
        <f t="shared" si="3"/>
        <v>y</v>
      </c>
      <c r="L301" s="3" t="str">
        <f t="shared" si="4"/>
        <v/>
      </c>
      <c r="N301" s="3" t="str">
        <f t="shared" si="5"/>
        <v/>
      </c>
      <c r="O301" s="3" t="str">
        <f t="shared" si="6"/>
        <v/>
      </c>
      <c r="Q301" s="3" t="str">
        <f t="shared" si="7"/>
        <v/>
      </c>
      <c r="U301" s="3">
        <f t="shared" si="8"/>
        <v>1</v>
      </c>
      <c r="V301" s="3" t="str">
        <f t="shared" si="9"/>
        <v>Överlapp</v>
      </c>
      <c r="W301" s="3" t="str">
        <f t="shared" si="10"/>
        <v>Överlapp</v>
      </c>
      <c r="X301" s="3" t="str">
        <f t="shared" si="11"/>
        <v/>
      </c>
    </row>
    <row r="302">
      <c r="A302" s="1" t="s">
        <v>307</v>
      </c>
      <c r="B302" s="3" t="str">
        <f>IFERROR(__xludf.DUMMYFUNCTION("SPLIT(A302, "","")"),"41-93")</f>
        <v>41-93</v>
      </c>
      <c r="C302" s="3" t="str">
        <f>IFERROR(__xludf.DUMMYFUNCTION("""COMPUTED_VALUE"""),"37-45")</f>
        <v>37-45</v>
      </c>
      <c r="D302" s="3">
        <f>IFERROR(__xludf.DUMMYFUNCTION("SPLIT(B302, ""-"")"),41.0)</f>
        <v>41</v>
      </c>
      <c r="E302" s="3">
        <f>IFERROR(__xludf.DUMMYFUNCTION("""COMPUTED_VALUE"""),93.0)</f>
        <v>93</v>
      </c>
      <c r="F302" s="3">
        <f>IFERROR(__xludf.DUMMYFUNCTION("SPLIT(C302, ""-"")"),37.0)</f>
        <v>37</v>
      </c>
      <c r="G302" s="3">
        <f>IFERROR(__xludf.DUMMYFUNCTION("""COMPUTED_VALUE"""),45.0)</f>
        <v>45</v>
      </c>
      <c r="I302" s="3" t="str">
        <f t="shared" si="1"/>
        <v/>
      </c>
      <c r="J302" s="3" t="str">
        <f t="shared" si="2"/>
        <v>y</v>
      </c>
      <c r="K302" s="3" t="str">
        <f t="shared" si="3"/>
        <v>y</v>
      </c>
      <c r="L302" s="3" t="str">
        <f t="shared" si="4"/>
        <v/>
      </c>
      <c r="N302" s="3" t="str">
        <f t="shared" si="5"/>
        <v/>
      </c>
      <c r="O302" s="3" t="str">
        <f t="shared" si="6"/>
        <v/>
      </c>
      <c r="Q302" s="3" t="str">
        <f t="shared" si="7"/>
        <v/>
      </c>
      <c r="U302" s="3">
        <f t="shared" si="8"/>
        <v>1</v>
      </c>
      <c r="V302" s="3" t="str">
        <f t="shared" si="9"/>
        <v>Överlapp</v>
      </c>
      <c r="W302" s="3" t="str">
        <f t="shared" si="10"/>
        <v>Överlapp</v>
      </c>
      <c r="X302" s="3" t="str">
        <f t="shared" si="11"/>
        <v/>
      </c>
    </row>
    <row r="303">
      <c r="A303" s="1" t="s">
        <v>308</v>
      </c>
      <c r="B303" s="3" t="str">
        <f>IFERROR(__xludf.DUMMYFUNCTION("SPLIT(A303, "","")"),"53-53")</f>
        <v>53-53</v>
      </c>
      <c r="C303" s="3" t="str">
        <f>IFERROR(__xludf.DUMMYFUNCTION("""COMPUTED_VALUE"""),"52-98")</f>
        <v>52-98</v>
      </c>
      <c r="D303" s="3">
        <f>IFERROR(__xludf.DUMMYFUNCTION("SPLIT(B303, ""-"")"),53.0)</f>
        <v>53</v>
      </c>
      <c r="E303" s="3">
        <f>IFERROR(__xludf.DUMMYFUNCTION("""COMPUTED_VALUE"""),53.0)</f>
        <v>53</v>
      </c>
      <c r="F303" s="3">
        <f>IFERROR(__xludf.DUMMYFUNCTION("SPLIT(C303, ""-"")"),52.0)</f>
        <v>52</v>
      </c>
      <c r="G303" s="3">
        <f>IFERROR(__xludf.DUMMYFUNCTION("""COMPUTED_VALUE"""),98.0)</f>
        <v>98</v>
      </c>
      <c r="I303" s="3" t="str">
        <f t="shared" si="1"/>
        <v/>
      </c>
      <c r="J303" s="3" t="str">
        <f t="shared" si="2"/>
        <v/>
      </c>
      <c r="K303" s="3" t="str">
        <f t="shared" si="3"/>
        <v>y</v>
      </c>
      <c r="L303" s="3" t="str">
        <f t="shared" si="4"/>
        <v>y</v>
      </c>
      <c r="N303" s="3" t="str">
        <f t="shared" si="5"/>
        <v/>
      </c>
      <c r="O303" s="3">
        <f t="shared" si="6"/>
        <v>1</v>
      </c>
      <c r="Q303" s="3">
        <f t="shared" si="7"/>
        <v>1</v>
      </c>
      <c r="U303" s="3">
        <f t="shared" si="8"/>
        <v>1</v>
      </c>
      <c r="V303" s="3" t="str">
        <f t="shared" si="9"/>
        <v>Överlapp</v>
      </c>
      <c r="W303" s="3" t="str">
        <f t="shared" si="10"/>
        <v>Överlapp</v>
      </c>
      <c r="X303" s="3" t="str">
        <f t="shared" si="11"/>
        <v/>
      </c>
    </row>
    <row r="304">
      <c r="A304" s="1" t="s">
        <v>309</v>
      </c>
      <c r="B304" s="3" t="str">
        <f>IFERROR(__xludf.DUMMYFUNCTION("SPLIT(A304, "","")"),"33-60")</f>
        <v>33-60</v>
      </c>
      <c r="C304" s="3" t="str">
        <f>IFERROR(__xludf.DUMMYFUNCTION("""COMPUTED_VALUE"""),"38-64")</f>
        <v>38-64</v>
      </c>
      <c r="D304" s="3">
        <f>IFERROR(__xludf.DUMMYFUNCTION("SPLIT(B304, ""-"")"),33.0)</f>
        <v>33</v>
      </c>
      <c r="E304" s="3">
        <f>IFERROR(__xludf.DUMMYFUNCTION("""COMPUTED_VALUE"""),60.0)</f>
        <v>60</v>
      </c>
      <c r="F304" s="3">
        <f>IFERROR(__xludf.DUMMYFUNCTION("SPLIT(C304, ""-"")"),38.0)</f>
        <v>38</v>
      </c>
      <c r="G304" s="3">
        <f>IFERROR(__xludf.DUMMYFUNCTION("""COMPUTED_VALUE"""),64.0)</f>
        <v>64</v>
      </c>
      <c r="I304" s="3" t="str">
        <f t="shared" si="1"/>
        <v>y</v>
      </c>
      <c r="J304" s="3" t="str">
        <f t="shared" si="2"/>
        <v/>
      </c>
      <c r="K304" s="3" t="str">
        <f t="shared" si="3"/>
        <v/>
      </c>
      <c r="L304" s="3" t="str">
        <f t="shared" si="4"/>
        <v>y</v>
      </c>
      <c r="N304" s="3" t="str">
        <f t="shared" si="5"/>
        <v/>
      </c>
      <c r="O304" s="3" t="str">
        <f t="shared" si="6"/>
        <v/>
      </c>
      <c r="Q304" s="3" t="str">
        <f t="shared" si="7"/>
        <v/>
      </c>
      <c r="U304" s="3">
        <f t="shared" si="8"/>
        <v>1</v>
      </c>
      <c r="V304" s="3" t="str">
        <f t="shared" si="9"/>
        <v>Överlapp</v>
      </c>
      <c r="W304" s="3" t="str">
        <f t="shared" si="10"/>
        <v>Överlapp</v>
      </c>
      <c r="X304" s="3" t="str">
        <f t="shared" si="11"/>
        <v/>
      </c>
    </row>
    <row r="305">
      <c r="A305" s="1" t="s">
        <v>310</v>
      </c>
      <c r="B305" s="3" t="str">
        <f>IFERROR(__xludf.DUMMYFUNCTION("SPLIT(A305, "","")"),"1-92")</f>
        <v>1-92</v>
      </c>
      <c r="C305" s="3" t="str">
        <f>IFERROR(__xludf.DUMMYFUNCTION("""COMPUTED_VALUE"""),"1-80")</f>
        <v>1-80</v>
      </c>
      <c r="D305" s="3">
        <f>IFERROR(__xludf.DUMMYFUNCTION("SPLIT(B305, ""-"")"),1.0)</f>
        <v>1</v>
      </c>
      <c r="E305" s="3">
        <f>IFERROR(__xludf.DUMMYFUNCTION("""COMPUTED_VALUE"""),92.0)</f>
        <v>92</v>
      </c>
      <c r="F305" s="3">
        <f>IFERROR(__xludf.DUMMYFUNCTION("SPLIT(C305, ""-"")"),1.0)</f>
        <v>1</v>
      </c>
      <c r="G305" s="3">
        <f>IFERROR(__xludf.DUMMYFUNCTION("""COMPUTED_VALUE"""),80.0)</f>
        <v>80</v>
      </c>
      <c r="I305" s="3" t="str">
        <f t="shared" si="1"/>
        <v>y</v>
      </c>
      <c r="J305" s="3" t="str">
        <f t="shared" si="2"/>
        <v>y</v>
      </c>
      <c r="K305" s="3" t="str">
        <f t="shared" si="3"/>
        <v>y</v>
      </c>
      <c r="L305" s="3" t="str">
        <f t="shared" si="4"/>
        <v/>
      </c>
      <c r="N305" s="3">
        <f t="shared" si="5"/>
        <v>1</v>
      </c>
      <c r="O305" s="3" t="str">
        <f t="shared" si="6"/>
        <v/>
      </c>
      <c r="Q305" s="3">
        <f t="shared" si="7"/>
        <v>1</v>
      </c>
      <c r="U305" s="3" t="str">
        <f t="shared" si="8"/>
        <v>Överlapp</v>
      </c>
      <c r="V305" s="3" t="str">
        <f t="shared" si="9"/>
        <v>Överlapp</v>
      </c>
      <c r="W305" s="3" t="str">
        <f t="shared" si="10"/>
        <v>Överlapp</v>
      </c>
      <c r="X305" s="3" t="str">
        <f t="shared" si="11"/>
        <v/>
      </c>
    </row>
    <row r="306">
      <c r="A306" s="1" t="s">
        <v>311</v>
      </c>
      <c r="B306" s="3" t="str">
        <f>IFERROR(__xludf.DUMMYFUNCTION("SPLIT(A306, "","")"),"4-56")</f>
        <v>4-56</v>
      </c>
      <c r="C306" s="3" t="str">
        <f>IFERROR(__xludf.DUMMYFUNCTION("""COMPUTED_VALUE"""),"4-68")</f>
        <v>4-68</v>
      </c>
      <c r="D306" s="3">
        <f>IFERROR(__xludf.DUMMYFUNCTION("SPLIT(B306, ""-"")"),4.0)</f>
        <v>4</v>
      </c>
      <c r="E306" s="3">
        <f>IFERROR(__xludf.DUMMYFUNCTION("""COMPUTED_VALUE"""),56.0)</f>
        <v>56</v>
      </c>
      <c r="F306" s="3">
        <f>IFERROR(__xludf.DUMMYFUNCTION("SPLIT(C306, ""-"")"),4.0)</f>
        <v>4</v>
      </c>
      <c r="G306" s="3">
        <f>IFERROR(__xludf.DUMMYFUNCTION("""COMPUTED_VALUE"""),68.0)</f>
        <v>68</v>
      </c>
      <c r="I306" s="3" t="str">
        <f t="shared" si="1"/>
        <v>y</v>
      </c>
      <c r="J306" s="3" t="str">
        <f t="shared" si="2"/>
        <v/>
      </c>
      <c r="K306" s="3" t="str">
        <f t="shared" si="3"/>
        <v>y</v>
      </c>
      <c r="L306" s="3" t="str">
        <f t="shared" si="4"/>
        <v>y</v>
      </c>
      <c r="N306" s="3" t="str">
        <f t="shared" si="5"/>
        <v/>
      </c>
      <c r="O306" s="3">
        <f t="shared" si="6"/>
        <v>1</v>
      </c>
      <c r="Q306" s="3">
        <f t="shared" si="7"/>
        <v>1</v>
      </c>
      <c r="U306" s="3" t="str">
        <f t="shared" si="8"/>
        <v>Överlapp</v>
      </c>
      <c r="V306" s="3" t="str">
        <f t="shared" si="9"/>
        <v>Överlapp</v>
      </c>
      <c r="W306" s="3" t="str">
        <f t="shared" si="10"/>
        <v>Överlapp</v>
      </c>
      <c r="X306" s="3" t="str">
        <f t="shared" si="11"/>
        <v/>
      </c>
    </row>
    <row r="307">
      <c r="A307" s="1" t="s">
        <v>312</v>
      </c>
      <c r="B307" s="3" t="str">
        <f>IFERROR(__xludf.DUMMYFUNCTION("SPLIT(A307, "","")"),"42-64")</f>
        <v>42-64</v>
      </c>
      <c r="C307" s="3" t="str">
        <f>IFERROR(__xludf.DUMMYFUNCTION("""COMPUTED_VALUE"""),"43-73")</f>
        <v>43-73</v>
      </c>
      <c r="D307" s="3">
        <f>IFERROR(__xludf.DUMMYFUNCTION("SPLIT(B307, ""-"")"),42.0)</f>
        <v>42</v>
      </c>
      <c r="E307" s="3">
        <f>IFERROR(__xludf.DUMMYFUNCTION("""COMPUTED_VALUE"""),64.0)</f>
        <v>64</v>
      </c>
      <c r="F307" s="3">
        <f>IFERROR(__xludf.DUMMYFUNCTION("SPLIT(C307, ""-"")"),43.0)</f>
        <v>43</v>
      </c>
      <c r="G307" s="3">
        <f>IFERROR(__xludf.DUMMYFUNCTION("""COMPUTED_VALUE"""),73.0)</f>
        <v>73</v>
      </c>
      <c r="I307" s="3" t="str">
        <f t="shared" si="1"/>
        <v>y</v>
      </c>
      <c r="J307" s="3" t="str">
        <f t="shared" si="2"/>
        <v/>
      </c>
      <c r="K307" s="3" t="str">
        <f t="shared" si="3"/>
        <v/>
      </c>
      <c r="L307" s="3" t="str">
        <f t="shared" si="4"/>
        <v>y</v>
      </c>
      <c r="N307" s="3" t="str">
        <f t="shared" si="5"/>
        <v/>
      </c>
      <c r="O307" s="3" t="str">
        <f t="shared" si="6"/>
        <v/>
      </c>
      <c r="Q307" s="3" t="str">
        <f t="shared" si="7"/>
        <v/>
      </c>
      <c r="U307" s="3">
        <f t="shared" si="8"/>
        <v>1</v>
      </c>
      <c r="V307" s="3" t="str">
        <f t="shared" si="9"/>
        <v>Överlapp</v>
      </c>
      <c r="W307" s="3" t="str">
        <f t="shared" si="10"/>
        <v>Överlapp</v>
      </c>
      <c r="X307" s="3" t="str">
        <f t="shared" si="11"/>
        <v/>
      </c>
    </row>
    <row r="308">
      <c r="A308" s="1" t="s">
        <v>313</v>
      </c>
      <c r="B308" s="3" t="str">
        <f>IFERROR(__xludf.DUMMYFUNCTION("SPLIT(A308, "","")"),"68-75")</f>
        <v>68-75</v>
      </c>
      <c r="C308" s="3" t="str">
        <f>IFERROR(__xludf.DUMMYFUNCTION("""COMPUTED_VALUE"""),"69-69")</f>
        <v>69-69</v>
      </c>
      <c r="D308" s="3">
        <f>IFERROR(__xludf.DUMMYFUNCTION("SPLIT(B308, ""-"")"),68.0)</f>
        <v>68</v>
      </c>
      <c r="E308" s="3">
        <f>IFERROR(__xludf.DUMMYFUNCTION("""COMPUTED_VALUE"""),75.0)</f>
        <v>75</v>
      </c>
      <c r="F308" s="3">
        <f>IFERROR(__xludf.DUMMYFUNCTION("SPLIT(C308, ""-"")"),69.0)</f>
        <v>69</v>
      </c>
      <c r="G308" s="3">
        <f>IFERROR(__xludf.DUMMYFUNCTION("""COMPUTED_VALUE"""),69.0)</f>
        <v>69</v>
      </c>
      <c r="I308" s="3" t="str">
        <f t="shared" si="1"/>
        <v>y</v>
      </c>
      <c r="J308" s="3" t="str">
        <f t="shared" si="2"/>
        <v>y</v>
      </c>
      <c r="K308" s="3" t="str">
        <f t="shared" si="3"/>
        <v/>
      </c>
      <c r="L308" s="3" t="str">
        <f t="shared" si="4"/>
        <v/>
      </c>
      <c r="N308" s="3">
        <f t="shared" si="5"/>
        <v>1</v>
      </c>
      <c r="O308" s="3" t="str">
        <f t="shared" si="6"/>
        <v/>
      </c>
      <c r="Q308" s="3">
        <f t="shared" si="7"/>
        <v>1</v>
      </c>
      <c r="U308" s="3">
        <f t="shared" si="8"/>
        <v>1</v>
      </c>
      <c r="V308" s="3" t="str">
        <f t="shared" si="9"/>
        <v>Överlapp</v>
      </c>
      <c r="W308" s="3" t="str">
        <f t="shared" si="10"/>
        <v>Överlapp</v>
      </c>
      <c r="X308" s="3" t="str">
        <f t="shared" si="11"/>
        <v/>
      </c>
    </row>
    <row r="309">
      <c r="A309" s="1" t="s">
        <v>314</v>
      </c>
      <c r="B309" s="3" t="str">
        <f>IFERROR(__xludf.DUMMYFUNCTION("SPLIT(A309, "","")"),"36-78")</f>
        <v>36-78</v>
      </c>
      <c r="C309" s="3" t="str">
        <f>IFERROR(__xludf.DUMMYFUNCTION("""COMPUTED_VALUE"""),"36-37")</f>
        <v>36-37</v>
      </c>
      <c r="D309" s="3">
        <f>IFERROR(__xludf.DUMMYFUNCTION("SPLIT(B309, ""-"")"),36.0)</f>
        <v>36</v>
      </c>
      <c r="E309" s="3">
        <f>IFERROR(__xludf.DUMMYFUNCTION("""COMPUTED_VALUE"""),78.0)</f>
        <v>78</v>
      </c>
      <c r="F309" s="3">
        <f>IFERROR(__xludf.DUMMYFUNCTION("SPLIT(C309, ""-"")"),36.0)</f>
        <v>36</v>
      </c>
      <c r="G309" s="3">
        <f>IFERROR(__xludf.DUMMYFUNCTION("""COMPUTED_VALUE"""),37.0)</f>
        <v>37</v>
      </c>
      <c r="I309" s="3" t="str">
        <f t="shared" si="1"/>
        <v>y</v>
      </c>
      <c r="J309" s="3" t="str">
        <f t="shared" si="2"/>
        <v>y</v>
      </c>
      <c r="K309" s="3" t="str">
        <f t="shared" si="3"/>
        <v>y</v>
      </c>
      <c r="L309" s="3" t="str">
        <f t="shared" si="4"/>
        <v/>
      </c>
      <c r="N309" s="3">
        <f t="shared" si="5"/>
        <v>1</v>
      </c>
      <c r="O309" s="3" t="str">
        <f t="shared" si="6"/>
        <v/>
      </c>
      <c r="Q309" s="3">
        <f t="shared" si="7"/>
        <v>1</v>
      </c>
      <c r="U309" s="3" t="str">
        <f t="shared" si="8"/>
        <v>Överlapp</v>
      </c>
      <c r="V309" s="3" t="str">
        <f t="shared" si="9"/>
        <v>Överlapp</v>
      </c>
      <c r="W309" s="3" t="str">
        <f t="shared" si="10"/>
        <v>Överlapp</v>
      </c>
      <c r="X309" s="3" t="str">
        <f t="shared" si="11"/>
        <v/>
      </c>
    </row>
    <row r="310">
      <c r="A310" s="1" t="s">
        <v>315</v>
      </c>
      <c r="B310" s="3" t="str">
        <f>IFERROR(__xludf.DUMMYFUNCTION("SPLIT(A310, "","")"),"11-63")</f>
        <v>11-63</v>
      </c>
      <c r="C310" s="3" t="str">
        <f>IFERROR(__xludf.DUMMYFUNCTION("""COMPUTED_VALUE"""),"10-63")</f>
        <v>10-63</v>
      </c>
      <c r="D310" s="3">
        <f>IFERROR(__xludf.DUMMYFUNCTION("SPLIT(B310, ""-"")"),11.0)</f>
        <v>11</v>
      </c>
      <c r="E310" s="3">
        <f>IFERROR(__xludf.DUMMYFUNCTION("""COMPUTED_VALUE"""),63.0)</f>
        <v>63</v>
      </c>
      <c r="F310" s="3">
        <f>IFERROR(__xludf.DUMMYFUNCTION("SPLIT(C310, ""-"")"),10.0)</f>
        <v>10</v>
      </c>
      <c r="G310" s="3">
        <f>IFERROR(__xludf.DUMMYFUNCTION("""COMPUTED_VALUE"""),63.0)</f>
        <v>63</v>
      </c>
      <c r="I310" s="3" t="str">
        <f t="shared" si="1"/>
        <v/>
      </c>
      <c r="J310" s="3" t="str">
        <f t="shared" si="2"/>
        <v>y</v>
      </c>
      <c r="K310" s="3" t="str">
        <f t="shared" si="3"/>
        <v>y</v>
      </c>
      <c r="L310" s="3" t="str">
        <f t="shared" si="4"/>
        <v>y</v>
      </c>
      <c r="N310" s="3" t="str">
        <f t="shared" si="5"/>
        <v/>
      </c>
      <c r="O310" s="3">
        <f t="shared" si="6"/>
        <v>1</v>
      </c>
      <c r="Q310" s="3">
        <f t="shared" si="7"/>
        <v>1</v>
      </c>
      <c r="U310" s="3" t="str">
        <f t="shared" si="8"/>
        <v>Överlapp</v>
      </c>
      <c r="V310" s="3" t="str">
        <f t="shared" si="9"/>
        <v>Överlapp</v>
      </c>
      <c r="W310" s="3" t="str">
        <f t="shared" si="10"/>
        <v>Överlapp</v>
      </c>
      <c r="X310" s="3" t="str">
        <f t="shared" si="11"/>
        <v/>
      </c>
    </row>
    <row r="311">
      <c r="A311" s="1" t="s">
        <v>316</v>
      </c>
      <c r="B311" s="3" t="str">
        <f>IFERROR(__xludf.DUMMYFUNCTION("SPLIT(A311, "","")"),"87-92")</f>
        <v>87-92</v>
      </c>
      <c r="C311" s="3" t="str">
        <f>IFERROR(__xludf.DUMMYFUNCTION("""COMPUTED_VALUE"""),"33-92")</f>
        <v>33-92</v>
      </c>
      <c r="D311" s="3">
        <f>IFERROR(__xludf.DUMMYFUNCTION("SPLIT(B311, ""-"")"),87.0)</f>
        <v>87</v>
      </c>
      <c r="E311" s="3">
        <f>IFERROR(__xludf.DUMMYFUNCTION("""COMPUTED_VALUE"""),92.0)</f>
        <v>92</v>
      </c>
      <c r="F311" s="3">
        <f>IFERROR(__xludf.DUMMYFUNCTION("SPLIT(C311, ""-"")"),33.0)</f>
        <v>33</v>
      </c>
      <c r="G311" s="3">
        <f>IFERROR(__xludf.DUMMYFUNCTION("""COMPUTED_VALUE"""),92.0)</f>
        <v>92</v>
      </c>
      <c r="I311" s="3" t="str">
        <f t="shared" si="1"/>
        <v/>
      </c>
      <c r="J311" s="3" t="str">
        <f t="shared" si="2"/>
        <v>y</v>
      </c>
      <c r="K311" s="3" t="str">
        <f t="shared" si="3"/>
        <v>y</v>
      </c>
      <c r="L311" s="3" t="str">
        <f t="shared" si="4"/>
        <v>y</v>
      </c>
      <c r="N311" s="3" t="str">
        <f t="shared" si="5"/>
        <v/>
      </c>
      <c r="O311" s="3">
        <f t="shared" si="6"/>
        <v>1</v>
      </c>
      <c r="Q311" s="3">
        <f t="shared" si="7"/>
        <v>1</v>
      </c>
      <c r="U311" s="3" t="str">
        <f t="shared" si="8"/>
        <v>Överlapp</v>
      </c>
      <c r="V311" s="3" t="str">
        <f t="shared" si="9"/>
        <v>Överlapp</v>
      </c>
      <c r="W311" s="3" t="str">
        <f t="shared" si="10"/>
        <v>Överlapp</v>
      </c>
      <c r="X311" s="3" t="str">
        <f t="shared" si="11"/>
        <v/>
      </c>
    </row>
    <row r="312">
      <c r="A312" s="1" t="s">
        <v>317</v>
      </c>
      <c r="B312" s="3" t="str">
        <f>IFERROR(__xludf.DUMMYFUNCTION("SPLIT(A312, "","")"),"7-73")</f>
        <v>7-73</v>
      </c>
      <c r="C312" s="3" t="str">
        <f>IFERROR(__xludf.DUMMYFUNCTION("""COMPUTED_VALUE"""),"6-74")</f>
        <v>6-74</v>
      </c>
      <c r="D312" s="3">
        <f>IFERROR(__xludf.DUMMYFUNCTION("SPLIT(B312, ""-"")"),7.0)</f>
        <v>7</v>
      </c>
      <c r="E312" s="3">
        <f>IFERROR(__xludf.DUMMYFUNCTION("""COMPUTED_VALUE"""),73.0)</f>
        <v>73</v>
      </c>
      <c r="F312" s="3">
        <f>IFERROR(__xludf.DUMMYFUNCTION("SPLIT(C312, ""-"")"),6.0)</f>
        <v>6</v>
      </c>
      <c r="G312" s="3">
        <f>IFERROR(__xludf.DUMMYFUNCTION("""COMPUTED_VALUE"""),74.0)</f>
        <v>74</v>
      </c>
      <c r="I312" s="3" t="str">
        <f t="shared" si="1"/>
        <v/>
      </c>
      <c r="J312" s="3" t="str">
        <f t="shared" si="2"/>
        <v/>
      </c>
      <c r="K312" s="3" t="str">
        <f t="shared" si="3"/>
        <v>y</v>
      </c>
      <c r="L312" s="3" t="str">
        <f t="shared" si="4"/>
        <v>y</v>
      </c>
      <c r="N312" s="3" t="str">
        <f t="shared" si="5"/>
        <v/>
      </c>
      <c r="O312" s="3">
        <f t="shared" si="6"/>
        <v>1</v>
      </c>
      <c r="Q312" s="3">
        <f t="shared" si="7"/>
        <v>1</v>
      </c>
      <c r="U312" s="3">
        <f t="shared" si="8"/>
        <v>1</v>
      </c>
      <c r="V312" s="3" t="str">
        <f t="shared" si="9"/>
        <v>Överlapp</v>
      </c>
      <c r="W312" s="3" t="str">
        <f t="shared" si="10"/>
        <v>Överlapp</v>
      </c>
      <c r="X312" s="3" t="str">
        <f t="shared" si="11"/>
        <v/>
      </c>
    </row>
    <row r="313">
      <c r="A313" s="1" t="s">
        <v>318</v>
      </c>
      <c r="B313" s="4">
        <f>IFERROR(__xludf.DUMMYFUNCTION("SPLIT(A313, "","")"),44594.0)</f>
        <v>44594</v>
      </c>
      <c r="C313" s="3" t="str">
        <f>IFERROR(__xludf.DUMMYFUNCTION("""COMPUTED_VALUE"""),"1-94")</f>
        <v>1-94</v>
      </c>
      <c r="D313" s="3">
        <f>IFERROR(__xludf.DUMMYFUNCTION("SPLIT(B313, ""-"")"),2.0)</f>
        <v>2</v>
      </c>
      <c r="E313" s="3">
        <f>IFERROR(__xludf.DUMMYFUNCTION("""COMPUTED_VALUE"""),2.0)</f>
        <v>2</v>
      </c>
      <c r="F313" s="3">
        <f>IFERROR(__xludf.DUMMYFUNCTION("SPLIT(C313, ""-"")"),1.0)</f>
        <v>1</v>
      </c>
      <c r="G313" s="3">
        <f>IFERROR(__xludf.DUMMYFUNCTION("""COMPUTED_VALUE"""),94.0)</f>
        <v>94</v>
      </c>
      <c r="I313" s="3" t="str">
        <f t="shared" si="1"/>
        <v/>
      </c>
      <c r="J313" s="3" t="str">
        <f t="shared" si="2"/>
        <v/>
      </c>
      <c r="K313" s="3" t="str">
        <f t="shared" si="3"/>
        <v>y</v>
      </c>
      <c r="L313" s="3" t="str">
        <f t="shared" si="4"/>
        <v>y</v>
      </c>
      <c r="N313" s="3" t="str">
        <f t="shared" si="5"/>
        <v/>
      </c>
      <c r="O313" s="3">
        <f t="shared" si="6"/>
        <v>1</v>
      </c>
      <c r="Q313" s="3">
        <f t="shared" si="7"/>
        <v>1</v>
      </c>
      <c r="U313" s="3">
        <f t="shared" si="8"/>
        <v>1</v>
      </c>
      <c r="V313" s="3" t="str">
        <f t="shared" si="9"/>
        <v>Överlapp</v>
      </c>
      <c r="W313" s="3" t="str">
        <f t="shared" si="10"/>
        <v>Överlapp</v>
      </c>
      <c r="X313" s="3" t="str">
        <f t="shared" si="11"/>
        <v/>
      </c>
    </row>
    <row r="314">
      <c r="A314" s="1" t="s">
        <v>319</v>
      </c>
      <c r="B314" s="3" t="str">
        <f>IFERROR(__xludf.DUMMYFUNCTION("SPLIT(A314, "","")"),"1-29")</f>
        <v>1-29</v>
      </c>
      <c r="C314" s="3" t="str">
        <f>IFERROR(__xludf.DUMMYFUNCTION("""COMPUTED_VALUE"""),"10-41")</f>
        <v>10-41</v>
      </c>
      <c r="D314" s="3">
        <f>IFERROR(__xludf.DUMMYFUNCTION("SPLIT(B314, ""-"")"),1.0)</f>
        <v>1</v>
      </c>
      <c r="E314" s="3">
        <f>IFERROR(__xludf.DUMMYFUNCTION("""COMPUTED_VALUE"""),29.0)</f>
        <v>29</v>
      </c>
      <c r="F314" s="3">
        <f>IFERROR(__xludf.DUMMYFUNCTION("SPLIT(C314, ""-"")"),10.0)</f>
        <v>10</v>
      </c>
      <c r="G314" s="3">
        <f>IFERROR(__xludf.DUMMYFUNCTION("""COMPUTED_VALUE"""),41.0)</f>
        <v>41</v>
      </c>
      <c r="I314" s="3" t="str">
        <f t="shared" si="1"/>
        <v>y</v>
      </c>
      <c r="J314" s="3" t="str">
        <f t="shared" si="2"/>
        <v/>
      </c>
      <c r="K314" s="3" t="str">
        <f t="shared" si="3"/>
        <v/>
      </c>
      <c r="L314" s="3" t="str">
        <f t="shared" si="4"/>
        <v>y</v>
      </c>
      <c r="N314" s="3" t="str">
        <f t="shared" si="5"/>
        <v/>
      </c>
      <c r="O314" s="3" t="str">
        <f t="shared" si="6"/>
        <v/>
      </c>
      <c r="Q314" s="3" t="str">
        <f t="shared" si="7"/>
        <v/>
      </c>
      <c r="U314" s="3">
        <f t="shared" si="8"/>
        <v>1</v>
      </c>
      <c r="V314" s="3" t="str">
        <f t="shared" si="9"/>
        <v>Överlapp</v>
      </c>
      <c r="W314" s="3" t="str">
        <f t="shared" si="10"/>
        <v>Överlapp</v>
      </c>
      <c r="X314" s="3" t="str">
        <f t="shared" si="11"/>
        <v/>
      </c>
    </row>
    <row r="315">
      <c r="A315" s="1" t="s">
        <v>320</v>
      </c>
      <c r="B315" s="3" t="str">
        <f>IFERROR(__xludf.DUMMYFUNCTION("SPLIT(A315, "","")"),"95-95")</f>
        <v>95-95</v>
      </c>
      <c r="C315" s="3" t="str">
        <f>IFERROR(__xludf.DUMMYFUNCTION("""COMPUTED_VALUE"""),"94-94")</f>
        <v>94-94</v>
      </c>
      <c r="D315" s="3">
        <f>IFERROR(__xludf.DUMMYFUNCTION("SPLIT(B315, ""-"")"),95.0)</f>
        <v>95</v>
      </c>
      <c r="E315" s="3">
        <f>IFERROR(__xludf.DUMMYFUNCTION("""COMPUTED_VALUE"""),95.0)</f>
        <v>95</v>
      </c>
      <c r="F315" s="3">
        <f>IFERROR(__xludf.DUMMYFUNCTION("SPLIT(C315, ""-"")"),94.0)</f>
        <v>94</v>
      </c>
      <c r="G315" s="3">
        <f>IFERROR(__xludf.DUMMYFUNCTION("""COMPUTED_VALUE"""),94.0)</f>
        <v>94</v>
      </c>
      <c r="I315" s="3" t="str">
        <f t="shared" si="1"/>
        <v/>
      </c>
      <c r="J315" s="3" t="str">
        <f t="shared" si="2"/>
        <v>y</v>
      </c>
      <c r="K315" s="3" t="str">
        <f t="shared" si="3"/>
        <v>y</v>
      </c>
      <c r="L315" s="3" t="str">
        <f t="shared" si="4"/>
        <v/>
      </c>
      <c r="N315" s="3" t="str">
        <f t="shared" si="5"/>
        <v/>
      </c>
      <c r="O315" s="3" t="str">
        <f t="shared" si="6"/>
        <v/>
      </c>
      <c r="Q315" s="3" t="str">
        <f t="shared" si="7"/>
        <v/>
      </c>
      <c r="U315" s="3">
        <f t="shared" si="8"/>
        <v>1</v>
      </c>
      <c r="V315" s="3" t="str">
        <f t="shared" si="9"/>
        <v>Överlapp</v>
      </c>
      <c r="W315" s="3">
        <f t="shared" si="10"/>
        <v>1</v>
      </c>
      <c r="X315" s="3">
        <f t="shared" si="11"/>
        <v>1</v>
      </c>
    </row>
    <row r="316">
      <c r="A316" s="1" t="s">
        <v>321</v>
      </c>
      <c r="B316" s="4">
        <f>IFERROR(__xludf.DUMMYFUNCTION("SPLIT(A316, "","")"),44898.0)</f>
        <v>44898</v>
      </c>
      <c r="C316" s="4">
        <f>IFERROR(__xludf.DUMMYFUNCTION("""COMPUTED_VALUE"""),44907.0)</f>
        <v>44907</v>
      </c>
      <c r="D316" s="3">
        <f>IFERROR(__xludf.DUMMYFUNCTION("SPLIT(B316, ""-"")"),3.0)</f>
        <v>3</v>
      </c>
      <c r="E316" s="3">
        <f>IFERROR(__xludf.DUMMYFUNCTION("""COMPUTED_VALUE"""),12.0)</f>
        <v>12</v>
      </c>
      <c r="F316" s="3">
        <f>IFERROR(__xludf.DUMMYFUNCTION("SPLIT(C316, ""-"")"),12.0)</f>
        <v>12</v>
      </c>
      <c r="G316" s="3">
        <f>IFERROR(__xludf.DUMMYFUNCTION("""COMPUTED_VALUE"""),12.0)</f>
        <v>12</v>
      </c>
      <c r="I316" s="3" t="str">
        <f t="shared" si="1"/>
        <v>y</v>
      </c>
      <c r="J316" s="3" t="str">
        <f t="shared" si="2"/>
        <v>y</v>
      </c>
      <c r="K316" s="3" t="str">
        <f t="shared" si="3"/>
        <v/>
      </c>
      <c r="L316" s="3" t="str">
        <f t="shared" si="4"/>
        <v>y</v>
      </c>
      <c r="N316" s="3">
        <f t="shared" si="5"/>
        <v>1</v>
      </c>
      <c r="O316" s="3" t="str">
        <f t="shared" si="6"/>
        <v/>
      </c>
      <c r="Q316" s="3">
        <f t="shared" si="7"/>
        <v>1</v>
      </c>
      <c r="U316" s="3" t="str">
        <f t="shared" si="8"/>
        <v>Överlapp</v>
      </c>
      <c r="V316" s="3" t="str">
        <f t="shared" si="9"/>
        <v>Överlapp</v>
      </c>
      <c r="W316" s="3" t="str">
        <f t="shared" si="10"/>
        <v>Överlapp</v>
      </c>
      <c r="X316" s="3" t="str">
        <f t="shared" si="11"/>
        <v/>
      </c>
    </row>
    <row r="317">
      <c r="A317" s="1" t="s">
        <v>322</v>
      </c>
      <c r="B317" s="3" t="str">
        <f>IFERROR(__xludf.DUMMYFUNCTION("SPLIT(A317, "","")"),"10-61")</f>
        <v>10-61</v>
      </c>
      <c r="C317" s="3" t="str">
        <f>IFERROR(__xludf.DUMMYFUNCTION("""COMPUTED_VALUE"""),"11-60")</f>
        <v>11-60</v>
      </c>
      <c r="D317" s="3">
        <f>IFERROR(__xludf.DUMMYFUNCTION("SPLIT(B317, ""-"")"),10.0)</f>
        <v>10</v>
      </c>
      <c r="E317" s="3">
        <f>IFERROR(__xludf.DUMMYFUNCTION("""COMPUTED_VALUE"""),61.0)</f>
        <v>61</v>
      </c>
      <c r="F317" s="3">
        <f>IFERROR(__xludf.DUMMYFUNCTION("SPLIT(C317, ""-"")"),11.0)</f>
        <v>11</v>
      </c>
      <c r="G317" s="3">
        <f>IFERROR(__xludf.DUMMYFUNCTION("""COMPUTED_VALUE"""),60.0)</f>
        <v>60</v>
      </c>
      <c r="I317" s="3" t="str">
        <f t="shared" si="1"/>
        <v>y</v>
      </c>
      <c r="J317" s="3" t="str">
        <f t="shared" si="2"/>
        <v>y</v>
      </c>
      <c r="K317" s="3" t="str">
        <f t="shared" si="3"/>
        <v/>
      </c>
      <c r="L317" s="3" t="str">
        <f t="shared" si="4"/>
        <v/>
      </c>
      <c r="N317" s="3">
        <f t="shared" si="5"/>
        <v>1</v>
      </c>
      <c r="O317" s="3" t="str">
        <f t="shared" si="6"/>
        <v/>
      </c>
      <c r="Q317" s="3">
        <f t="shared" si="7"/>
        <v>1</v>
      </c>
      <c r="U317" s="3">
        <f t="shared" si="8"/>
        <v>1</v>
      </c>
      <c r="V317" s="3" t="str">
        <f t="shared" si="9"/>
        <v>Överlapp</v>
      </c>
      <c r="W317" s="3" t="str">
        <f t="shared" si="10"/>
        <v>Överlapp</v>
      </c>
      <c r="X317" s="3" t="str">
        <f t="shared" si="11"/>
        <v/>
      </c>
    </row>
    <row r="318">
      <c r="A318" s="1" t="s">
        <v>323</v>
      </c>
      <c r="B318" s="3" t="str">
        <f>IFERROR(__xludf.DUMMYFUNCTION("SPLIT(A318, "","")"),"91-98")</f>
        <v>91-98</v>
      </c>
      <c r="C318" s="3" t="str">
        <f>IFERROR(__xludf.DUMMYFUNCTION("""COMPUTED_VALUE"""),"79-79")</f>
        <v>79-79</v>
      </c>
      <c r="D318" s="3">
        <f>IFERROR(__xludf.DUMMYFUNCTION("SPLIT(B318, ""-"")"),91.0)</f>
        <v>91</v>
      </c>
      <c r="E318" s="3">
        <f>IFERROR(__xludf.DUMMYFUNCTION("""COMPUTED_VALUE"""),98.0)</f>
        <v>98</v>
      </c>
      <c r="F318" s="3">
        <f>IFERROR(__xludf.DUMMYFUNCTION("SPLIT(C318, ""-"")"),79.0)</f>
        <v>79</v>
      </c>
      <c r="G318" s="3">
        <f>IFERROR(__xludf.DUMMYFUNCTION("""COMPUTED_VALUE"""),79.0)</f>
        <v>79</v>
      </c>
      <c r="I318" s="3" t="str">
        <f t="shared" si="1"/>
        <v/>
      </c>
      <c r="J318" s="3" t="str">
        <f t="shared" si="2"/>
        <v>y</v>
      </c>
      <c r="K318" s="3" t="str">
        <f t="shared" si="3"/>
        <v>y</v>
      </c>
      <c r="L318" s="3" t="str">
        <f t="shared" si="4"/>
        <v/>
      </c>
      <c r="N318" s="3" t="str">
        <f t="shared" si="5"/>
        <v/>
      </c>
      <c r="O318" s="3" t="str">
        <f t="shared" si="6"/>
        <v/>
      </c>
      <c r="Q318" s="3" t="str">
        <f t="shared" si="7"/>
        <v/>
      </c>
      <c r="U318" s="3">
        <f t="shared" si="8"/>
        <v>1</v>
      </c>
      <c r="V318" s="3" t="str">
        <f t="shared" si="9"/>
        <v>Överlapp</v>
      </c>
      <c r="W318" s="3">
        <f t="shared" si="10"/>
        <v>1</v>
      </c>
      <c r="X318" s="3">
        <f t="shared" si="11"/>
        <v>1</v>
      </c>
    </row>
    <row r="319">
      <c r="A319" s="1" t="s">
        <v>324</v>
      </c>
      <c r="B319" s="3" t="str">
        <f>IFERROR(__xludf.DUMMYFUNCTION("SPLIT(A319, "","")"),"15-15")</f>
        <v>15-15</v>
      </c>
      <c r="C319" s="3" t="str">
        <f>IFERROR(__xludf.DUMMYFUNCTION("""COMPUTED_VALUE"""),"14-73")</f>
        <v>14-73</v>
      </c>
      <c r="D319" s="3">
        <f>IFERROR(__xludf.DUMMYFUNCTION("SPLIT(B319, ""-"")"),15.0)</f>
        <v>15</v>
      </c>
      <c r="E319" s="3">
        <f>IFERROR(__xludf.DUMMYFUNCTION("""COMPUTED_VALUE"""),15.0)</f>
        <v>15</v>
      </c>
      <c r="F319" s="3">
        <f>IFERROR(__xludf.DUMMYFUNCTION("SPLIT(C319, ""-"")"),14.0)</f>
        <v>14</v>
      </c>
      <c r="G319" s="3">
        <f>IFERROR(__xludf.DUMMYFUNCTION("""COMPUTED_VALUE"""),73.0)</f>
        <v>73</v>
      </c>
      <c r="I319" s="3" t="str">
        <f t="shared" si="1"/>
        <v/>
      </c>
      <c r="J319" s="3" t="str">
        <f t="shared" si="2"/>
        <v/>
      </c>
      <c r="K319" s="3" t="str">
        <f t="shared" si="3"/>
        <v>y</v>
      </c>
      <c r="L319" s="3" t="str">
        <f t="shared" si="4"/>
        <v>y</v>
      </c>
      <c r="N319" s="3" t="str">
        <f t="shared" si="5"/>
        <v/>
      </c>
      <c r="O319" s="3">
        <f t="shared" si="6"/>
        <v>1</v>
      </c>
      <c r="Q319" s="3">
        <f t="shared" si="7"/>
        <v>1</v>
      </c>
      <c r="U319" s="3">
        <f t="shared" si="8"/>
        <v>1</v>
      </c>
      <c r="V319" s="3" t="str">
        <f t="shared" si="9"/>
        <v>Överlapp</v>
      </c>
      <c r="W319" s="3" t="str">
        <f t="shared" si="10"/>
        <v>Överlapp</v>
      </c>
      <c r="X319" s="3" t="str">
        <f t="shared" si="11"/>
        <v/>
      </c>
    </row>
    <row r="320">
      <c r="A320" s="1" t="s">
        <v>325</v>
      </c>
      <c r="B320" s="3" t="str">
        <f>IFERROR(__xludf.DUMMYFUNCTION("SPLIT(A320, "","")"),"18-58")</f>
        <v>18-58</v>
      </c>
      <c r="C320" s="3" t="str">
        <f>IFERROR(__xludf.DUMMYFUNCTION("""COMPUTED_VALUE"""),"19-58")</f>
        <v>19-58</v>
      </c>
      <c r="D320" s="3">
        <f>IFERROR(__xludf.DUMMYFUNCTION("SPLIT(B320, ""-"")"),18.0)</f>
        <v>18</v>
      </c>
      <c r="E320" s="3">
        <f>IFERROR(__xludf.DUMMYFUNCTION("""COMPUTED_VALUE"""),58.0)</f>
        <v>58</v>
      </c>
      <c r="F320" s="3">
        <f>IFERROR(__xludf.DUMMYFUNCTION("SPLIT(C320, ""-"")"),19.0)</f>
        <v>19</v>
      </c>
      <c r="G320" s="3">
        <f>IFERROR(__xludf.DUMMYFUNCTION("""COMPUTED_VALUE"""),58.0)</f>
        <v>58</v>
      </c>
      <c r="I320" s="3" t="str">
        <f t="shared" si="1"/>
        <v>y</v>
      </c>
      <c r="J320" s="3" t="str">
        <f t="shared" si="2"/>
        <v>y</v>
      </c>
      <c r="K320" s="3" t="str">
        <f t="shared" si="3"/>
        <v/>
      </c>
      <c r="L320" s="3" t="str">
        <f t="shared" si="4"/>
        <v>y</v>
      </c>
      <c r="N320" s="3">
        <f t="shared" si="5"/>
        <v>1</v>
      </c>
      <c r="O320" s="3" t="str">
        <f t="shared" si="6"/>
        <v/>
      </c>
      <c r="Q320" s="3">
        <f t="shared" si="7"/>
        <v>1</v>
      </c>
      <c r="U320" s="3" t="str">
        <f t="shared" si="8"/>
        <v>Överlapp</v>
      </c>
      <c r="V320" s="3" t="str">
        <f t="shared" si="9"/>
        <v>Överlapp</v>
      </c>
      <c r="W320" s="3" t="str">
        <f t="shared" si="10"/>
        <v>Överlapp</v>
      </c>
      <c r="X320" s="3" t="str">
        <f t="shared" si="11"/>
        <v/>
      </c>
    </row>
    <row r="321">
      <c r="A321" s="1" t="s">
        <v>326</v>
      </c>
      <c r="B321" s="3" t="str">
        <f>IFERROR(__xludf.DUMMYFUNCTION("SPLIT(A321, "","")"),"14-14")</f>
        <v>14-14</v>
      </c>
      <c r="C321" s="3" t="str">
        <f>IFERROR(__xludf.DUMMYFUNCTION("""COMPUTED_VALUE"""),"13-13")</f>
        <v>13-13</v>
      </c>
      <c r="D321" s="3">
        <f>IFERROR(__xludf.DUMMYFUNCTION("SPLIT(B321, ""-"")"),14.0)</f>
        <v>14</v>
      </c>
      <c r="E321" s="3">
        <f>IFERROR(__xludf.DUMMYFUNCTION("""COMPUTED_VALUE"""),14.0)</f>
        <v>14</v>
      </c>
      <c r="F321" s="3">
        <f>IFERROR(__xludf.DUMMYFUNCTION("SPLIT(C321, ""-"")"),13.0)</f>
        <v>13</v>
      </c>
      <c r="G321" s="3">
        <f>IFERROR(__xludf.DUMMYFUNCTION("""COMPUTED_VALUE"""),13.0)</f>
        <v>13</v>
      </c>
      <c r="I321" s="3" t="str">
        <f t="shared" si="1"/>
        <v/>
      </c>
      <c r="J321" s="3" t="str">
        <f t="shared" si="2"/>
        <v>y</v>
      </c>
      <c r="K321" s="3" t="str">
        <f t="shared" si="3"/>
        <v>y</v>
      </c>
      <c r="L321" s="3" t="str">
        <f t="shared" si="4"/>
        <v/>
      </c>
      <c r="N321" s="3" t="str">
        <f t="shared" si="5"/>
        <v/>
      </c>
      <c r="O321" s="3" t="str">
        <f t="shared" si="6"/>
        <v/>
      </c>
      <c r="Q321" s="3" t="str">
        <f t="shared" si="7"/>
        <v/>
      </c>
      <c r="U321" s="3">
        <f t="shared" si="8"/>
        <v>1</v>
      </c>
      <c r="V321" s="3" t="str">
        <f t="shared" si="9"/>
        <v>Överlapp</v>
      </c>
      <c r="W321" s="3">
        <f t="shared" si="10"/>
        <v>1</v>
      </c>
      <c r="X321" s="3">
        <f t="shared" si="11"/>
        <v>1</v>
      </c>
    </row>
    <row r="322">
      <c r="A322" s="1" t="s">
        <v>327</v>
      </c>
      <c r="B322" s="3" t="str">
        <f>IFERROR(__xludf.DUMMYFUNCTION("SPLIT(A322, "","")"),"14-71")</f>
        <v>14-71</v>
      </c>
      <c r="C322" s="3" t="str">
        <f>IFERROR(__xludf.DUMMYFUNCTION("""COMPUTED_VALUE"""),"70-70")</f>
        <v>70-70</v>
      </c>
      <c r="D322" s="3">
        <f>IFERROR(__xludf.DUMMYFUNCTION("SPLIT(B322, ""-"")"),14.0)</f>
        <v>14</v>
      </c>
      <c r="E322" s="3">
        <f>IFERROR(__xludf.DUMMYFUNCTION("""COMPUTED_VALUE"""),71.0)</f>
        <v>71</v>
      </c>
      <c r="F322" s="3">
        <f>IFERROR(__xludf.DUMMYFUNCTION("SPLIT(C322, ""-"")"),70.0)</f>
        <v>70</v>
      </c>
      <c r="G322" s="3">
        <f>IFERROR(__xludf.DUMMYFUNCTION("""COMPUTED_VALUE"""),70.0)</f>
        <v>70</v>
      </c>
      <c r="I322" s="3" t="str">
        <f t="shared" si="1"/>
        <v>y</v>
      </c>
      <c r="J322" s="3" t="str">
        <f t="shared" si="2"/>
        <v>y</v>
      </c>
      <c r="K322" s="3" t="str">
        <f t="shared" si="3"/>
        <v/>
      </c>
      <c r="L322" s="3" t="str">
        <f t="shared" si="4"/>
        <v/>
      </c>
      <c r="N322" s="3">
        <f t="shared" si="5"/>
        <v>1</v>
      </c>
      <c r="O322" s="3" t="str">
        <f t="shared" si="6"/>
        <v/>
      </c>
      <c r="Q322" s="3">
        <f t="shared" si="7"/>
        <v>1</v>
      </c>
      <c r="U322" s="3">
        <f t="shared" si="8"/>
        <v>1</v>
      </c>
      <c r="V322" s="3" t="str">
        <f t="shared" si="9"/>
        <v>Överlapp</v>
      </c>
      <c r="W322" s="3" t="str">
        <f t="shared" si="10"/>
        <v>Överlapp</v>
      </c>
      <c r="X322" s="3" t="str">
        <f t="shared" si="11"/>
        <v/>
      </c>
    </row>
    <row r="323">
      <c r="A323" s="1" t="s">
        <v>328</v>
      </c>
      <c r="B323" s="3" t="str">
        <f>IFERROR(__xludf.DUMMYFUNCTION("SPLIT(A323, "","")"),"26-81")</f>
        <v>26-81</v>
      </c>
      <c r="C323" s="3" t="str">
        <f>IFERROR(__xludf.DUMMYFUNCTION("""COMPUTED_VALUE"""),"25-82")</f>
        <v>25-82</v>
      </c>
      <c r="D323" s="3">
        <f>IFERROR(__xludf.DUMMYFUNCTION("SPLIT(B323, ""-"")"),26.0)</f>
        <v>26</v>
      </c>
      <c r="E323" s="3">
        <f>IFERROR(__xludf.DUMMYFUNCTION("""COMPUTED_VALUE"""),81.0)</f>
        <v>81</v>
      </c>
      <c r="F323" s="3">
        <f>IFERROR(__xludf.DUMMYFUNCTION("SPLIT(C323, ""-"")"),25.0)</f>
        <v>25</v>
      </c>
      <c r="G323" s="3">
        <f>IFERROR(__xludf.DUMMYFUNCTION("""COMPUTED_VALUE"""),82.0)</f>
        <v>82</v>
      </c>
      <c r="I323" s="3" t="str">
        <f t="shared" si="1"/>
        <v/>
      </c>
      <c r="J323" s="3" t="str">
        <f t="shared" si="2"/>
        <v/>
      </c>
      <c r="K323" s="3" t="str">
        <f t="shared" si="3"/>
        <v>y</v>
      </c>
      <c r="L323" s="3" t="str">
        <f t="shared" si="4"/>
        <v>y</v>
      </c>
      <c r="N323" s="3" t="str">
        <f t="shared" si="5"/>
        <v/>
      </c>
      <c r="O323" s="3">
        <f t="shared" si="6"/>
        <v>1</v>
      </c>
      <c r="Q323" s="3">
        <f t="shared" si="7"/>
        <v>1</v>
      </c>
      <c r="U323" s="3">
        <f t="shared" si="8"/>
        <v>1</v>
      </c>
      <c r="V323" s="3" t="str">
        <f t="shared" si="9"/>
        <v>Överlapp</v>
      </c>
      <c r="W323" s="3" t="str">
        <f t="shared" si="10"/>
        <v>Överlapp</v>
      </c>
      <c r="X323" s="3" t="str">
        <f t="shared" si="11"/>
        <v/>
      </c>
    </row>
    <row r="324">
      <c r="A324" s="1" t="s">
        <v>329</v>
      </c>
      <c r="B324" s="3" t="str">
        <f>IFERROR(__xludf.DUMMYFUNCTION("SPLIT(A324, "","")"),"57-90")</f>
        <v>57-90</v>
      </c>
      <c r="C324" s="3" t="str">
        <f>IFERROR(__xludf.DUMMYFUNCTION("""COMPUTED_VALUE"""),"57-88")</f>
        <v>57-88</v>
      </c>
      <c r="D324" s="3">
        <f>IFERROR(__xludf.DUMMYFUNCTION("SPLIT(B324, ""-"")"),57.0)</f>
        <v>57</v>
      </c>
      <c r="E324" s="3">
        <f>IFERROR(__xludf.DUMMYFUNCTION("""COMPUTED_VALUE"""),90.0)</f>
        <v>90</v>
      </c>
      <c r="F324" s="3">
        <f>IFERROR(__xludf.DUMMYFUNCTION("SPLIT(C324, ""-"")"),57.0)</f>
        <v>57</v>
      </c>
      <c r="G324" s="3">
        <f>IFERROR(__xludf.DUMMYFUNCTION("""COMPUTED_VALUE"""),88.0)</f>
        <v>88</v>
      </c>
      <c r="I324" s="3" t="str">
        <f t="shared" si="1"/>
        <v>y</v>
      </c>
      <c r="J324" s="3" t="str">
        <f t="shared" si="2"/>
        <v>y</v>
      </c>
      <c r="K324" s="3" t="str">
        <f t="shared" si="3"/>
        <v>y</v>
      </c>
      <c r="L324" s="3" t="str">
        <f t="shared" si="4"/>
        <v/>
      </c>
      <c r="N324" s="3">
        <f t="shared" si="5"/>
        <v>1</v>
      </c>
      <c r="O324" s="3" t="str">
        <f t="shared" si="6"/>
        <v/>
      </c>
      <c r="Q324" s="3">
        <f t="shared" si="7"/>
        <v>1</v>
      </c>
      <c r="U324" s="3" t="str">
        <f t="shared" si="8"/>
        <v>Överlapp</v>
      </c>
      <c r="V324" s="3" t="str">
        <f t="shared" si="9"/>
        <v>Överlapp</v>
      </c>
      <c r="W324" s="3" t="str">
        <f t="shared" si="10"/>
        <v>Överlapp</v>
      </c>
      <c r="X324" s="3" t="str">
        <f t="shared" si="11"/>
        <v/>
      </c>
    </row>
    <row r="325">
      <c r="A325" s="1" t="s">
        <v>330</v>
      </c>
      <c r="B325" s="3" t="str">
        <f>IFERROR(__xludf.DUMMYFUNCTION("SPLIT(A325, "","")"),"30-90")</f>
        <v>30-90</v>
      </c>
      <c r="C325" s="3" t="str">
        <f>IFERROR(__xludf.DUMMYFUNCTION("""COMPUTED_VALUE"""),"1-91")</f>
        <v>1-91</v>
      </c>
      <c r="D325" s="3">
        <f>IFERROR(__xludf.DUMMYFUNCTION("SPLIT(B325, ""-"")"),30.0)</f>
        <v>30</v>
      </c>
      <c r="E325" s="3">
        <f>IFERROR(__xludf.DUMMYFUNCTION("""COMPUTED_VALUE"""),90.0)</f>
        <v>90</v>
      </c>
      <c r="F325" s="3">
        <f>IFERROR(__xludf.DUMMYFUNCTION("SPLIT(C325, ""-"")"),1.0)</f>
        <v>1</v>
      </c>
      <c r="G325" s="3">
        <f>IFERROR(__xludf.DUMMYFUNCTION("""COMPUTED_VALUE"""),91.0)</f>
        <v>91</v>
      </c>
      <c r="I325" s="3" t="str">
        <f t="shared" si="1"/>
        <v/>
      </c>
      <c r="J325" s="3" t="str">
        <f t="shared" si="2"/>
        <v/>
      </c>
      <c r="K325" s="3" t="str">
        <f t="shared" si="3"/>
        <v>y</v>
      </c>
      <c r="L325" s="3" t="str">
        <f t="shared" si="4"/>
        <v>y</v>
      </c>
      <c r="N325" s="3" t="str">
        <f t="shared" si="5"/>
        <v/>
      </c>
      <c r="O325" s="3">
        <f t="shared" si="6"/>
        <v>1</v>
      </c>
      <c r="Q325" s="3">
        <f t="shared" si="7"/>
        <v>1</v>
      </c>
      <c r="U325" s="3">
        <f t="shared" si="8"/>
        <v>1</v>
      </c>
      <c r="V325" s="3" t="str">
        <f t="shared" si="9"/>
        <v>Överlapp</v>
      </c>
      <c r="W325" s="3" t="str">
        <f t="shared" si="10"/>
        <v>Överlapp</v>
      </c>
      <c r="X325" s="3" t="str">
        <f t="shared" si="11"/>
        <v/>
      </c>
    </row>
    <row r="326">
      <c r="A326" s="1" t="s">
        <v>331</v>
      </c>
      <c r="B326" s="3" t="str">
        <f>IFERROR(__xludf.DUMMYFUNCTION("SPLIT(A326, "","")"),"9-99")</f>
        <v>9-99</v>
      </c>
      <c r="C326" s="4">
        <f>IFERROR(__xludf.DUMMYFUNCTION("""COMPUTED_VALUE"""),44844.0)</f>
        <v>44844</v>
      </c>
      <c r="D326" s="3">
        <f>IFERROR(__xludf.DUMMYFUNCTION("SPLIT(B326, ""-"")"),9.0)</f>
        <v>9</v>
      </c>
      <c r="E326" s="3">
        <f>IFERROR(__xludf.DUMMYFUNCTION("""COMPUTED_VALUE"""),99.0)</f>
        <v>99</v>
      </c>
      <c r="F326" s="3">
        <f>IFERROR(__xludf.DUMMYFUNCTION("SPLIT(C326, ""-"")"),10.0)</f>
        <v>10</v>
      </c>
      <c r="G326" s="3">
        <f>IFERROR(__xludf.DUMMYFUNCTION("""COMPUTED_VALUE"""),10.0)</f>
        <v>10</v>
      </c>
      <c r="I326" s="3" t="str">
        <f t="shared" si="1"/>
        <v>y</v>
      </c>
      <c r="J326" s="3" t="str">
        <f t="shared" si="2"/>
        <v>y</v>
      </c>
      <c r="K326" s="3" t="str">
        <f t="shared" si="3"/>
        <v/>
      </c>
      <c r="L326" s="3" t="str">
        <f t="shared" si="4"/>
        <v/>
      </c>
      <c r="N326" s="3">
        <f t="shared" si="5"/>
        <v>1</v>
      </c>
      <c r="O326" s="3" t="str">
        <f t="shared" si="6"/>
        <v/>
      </c>
      <c r="Q326" s="3">
        <f t="shared" si="7"/>
        <v>1</v>
      </c>
      <c r="U326" s="3">
        <f t="shared" si="8"/>
        <v>1</v>
      </c>
      <c r="V326" s="3" t="str">
        <f t="shared" si="9"/>
        <v>Överlapp</v>
      </c>
      <c r="W326" s="3" t="str">
        <f t="shared" si="10"/>
        <v>Överlapp</v>
      </c>
      <c r="X326" s="3" t="str">
        <f t="shared" si="11"/>
        <v/>
      </c>
    </row>
    <row r="327">
      <c r="A327" s="1" t="s">
        <v>332</v>
      </c>
      <c r="B327" s="3" t="str">
        <f>IFERROR(__xludf.DUMMYFUNCTION("SPLIT(A327, "","")"),"27-83")</f>
        <v>27-83</v>
      </c>
      <c r="C327" s="3" t="str">
        <f>IFERROR(__xludf.DUMMYFUNCTION("""COMPUTED_VALUE"""),"78-85")</f>
        <v>78-85</v>
      </c>
      <c r="D327" s="3">
        <f>IFERROR(__xludf.DUMMYFUNCTION("SPLIT(B327, ""-"")"),27.0)</f>
        <v>27</v>
      </c>
      <c r="E327" s="3">
        <f>IFERROR(__xludf.DUMMYFUNCTION("""COMPUTED_VALUE"""),83.0)</f>
        <v>83</v>
      </c>
      <c r="F327" s="3">
        <f>IFERROR(__xludf.DUMMYFUNCTION("SPLIT(C327, ""-"")"),78.0)</f>
        <v>78</v>
      </c>
      <c r="G327" s="3">
        <f>IFERROR(__xludf.DUMMYFUNCTION("""COMPUTED_VALUE"""),85.0)</f>
        <v>85</v>
      </c>
      <c r="I327" s="3" t="str">
        <f t="shared" si="1"/>
        <v>y</v>
      </c>
      <c r="J327" s="3" t="str">
        <f t="shared" si="2"/>
        <v/>
      </c>
      <c r="K327" s="3" t="str">
        <f t="shared" si="3"/>
        <v/>
      </c>
      <c r="L327" s="3" t="str">
        <f t="shared" si="4"/>
        <v>y</v>
      </c>
      <c r="N327" s="3" t="str">
        <f t="shared" si="5"/>
        <v/>
      </c>
      <c r="O327" s="3" t="str">
        <f t="shared" si="6"/>
        <v/>
      </c>
      <c r="Q327" s="3" t="str">
        <f t="shared" si="7"/>
        <v/>
      </c>
      <c r="U327" s="3">
        <f t="shared" si="8"/>
        <v>1</v>
      </c>
      <c r="V327" s="3" t="str">
        <f t="shared" si="9"/>
        <v>Överlapp</v>
      </c>
      <c r="W327" s="3" t="str">
        <f t="shared" si="10"/>
        <v>Överlapp</v>
      </c>
      <c r="X327" s="3" t="str">
        <f t="shared" si="11"/>
        <v/>
      </c>
    </row>
    <row r="328">
      <c r="A328" s="1" t="s">
        <v>333</v>
      </c>
      <c r="B328" s="3" t="str">
        <f>IFERROR(__xludf.DUMMYFUNCTION("SPLIT(A328, "","")"),"20-84")</f>
        <v>20-84</v>
      </c>
      <c r="C328" s="3" t="str">
        <f>IFERROR(__xludf.DUMMYFUNCTION("""COMPUTED_VALUE"""),"9-85")</f>
        <v>9-85</v>
      </c>
      <c r="D328" s="3">
        <f>IFERROR(__xludf.DUMMYFUNCTION("SPLIT(B328, ""-"")"),20.0)</f>
        <v>20</v>
      </c>
      <c r="E328" s="3">
        <f>IFERROR(__xludf.DUMMYFUNCTION("""COMPUTED_VALUE"""),84.0)</f>
        <v>84</v>
      </c>
      <c r="F328" s="3">
        <f>IFERROR(__xludf.DUMMYFUNCTION("SPLIT(C328, ""-"")"),9.0)</f>
        <v>9</v>
      </c>
      <c r="G328" s="3">
        <f>IFERROR(__xludf.DUMMYFUNCTION("""COMPUTED_VALUE"""),85.0)</f>
        <v>85</v>
      </c>
      <c r="I328" s="3" t="str">
        <f t="shared" si="1"/>
        <v/>
      </c>
      <c r="J328" s="3" t="str">
        <f t="shared" si="2"/>
        <v/>
      </c>
      <c r="K328" s="3" t="str">
        <f t="shared" si="3"/>
        <v>y</v>
      </c>
      <c r="L328" s="3" t="str">
        <f t="shared" si="4"/>
        <v>y</v>
      </c>
      <c r="N328" s="3" t="str">
        <f t="shared" si="5"/>
        <v/>
      </c>
      <c r="O328" s="3">
        <f t="shared" si="6"/>
        <v>1</v>
      </c>
      <c r="Q328" s="3">
        <f t="shared" si="7"/>
        <v>1</v>
      </c>
      <c r="U328" s="3">
        <f t="shared" si="8"/>
        <v>1</v>
      </c>
      <c r="V328" s="3" t="str">
        <f t="shared" si="9"/>
        <v>Överlapp</v>
      </c>
      <c r="W328" s="3" t="str">
        <f t="shared" si="10"/>
        <v>Överlapp</v>
      </c>
      <c r="X328" s="3" t="str">
        <f t="shared" si="11"/>
        <v/>
      </c>
    </row>
    <row r="329">
      <c r="A329" s="1" t="s">
        <v>334</v>
      </c>
      <c r="B329" s="3" t="str">
        <f>IFERROR(__xludf.DUMMYFUNCTION("SPLIT(A329, "","")"),"10-86")</f>
        <v>10-86</v>
      </c>
      <c r="C329" s="3" t="str">
        <f>IFERROR(__xludf.DUMMYFUNCTION("""COMPUTED_VALUE"""),"9-86")</f>
        <v>9-86</v>
      </c>
      <c r="D329" s="3">
        <f>IFERROR(__xludf.DUMMYFUNCTION("SPLIT(B329, ""-"")"),10.0)</f>
        <v>10</v>
      </c>
      <c r="E329" s="3">
        <f>IFERROR(__xludf.DUMMYFUNCTION("""COMPUTED_VALUE"""),86.0)</f>
        <v>86</v>
      </c>
      <c r="F329" s="3">
        <f>IFERROR(__xludf.DUMMYFUNCTION("SPLIT(C329, ""-"")"),9.0)</f>
        <v>9</v>
      </c>
      <c r="G329" s="3">
        <f>IFERROR(__xludf.DUMMYFUNCTION("""COMPUTED_VALUE"""),86.0)</f>
        <v>86</v>
      </c>
      <c r="I329" s="3" t="str">
        <f t="shared" si="1"/>
        <v/>
      </c>
      <c r="J329" s="3" t="str">
        <f t="shared" si="2"/>
        <v>y</v>
      </c>
      <c r="K329" s="3" t="str">
        <f t="shared" si="3"/>
        <v>y</v>
      </c>
      <c r="L329" s="3" t="str">
        <f t="shared" si="4"/>
        <v>y</v>
      </c>
      <c r="N329" s="3" t="str">
        <f t="shared" si="5"/>
        <v/>
      </c>
      <c r="O329" s="3">
        <f t="shared" si="6"/>
        <v>1</v>
      </c>
      <c r="Q329" s="3">
        <f t="shared" si="7"/>
        <v>1</v>
      </c>
      <c r="U329" s="3" t="str">
        <f t="shared" si="8"/>
        <v>Överlapp</v>
      </c>
      <c r="V329" s="3" t="str">
        <f t="shared" si="9"/>
        <v>Överlapp</v>
      </c>
      <c r="W329" s="3" t="str">
        <f t="shared" si="10"/>
        <v>Överlapp</v>
      </c>
      <c r="X329" s="3" t="str">
        <f t="shared" si="11"/>
        <v/>
      </c>
    </row>
    <row r="330">
      <c r="A330" s="1" t="s">
        <v>335</v>
      </c>
      <c r="B330" s="3" t="str">
        <f>IFERROR(__xludf.DUMMYFUNCTION("SPLIT(A330, "","")"),"9-70")</f>
        <v>9-70</v>
      </c>
      <c r="C330" s="4">
        <f>IFERROR(__xludf.DUMMYFUNCTION("""COMPUTED_VALUE"""),44839.0)</f>
        <v>44839</v>
      </c>
      <c r="D330" s="3">
        <f>IFERROR(__xludf.DUMMYFUNCTION("SPLIT(B330, ""-"")"),9.0)</f>
        <v>9</v>
      </c>
      <c r="E330" s="3">
        <f>IFERROR(__xludf.DUMMYFUNCTION("""COMPUTED_VALUE"""),70.0)</f>
        <v>70</v>
      </c>
      <c r="F330" s="3">
        <f>IFERROR(__xludf.DUMMYFUNCTION("SPLIT(C330, ""-"")"),5.0)</f>
        <v>5</v>
      </c>
      <c r="G330" s="3">
        <f>IFERROR(__xludf.DUMMYFUNCTION("""COMPUTED_VALUE"""),10.0)</f>
        <v>10</v>
      </c>
      <c r="I330" s="3" t="str">
        <f t="shared" si="1"/>
        <v/>
      </c>
      <c r="J330" s="3" t="str">
        <f t="shared" si="2"/>
        <v>y</v>
      </c>
      <c r="K330" s="3" t="str">
        <f t="shared" si="3"/>
        <v>y</v>
      </c>
      <c r="L330" s="3" t="str">
        <f t="shared" si="4"/>
        <v/>
      </c>
      <c r="N330" s="3" t="str">
        <f t="shared" si="5"/>
        <v/>
      </c>
      <c r="O330" s="3" t="str">
        <f t="shared" si="6"/>
        <v/>
      </c>
      <c r="Q330" s="3" t="str">
        <f t="shared" si="7"/>
        <v/>
      </c>
      <c r="U330" s="3">
        <f t="shared" si="8"/>
        <v>1</v>
      </c>
      <c r="V330" s="3" t="str">
        <f t="shared" si="9"/>
        <v>Överlapp</v>
      </c>
      <c r="W330" s="3" t="str">
        <f t="shared" si="10"/>
        <v>Överlapp</v>
      </c>
      <c r="X330" s="3" t="str">
        <f t="shared" si="11"/>
        <v/>
      </c>
    </row>
    <row r="331">
      <c r="A331" s="1" t="s">
        <v>336</v>
      </c>
      <c r="B331" s="3" t="str">
        <f>IFERROR(__xludf.DUMMYFUNCTION("SPLIT(A331, "","")"),"9-88")</f>
        <v>9-88</v>
      </c>
      <c r="C331" s="4">
        <f>IFERROR(__xludf.DUMMYFUNCTION("""COMPUTED_VALUE"""),44842.0)</f>
        <v>44842</v>
      </c>
      <c r="D331" s="3">
        <f>IFERROR(__xludf.DUMMYFUNCTION("SPLIT(B331, ""-"")"),9.0)</f>
        <v>9</v>
      </c>
      <c r="E331" s="3">
        <f>IFERROR(__xludf.DUMMYFUNCTION("""COMPUTED_VALUE"""),88.0)</f>
        <v>88</v>
      </c>
      <c r="F331" s="3">
        <f>IFERROR(__xludf.DUMMYFUNCTION("SPLIT(C331, ""-"")"),8.0)</f>
        <v>8</v>
      </c>
      <c r="G331" s="3">
        <f>IFERROR(__xludf.DUMMYFUNCTION("""COMPUTED_VALUE"""),10.0)</f>
        <v>10</v>
      </c>
      <c r="I331" s="3" t="str">
        <f t="shared" si="1"/>
        <v/>
      </c>
      <c r="J331" s="3" t="str">
        <f t="shared" si="2"/>
        <v>y</v>
      </c>
      <c r="K331" s="3" t="str">
        <f t="shared" si="3"/>
        <v>y</v>
      </c>
      <c r="L331" s="3" t="str">
        <f t="shared" si="4"/>
        <v/>
      </c>
      <c r="N331" s="3" t="str">
        <f t="shared" si="5"/>
        <v/>
      </c>
      <c r="O331" s="3" t="str">
        <f t="shared" si="6"/>
        <v/>
      </c>
      <c r="Q331" s="3" t="str">
        <f t="shared" si="7"/>
        <v/>
      </c>
      <c r="U331" s="3">
        <f t="shared" si="8"/>
        <v>1</v>
      </c>
      <c r="V331" s="3" t="str">
        <f t="shared" si="9"/>
        <v>Överlapp</v>
      </c>
      <c r="W331" s="3" t="str">
        <f t="shared" si="10"/>
        <v>Överlapp</v>
      </c>
      <c r="X331" s="3" t="str">
        <f t="shared" si="11"/>
        <v/>
      </c>
    </row>
    <row r="332">
      <c r="A332" s="1" t="s">
        <v>337</v>
      </c>
      <c r="B332" s="3" t="str">
        <f>IFERROR(__xludf.DUMMYFUNCTION("SPLIT(A332, "","")"),"1-97")</f>
        <v>1-97</v>
      </c>
      <c r="C332" s="3" t="str">
        <f>IFERROR(__xludf.DUMMYFUNCTION("""COMPUTED_VALUE"""),"96-96")</f>
        <v>96-96</v>
      </c>
      <c r="D332" s="3">
        <f>IFERROR(__xludf.DUMMYFUNCTION("SPLIT(B332, ""-"")"),1.0)</f>
        <v>1</v>
      </c>
      <c r="E332" s="3">
        <f>IFERROR(__xludf.DUMMYFUNCTION("""COMPUTED_VALUE"""),97.0)</f>
        <v>97</v>
      </c>
      <c r="F332" s="3">
        <f>IFERROR(__xludf.DUMMYFUNCTION("SPLIT(C332, ""-"")"),96.0)</f>
        <v>96</v>
      </c>
      <c r="G332" s="3">
        <f>IFERROR(__xludf.DUMMYFUNCTION("""COMPUTED_VALUE"""),96.0)</f>
        <v>96</v>
      </c>
      <c r="I332" s="3" t="str">
        <f t="shared" si="1"/>
        <v>y</v>
      </c>
      <c r="J332" s="3" t="str">
        <f t="shared" si="2"/>
        <v>y</v>
      </c>
      <c r="K332" s="3" t="str">
        <f t="shared" si="3"/>
        <v/>
      </c>
      <c r="L332" s="3" t="str">
        <f t="shared" si="4"/>
        <v/>
      </c>
      <c r="N332" s="3">
        <f t="shared" si="5"/>
        <v>1</v>
      </c>
      <c r="O332" s="3" t="str">
        <f t="shared" si="6"/>
        <v/>
      </c>
      <c r="Q332" s="3">
        <f t="shared" si="7"/>
        <v>1</v>
      </c>
      <c r="U332" s="3">
        <f t="shared" si="8"/>
        <v>1</v>
      </c>
      <c r="V332" s="3" t="str">
        <f t="shared" si="9"/>
        <v>Överlapp</v>
      </c>
      <c r="W332" s="3" t="str">
        <f t="shared" si="10"/>
        <v>Överlapp</v>
      </c>
      <c r="X332" s="3" t="str">
        <f t="shared" si="11"/>
        <v/>
      </c>
    </row>
    <row r="333">
      <c r="A333" s="1" t="s">
        <v>338</v>
      </c>
      <c r="B333" s="3" t="str">
        <f>IFERROR(__xludf.DUMMYFUNCTION("SPLIT(A333, "","")"),"3-97")</f>
        <v>3-97</v>
      </c>
      <c r="C333" s="3" t="str">
        <f>IFERROR(__xludf.DUMMYFUNCTION("""COMPUTED_VALUE"""),"4-30")</f>
        <v>4-30</v>
      </c>
      <c r="D333" s="3">
        <f>IFERROR(__xludf.DUMMYFUNCTION("SPLIT(B333, ""-"")"),3.0)</f>
        <v>3</v>
      </c>
      <c r="E333" s="3">
        <f>IFERROR(__xludf.DUMMYFUNCTION("""COMPUTED_VALUE"""),97.0)</f>
        <v>97</v>
      </c>
      <c r="F333" s="3">
        <f>IFERROR(__xludf.DUMMYFUNCTION("SPLIT(C333, ""-"")"),4.0)</f>
        <v>4</v>
      </c>
      <c r="G333" s="3">
        <f>IFERROR(__xludf.DUMMYFUNCTION("""COMPUTED_VALUE"""),30.0)</f>
        <v>30</v>
      </c>
      <c r="I333" s="3" t="str">
        <f t="shared" si="1"/>
        <v>y</v>
      </c>
      <c r="J333" s="3" t="str">
        <f t="shared" si="2"/>
        <v>y</v>
      </c>
      <c r="K333" s="3" t="str">
        <f t="shared" si="3"/>
        <v/>
      </c>
      <c r="L333" s="3" t="str">
        <f t="shared" si="4"/>
        <v/>
      </c>
      <c r="N333" s="3">
        <f t="shared" si="5"/>
        <v>1</v>
      </c>
      <c r="O333" s="3" t="str">
        <f t="shared" si="6"/>
        <v/>
      </c>
      <c r="Q333" s="3">
        <f t="shared" si="7"/>
        <v>1</v>
      </c>
      <c r="U333" s="3">
        <f t="shared" si="8"/>
        <v>1</v>
      </c>
      <c r="V333" s="3" t="str">
        <f t="shared" si="9"/>
        <v>Överlapp</v>
      </c>
      <c r="W333" s="3" t="str">
        <f t="shared" si="10"/>
        <v>Överlapp</v>
      </c>
      <c r="X333" s="3" t="str">
        <f t="shared" si="11"/>
        <v/>
      </c>
    </row>
    <row r="334">
      <c r="A334" s="1" t="s">
        <v>339</v>
      </c>
      <c r="B334" s="3" t="str">
        <f>IFERROR(__xludf.DUMMYFUNCTION("SPLIT(A334, "","")"),"64-84")</f>
        <v>64-84</v>
      </c>
      <c r="C334" s="3" t="str">
        <f>IFERROR(__xludf.DUMMYFUNCTION("""COMPUTED_VALUE"""),"3-64")</f>
        <v>3-64</v>
      </c>
      <c r="D334" s="3">
        <f>IFERROR(__xludf.DUMMYFUNCTION("SPLIT(B334, ""-"")"),64.0)</f>
        <v>64</v>
      </c>
      <c r="E334" s="3">
        <f>IFERROR(__xludf.DUMMYFUNCTION("""COMPUTED_VALUE"""),84.0)</f>
        <v>84</v>
      </c>
      <c r="F334" s="3">
        <f>IFERROR(__xludf.DUMMYFUNCTION("SPLIT(C334, ""-"")"),3.0)</f>
        <v>3</v>
      </c>
      <c r="G334" s="3">
        <f>IFERROR(__xludf.DUMMYFUNCTION("""COMPUTED_VALUE"""),64.0)</f>
        <v>64</v>
      </c>
      <c r="I334" s="3" t="str">
        <f t="shared" si="1"/>
        <v/>
      </c>
      <c r="J334" s="3" t="str">
        <f t="shared" si="2"/>
        <v>y</v>
      </c>
      <c r="K334" s="3" t="str">
        <f t="shared" si="3"/>
        <v>y</v>
      </c>
      <c r="L334" s="3" t="str">
        <f t="shared" si="4"/>
        <v/>
      </c>
      <c r="N334" s="3" t="str">
        <f t="shared" si="5"/>
        <v/>
      </c>
      <c r="O334" s="3" t="str">
        <f t="shared" si="6"/>
        <v/>
      </c>
      <c r="Q334" s="3" t="str">
        <f t="shared" si="7"/>
        <v/>
      </c>
      <c r="U334" s="3" t="str">
        <f t="shared" si="8"/>
        <v>Överlapp</v>
      </c>
      <c r="V334" s="3" t="str">
        <f t="shared" si="9"/>
        <v>Överlapp</v>
      </c>
      <c r="W334" s="3" t="str">
        <f t="shared" si="10"/>
        <v>Överlapp</v>
      </c>
      <c r="X334" s="3" t="str">
        <f t="shared" si="11"/>
        <v/>
      </c>
    </row>
    <row r="335">
      <c r="A335" s="1" t="s">
        <v>340</v>
      </c>
      <c r="B335" s="3" t="str">
        <f>IFERROR(__xludf.DUMMYFUNCTION("SPLIT(A335, "","")"),"7-93")</f>
        <v>7-93</v>
      </c>
      <c r="C335" s="4">
        <f>IFERROR(__xludf.DUMMYFUNCTION("""COMPUTED_VALUE"""),44716.0)</f>
        <v>44716</v>
      </c>
      <c r="D335" s="3">
        <f>IFERROR(__xludf.DUMMYFUNCTION("SPLIT(B335, ""-"")"),7.0)</f>
        <v>7</v>
      </c>
      <c r="E335" s="3">
        <f>IFERROR(__xludf.DUMMYFUNCTION("""COMPUTED_VALUE"""),93.0)</f>
        <v>93</v>
      </c>
      <c r="F335" s="3">
        <f>IFERROR(__xludf.DUMMYFUNCTION("SPLIT(C335, ""-"")"),4.0)</f>
        <v>4</v>
      </c>
      <c r="G335" s="3">
        <f>IFERROR(__xludf.DUMMYFUNCTION("""COMPUTED_VALUE"""),6.0)</f>
        <v>6</v>
      </c>
      <c r="I335" s="3" t="str">
        <f t="shared" si="1"/>
        <v/>
      </c>
      <c r="J335" s="3" t="str">
        <f t="shared" si="2"/>
        <v>y</v>
      </c>
      <c r="K335" s="3" t="str">
        <f t="shared" si="3"/>
        <v>y</v>
      </c>
      <c r="L335" s="3" t="str">
        <f t="shared" si="4"/>
        <v/>
      </c>
      <c r="N335" s="3" t="str">
        <f t="shared" si="5"/>
        <v/>
      </c>
      <c r="O335" s="3" t="str">
        <f t="shared" si="6"/>
        <v/>
      </c>
      <c r="Q335" s="3" t="str">
        <f t="shared" si="7"/>
        <v/>
      </c>
      <c r="U335" s="3">
        <f t="shared" si="8"/>
        <v>1</v>
      </c>
      <c r="V335" s="3" t="str">
        <f t="shared" si="9"/>
        <v>Överlapp</v>
      </c>
      <c r="W335" s="3">
        <f t="shared" si="10"/>
        <v>1</v>
      </c>
      <c r="X335" s="3">
        <f t="shared" si="11"/>
        <v>1</v>
      </c>
    </row>
    <row r="336">
      <c r="A336" s="1" t="s">
        <v>341</v>
      </c>
      <c r="B336" s="3" t="str">
        <f>IFERROR(__xludf.DUMMYFUNCTION("SPLIT(A336, "","")"),"81-88")</f>
        <v>81-88</v>
      </c>
      <c r="C336" s="3" t="str">
        <f>IFERROR(__xludf.DUMMYFUNCTION("""COMPUTED_VALUE"""),"81-81")</f>
        <v>81-81</v>
      </c>
      <c r="D336" s="3">
        <f>IFERROR(__xludf.DUMMYFUNCTION("SPLIT(B336, ""-"")"),81.0)</f>
        <v>81</v>
      </c>
      <c r="E336" s="3">
        <f>IFERROR(__xludf.DUMMYFUNCTION("""COMPUTED_VALUE"""),88.0)</f>
        <v>88</v>
      </c>
      <c r="F336" s="3">
        <f>IFERROR(__xludf.DUMMYFUNCTION("SPLIT(C336, ""-"")"),81.0)</f>
        <v>81</v>
      </c>
      <c r="G336" s="3">
        <f>IFERROR(__xludf.DUMMYFUNCTION("""COMPUTED_VALUE"""),81.0)</f>
        <v>81</v>
      </c>
      <c r="I336" s="3" t="str">
        <f t="shared" si="1"/>
        <v>y</v>
      </c>
      <c r="J336" s="3" t="str">
        <f t="shared" si="2"/>
        <v>y</v>
      </c>
      <c r="K336" s="3" t="str">
        <f t="shared" si="3"/>
        <v>y</v>
      </c>
      <c r="L336" s="3" t="str">
        <f t="shared" si="4"/>
        <v/>
      </c>
      <c r="N336" s="3">
        <f t="shared" si="5"/>
        <v>1</v>
      </c>
      <c r="O336" s="3" t="str">
        <f t="shared" si="6"/>
        <v/>
      </c>
      <c r="Q336" s="3">
        <f t="shared" si="7"/>
        <v>1</v>
      </c>
      <c r="U336" s="3" t="str">
        <f t="shared" si="8"/>
        <v>Överlapp</v>
      </c>
      <c r="V336" s="3" t="str">
        <f t="shared" si="9"/>
        <v>Överlapp</v>
      </c>
      <c r="W336" s="3" t="str">
        <f t="shared" si="10"/>
        <v>Överlapp</v>
      </c>
      <c r="X336" s="3" t="str">
        <f t="shared" si="11"/>
        <v/>
      </c>
    </row>
    <row r="337">
      <c r="A337" s="1" t="s">
        <v>342</v>
      </c>
      <c r="B337" s="3" t="str">
        <f>IFERROR(__xludf.DUMMYFUNCTION("SPLIT(A337, "","")"),"7-55")</f>
        <v>7-55</v>
      </c>
      <c r="C337" s="3" t="str">
        <f>IFERROR(__xludf.DUMMYFUNCTION("""COMPUTED_VALUE"""),"55-57")</f>
        <v>55-57</v>
      </c>
      <c r="D337" s="3">
        <f>IFERROR(__xludf.DUMMYFUNCTION("SPLIT(B337, ""-"")"),7.0)</f>
        <v>7</v>
      </c>
      <c r="E337" s="3">
        <f>IFERROR(__xludf.DUMMYFUNCTION("""COMPUTED_VALUE"""),55.0)</f>
        <v>55</v>
      </c>
      <c r="F337" s="3">
        <f>IFERROR(__xludf.DUMMYFUNCTION("SPLIT(C337, ""-"")"),55.0)</f>
        <v>55</v>
      </c>
      <c r="G337" s="3">
        <f>IFERROR(__xludf.DUMMYFUNCTION("""COMPUTED_VALUE"""),57.0)</f>
        <v>57</v>
      </c>
      <c r="I337" s="3" t="str">
        <f t="shared" si="1"/>
        <v>y</v>
      </c>
      <c r="J337" s="3" t="str">
        <f t="shared" si="2"/>
        <v/>
      </c>
      <c r="K337" s="3" t="str">
        <f t="shared" si="3"/>
        <v/>
      </c>
      <c r="L337" s="3" t="str">
        <f t="shared" si="4"/>
        <v>y</v>
      </c>
      <c r="N337" s="3" t="str">
        <f t="shared" si="5"/>
        <v/>
      </c>
      <c r="O337" s="3" t="str">
        <f t="shared" si="6"/>
        <v/>
      </c>
      <c r="Q337" s="3" t="str">
        <f t="shared" si="7"/>
        <v/>
      </c>
      <c r="U337" s="3" t="str">
        <f t="shared" si="8"/>
        <v>Överlapp</v>
      </c>
      <c r="V337" s="3" t="str">
        <f t="shared" si="9"/>
        <v>Överlapp</v>
      </c>
      <c r="W337" s="3" t="str">
        <f t="shared" si="10"/>
        <v>Överlapp</v>
      </c>
      <c r="X337" s="3" t="str">
        <f t="shared" si="11"/>
        <v/>
      </c>
    </row>
    <row r="338">
      <c r="A338" s="1" t="s">
        <v>343</v>
      </c>
      <c r="B338" s="3" t="str">
        <f>IFERROR(__xludf.DUMMYFUNCTION("SPLIT(A338, "","")"),"10-98")</f>
        <v>10-98</v>
      </c>
      <c r="C338" s="3" t="str">
        <f>IFERROR(__xludf.DUMMYFUNCTION("""COMPUTED_VALUE"""),"9-98")</f>
        <v>9-98</v>
      </c>
      <c r="D338" s="3">
        <f>IFERROR(__xludf.DUMMYFUNCTION("SPLIT(B338, ""-"")"),10.0)</f>
        <v>10</v>
      </c>
      <c r="E338" s="3">
        <f>IFERROR(__xludf.DUMMYFUNCTION("""COMPUTED_VALUE"""),98.0)</f>
        <v>98</v>
      </c>
      <c r="F338" s="3">
        <f>IFERROR(__xludf.DUMMYFUNCTION("SPLIT(C338, ""-"")"),9.0)</f>
        <v>9</v>
      </c>
      <c r="G338" s="3">
        <f>IFERROR(__xludf.DUMMYFUNCTION("""COMPUTED_VALUE"""),98.0)</f>
        <v>98</v>
      </c>
      <c r="I338" s="3" t="str">
        <f t="shared" si="1"/>
        <v/>
      </c>
      <c r="J338" s="3" t="str">
        <f t="shared" si="2"/>
        <v>y</v>
      </c>
      <c r="K338" s="3" t="str">
        <f t="shared" si="3"/>
        <v>y</v>
      </c>
      <c r="L338" s="3" t="str">
        <f t="shared" si="4"/>
        <v>y</v>
      </c>
      <c r="N338" s="3" t="str">
        <f t="shared" si="5"/>
        <v/>
      </c>
      <c r="O338" s="3">
        <f t="shared" si="6"/>
        <v>1</v>
      </c>
      <c r="Q338" s="3">
        <f t="shared" si="7"/>
        <v>1</v>
      </c>
      <c r="U338" s="3" t="str">
        <f t="shared" si="8"/>
        <v>Överlapp</v>
      </c>
      <c r="V338" s="3" t="str">
        <f t="shared" si="9"/>
        <v>Överlapp</v>
      </c>
      <c r="W338" s="3" t="str">
        <f t="shared" si="10"/>
        <v>Överlapp</v>
      </c>
      <c r="X338" s="3" t="str">
        <f t="shared" si="11"/>
        <v/>
      </c>
    </row>
    <row r="339">
      <c r="A339" s="1" t="s">
        <v>344</v>
      </c>
      <c r="B339" s="3" t="str">
        <f>IFERROR(__xludf.DUMMYFUNCTION("SPLIT(A339, "","")"),"16-96")</f>
        <v>16-96</v>
      </c>
      <c r="C339" s="3" t="str">
        <f>IFERROR(__xludf.DUMMYFUNCTION("""COMPUTED_VALUE"""),"17-96")</f>
        <v>17-96</v>
      </c>
      <c r="D339" s="3">
        <f>IFERROR(__xludf.DUMMYFUNCTION("SPLIT(B339, ""-"")"),16.0)</f>
        <v>16</v>
      </c>
      <c r="E339" s="3">
        <f>IFERROR(__xludf.DUMMYFUNCTION("""COMPUTED_VALUE"""),96.0)</f>
        <v>96</v>
      </c>
      <c r="F339" s="3">
        <f>IFERROR(__xludf.DUMMYFUNCTION("SPLIT(C339, ""-"")"),17.0)</f>
        <v>17</v>
      </c>
      <c r="G339" s="3">
        <f>IFERROR(__xludf.DUMMYFUNCTION("""COMPUTED_VALUE"""),96.0)</f>
        <v>96</v>
      </c>
      <c r="I339" s="3" t="str">
        <f t="shared" si="1"/>
        <v>y</v>
      </c>
      <c r="J339" s="3" t="str">
        <f t="shared" si="2"/>
        <v>y</v>
      </c>
      <c r="K339" s="3" t="str">
        <f t="shared" si="3"/>
        <v/>
      </c>
      <c r="L339" s="3" t="str">
        <f t="shared" si="4"/>
        <v>y</v>
      </c>
      <c r="N339" s="3">
        <f t="shared" si="5"/>
        <v>1</v>
      </c>
      <c r="O339" s="3" t="str">
        <f t="shared" si="6"/>
        <v/>
      </c>
      <c r="Q339" s="3">
        <f t="shared" si="7"/>
        <v>1</v>
      </c>
      <c r="U339" s="3" t="str">
        <f t="shared" si="8"/>
        <v>Överlapp</v>
      </c>
      <c r="V339" s="3" t="str">
        <f t="shared" si="9"/>
        <v>Överlapp</v>
      </c>
      <c r="W339" s="3" t="str">
        <f t="shared" si="10"/>
        <v>Överlapp</v>
      </c>
      <c r="X339" s="3" t="str">
        <f t="shared" si="11"/>
        <v/>
      </c>
    </row>
    <row r="340">
      <c r="A340" s="1" t="s">
        <v>345</v>
      </c>
      <c r="B340" s="3" t="str">
        <f>IFERROR(__xludf.DUMMYFUNCTION("SPLIT(A340, "","")"),"58-87")</f>
        <v>58-87</v>
      </c>
      <c r="C340" s="3" t="str">
        <f>IFERROR(__xludf.DUMMYFUNCTION("""COMPUTED_VALUE"""),"58-86")</f>
        <v>58-86</v>
      </c>
      <c r="D340" s="3">
        <f>IFERROR(__xludf.DUMMYFUNCTION("SPLIT(B340, ""-"")"),58.0)</f>
        <v>58</v>
      </c>
      <c r="E340" s="3">
        <f>IFERROR(__xludf.DUMMYFUNCTION("""COMPUTED_VALUE"""),87.0)</f>
        <v>87</v>
      </c>
      <c r="F340" s="3">
        <f>IFERROR(__xludf.DUMMYFUNCTION("SPLIT(C340, ""-"")"),58.0)</f>
        <v>58</v>
      </c>
      <c r="G340" s="3">
        <f>IFERROR(__xludf.DUMMYFUNCTION("""COMPUTED_VALUE"""),86.0)</f>
        <v>86</v>
      </c>
      <c r="I340" s="3" t="str">
        <f t="shared" si="1"/>
        <v>y</v>
      </c>
      <c r="J340" s="3" t="str">
        <f t="shared" si="2"/>
        <v>y</v>
      </c>
      <c r="K340" s="3" t="str">
        <f t="shared" si="3"/>
        <v>y</v>
      </c>
      <c r="L340" s="3" t="str">
        <f t="shared" si="4"/>
        <v/>
      </c>
      <c r="N340" s="3">
        <f t="shared" si="5"/>
        <v>1</v>
      </c>
      <c r="O340" s="3" t="str">
        <f t="shared" si="6"/>
        <v/>
      </c>
      <c r="Q340" s="3">
        <f t="shared" si="7"/>
        <v>1</v>
      </c>
      <c r="U340" s="3" t="str">
        <f t="shared" si="8"/>
        <v>Överlapp</v>
      </c>
      <c r="V340" s="3" t="str">
        <f t="shared" si="9"/>
        <v>Överlapp</v>
      </c>
      <c r="W340" s="3" t="str">
        <f t="shared" si="10"/>
        <v>Överlapp</v>
      </c>
      <c r="X340" s="3" t="str">
        <f t="shared" si="11"/>
        <v/>
      </c>
    </row>
    <row r="341">
      <c r="A341" s="1" t="s">
        <v>346</v>
      </c>
      <c r="B341" s="3" t="str">
        <f>IFERROR(__xludf.DUMMYFUNCTION("SPLIT(A341, "","")"),"14-55")</f>
        <v>14-55</v>
      </c>
      <c r="C341" s="3" t="str">
        <f>IFERROR(__xludf.DUMMYFUNCTION("""COMPUTED_VALUE"""),"56-56")</f>
        <v>56-56</v>
      </c>
      <c r="D341" s="3">
        <f>IFERROR(__xludf.DUMMYFUNCTION("SPLIT(B341, ""-"")"),14.0)</f>
        <v>14</v>
      </c>
      <c r="E341" s="3">
        <f>IFERROR(__xludf.DUMMYFUNCTION("""COMPUTED_VALUE"""),55.0)</f>
        <v>55</v>
      </c>
      <c r="F341" s="3">
        <f>IFERROR(__xludf.DUMMYFUNCTION("SPLIT(C341, ""-"")"),56.0)</f>
        <v>56</v>
      </c>
      <c r="G341" s="3">
        <f>IFERROR(__xludf.DUMMYFUNCTION("""COMPUTED_VALUE"""),56.0)</f>
        <v>56</v>
      </c>
      <c r="I341" s="3" t="str">
        <f t="shared" si="1"/>
        <v>y</v>
      </c>
      <c r="J341" s="3" t="str">
        <f t="shared" si="2"/>
        <v/>
      </c>
      <c r="K341" s="3" t="str">
        <f t="shared" si="3"/>
        <v/>
      </c>
      <c r="L341" s="3" t="str">
        <f t="shared" si="4"/>
        <v>y</v>
      </c>
      <c r="N341" s="3" t="str">
        <f t="shared" si="5"/>
        <v/>
      </c>
      <c r="O341" s="3" t="str">
        <f t="shared" si="6"/>
        <v/>
      </c>
      <c r="Q341" s="3" t="str">
        <f t="shared" si="7"/>
        <v/>
      </c>
      <c r="U341" s="3">
        <f t="shared" si="8"/>
        <v>1</v>
      </c>
      <c r="V341" s="3">
        <f t="shared" si="9"/>
        <v>1</v>
      </c>
      <c r="W341" s="3" t="str">
        <f t="shared" si="10"/>
        <v>Överlapp</v>
      </c>
      <c r="X341" s="3">
        <f t="shared" si="11"/>
        <v>1</v>
      </c>
    </row>
    <row r="342">
      <c r="A342" s="1" t="s">
        <v>347</v>
      </c>
      <c r="B342" s="3" t="str">
        <f>IFERROR(__xludf.DUMMYFUNCTION("SPLIT(A342, "","")"),"26-27")</f>
        <v>26-27</v>
      </c>
      <c r="C342" s="3" t="str">
        <f>IFERROR(__xludf.DUMMYFUNCTION("""COMPUTED_VALUE"""),"26-97")</f>
        <v>26-97</v>
      </c>
      <c r="D342" s="3">
        <f>IFERROR(__xludf.DUMMYFUNCTION("SPLIT(B342, ""-"")"),26.0)</f>
        <v>26</v>
      </c>
      <c r="E342" s="3">
        <f>IFERROR(__xludf.DUMMYFUNCTION("""COMPUTED_VALUE"""),27.0)</f>
        <v>27</v>
      </c>
      <c r="F342" s="3">
        <f>IFERROR(__xludf.DUMMYFUNCTION("SPLIT(C342, ""-"")"),26.0)</f>
        <v>26</v>
      </c>
      <c r="G342" s="3">
        <f>IFERROR(__xludf.DUMMYFUNCTION("""COMPUTED_VALUE"""),97.0)</f>
        <v>97</v>
      </c>
      <c r="I342" s="3" t="str">
        <f t="shared" si="1"/>
        <v>y</v>
      </c>
      <c r="J342" s="3" t="str">
        <f t="shared" si="2"/>
        <v/>
      </c>
      <c r="K342" s="3" t="str">
        <f t="shared" si="3"/>
        <v>y</v>
      </c>
      <c r="L342" s="3" t="str">
        <f t="shared" si="4"/>
        <v>y</v>
      </c>
      <c r="N342" s="3" t="str">
        <f t="shared" si="5"/>
        <v/>
      </c>
      <c r="O342" s="3">
        <f t="shared" si="6"/>
        <v>1</v>
      </c>
      <c r="Q342" s="3">
        <f t="shared" si="7"/>
        <v>1</v>
      </c>
      <c r="U342" s="3" t="str">
        <f t="shared" si="8"/>
        <v>Överlapp</v>
      </c>
      <c r="V342" s="3" t="str">
        <f t="shared" si="9"/>
        <v>Överlapp</v>
      </c>
      <c r="W342" s="3" t="str">
        <f t="shared" si="10"/>
        <v>Överlapp</v>
      </c>
      <c r="X342" s="3" t="str">
        <f t="shared" si="11"/>
        <v/>
      </c>
    </row>
    <row r="343">
      <c r="A343" s="1" t="s">
        <v>348</v>
      </c>
      <c r="B343" s="3" t="str">
        <f>IFERROR(__xludf.DUMMYFUNCTION("SPLIT(A343, "","")"),"43-55")</f>
        <v>43-55</v>
      </c>
      <c r="C343" s="3" t="str">
        <f>IFERROR(__xludf.DUMMYFUNCTION("""COMPUTED_VALUE"""),"54-96")</f>
        <v>54-96</v>
      </c>
      <c r="D343" s="3">
        <f>IFERROR(__xludf.DUMMYFUNCTION("SPLIT(B343, ""-"")"),43.0)</f>
        <v>43</v>
      </c>
      <c r="E343" s="3">
        <f>IFERROR(__xludf.DUMMYFUNCTION("""COMPUTED_VALUE"""),55.0)</f>
        <v>55</v>
      </c>
      <c r="F343" s="3">
        <f>IFERROR(__xludf.DUMMYFUNCTION("SPLIT(C343, ""-"")"),54.0)</f>
        <v>54</v>
      </c>
      <c r="G343" s="3">
        <f>IFERROR(__xludf.DUMMYFUNCTION("""COMPUTED_VALUE"""),96.0)</f>
        <v>96</v>
      </c>
      <c r="I343" s="3" t="str">
        <f t="shared" si="1"/>
        <v>y</v>
      </c>
      <c r="J343" s="3" t="str">
        <f t="shared" si="2"/>
        <v/>
      </c>
      <c r="K343" s="3" t="str">
        <f t="shared" si="3"/>
        <v/>
      </c>
      <c r="L343" s="3" t="str">
        <f t="shared" si="4"/>
        <v>y</v>
      </c>
      <c r="N343" s="3" t="str">
        <f t="shared" si="5"/>
        <v/>
      </c>
      <c r="O343" s="3" t="str">
        <f t="shared" si="6"/>
        <v/>
      </c>
      <c r="Q343" s="3" t="str">
        <f t="shared" si="7"/>
        <v/>
      </c>
      <c r="U343" s="3">
        <f t="shared" si="8"/>
        <v>1</v>
      </c>
      <c r="V343" s="3" t="str">
        <f t="shared" si="9"/>
        <v>Överlapp</v>
      </c>
      <c r="W343" s="3" t="str">
        <f t="shared" si="10"/>
        <v>Överlapp</v>
      </c>
      <c r="X343" s="3" t="str">
        <f t="shared" si="11"/>
        <v/>
      </c>
    </row>
    <row r="344">
      <c r="A344" s="1" t="s">
        <v>349</v>
      </c>
      <c r="B344" s="3" t="str">
        <f>IFERROR(__xludf.DUMMYFUNCTION("SPLIT(A344, "","")"),"10-50")</f>
        <v>10-50</v>
      </c>
      <c r="C344" s="3" t="str">
        <f>IFERROR(__xludf.DUMMYFUNCTION("""COMPUTED_VALUE"""),"9-50")</f>
        <v>9-50</v>
      </c>
      <c r="D344" s="3">
        <f>IFERROR(__xludf.DUMMYFUNCTION("SPLIT(B344, ""-"")"),10.0)</f>
        <v>10</v>
      </c>
      <c r="E344" s="3">
        <f>IFERROR(__xludf.DUMMYFUNCTION("""COMPUTED_VALUE"""),50.0)</f>
        <v>50</v>
      </c>
      <c r="F344" s="3">
        <f>IFERROR(__xludf.DUMMYFUNCTION("SPLIT(C344, ""-"")"),9.0)</f>
        <v>9</v>
      </c>
      <c r="G344" s="3">
        <f>IFERROR(__xludf.DUMMYFUNCTION("""COMPUTED_VALUE"""),50.0)</f>
        <v>50</v>
      </c>
      <c r="I344" s="3" t="str">
        <f t="shared" si="1"/>
        <v/>
      </c>
      <c r="J344" s="3" t="str">
        <f t="shared" si="2"/>
        <v>y</v>
      </c>
      <c r="K344" s="3" t="str">
        <f t="shared" si="3"/>
        <v>y</v>
      </c>
      <c r="L344" s="3" t="str">
        <f t="shared" si="4"/>
        <v>y</v>
      </c>
      <c r="N344" s="3" t="str">
        <f t="shared" si="5"/>
        <v/>
      </c>
      <c r="O344" s="3">
        <f t="shared" si="6"/>
        <v>1</v>
      </c>
      <c r="Q344" s="3">
        <f t="shared" si="7"/>
        <v>1</v>
      </c>
      <c r="U344" s="3" t="str">
        <f t="shared" si="8"/>
        <v>Överlapp</v>
      </c>
      <c r="V344" s="3" t="str">
        <f t="shared" si="9"/>
        <v>Överlapp</v>
      </c>
      <c r="W344" s="3" t="str">
        <f t="shared" si="10"/>
        <v>Överlapp</v>
      </c>
      <c r="X344" s="3" t="str">
        <f t="shared" si="11"/>
        <v/>
      </c>
    </row>
    <row r="345">
      <c r="A345" s="1" t="s">
        <v>350</v>
      </c>
      <c r="B345" s="3" t="str">
        <f>IFERROR(__xludf.DUMMYFUNCTION("SPLIT(A345, "","")"),"22-99")</f>
        <v>22-99</v>
      </c>
      <c r="C345" s="3" t="str">
        <f>IFERROR(__xludf.DUMMYFUNCTION("""COMPUTED_VALUE"""),"24-71")</f>
        <v>24-71</v>
      </c>
      <c r="D345" s="3">
        <f>IFERROR(__xludf.DUMMYFUNCTION("SPLIT(B345, ""-"")"),22.0)</f>
        <v>22</v>
      </c>
      <c r="E345" s="3">
        <f>IFERROR(__xludf.DUMMYFUNCTION("""COMPUTED_VALUE"""),99.0)</f>
        <v>99</v>
      </c>
      <c r="F345" s="3">
        <f>IFERROR(__xludf.DUMMYFUNCTION("SPLIT(C345, ""-"")"),24.0)</f>
        <v>24</v>
      </c>
      <c r="G345" s="3">
        <f>IFERROR(__xludf.DUMMYFUNCTION("""COMPUTED_VALUE"""),71.0)</f>
        <v>71</v>
      </c>
      <c r="I345" s="3" t="str">
        <f t="shared" si="1"/>
        <v>y</v>
      </c>
      <c r="J345" s="3" t="str">
        <f t="shared" si="2"/>
        <v>y</v>
      </c>
      <c r="K345" s="3" t="str">
        <f t="shared" si="3"/>
        <v/>
      </c>
      <c r="L345" s="3" t="str">
        <f t="shared" si="4"/>
        <v/>
      </c>
      <c r="N345" s="3">
        <f t="shared" si="5"/>
        <v>1</v>
      </c>
      <c r="O345" s="3" t="str">
        <f t="shared" si="6"/>
        <v/>
      </c>
      <c r="Q345" s="3">
        <f t="shared" si="7"/>
        <v>1</v>
      </c>
      <c r="U345" s="3">
        <f t="shared" si="8"/>
        <v>1</v>
      </c>
      <c r="V345" s="3" t="str">
        <f t="shared" si="9"/>
        <v>Överlapp</v>
      </c>
      <c r="W345" s="3" t="str">
        <f t="shared" si="10"/>
        <v>Överlapp</v>
      </c>
      <c r="X345" s="3" t="str">
        <f t="shared" si="11"/>
        <v/>
      </c>
    </row>
    <row r="346">
      <c r="A346" s="1" t="s">
        <v>351</v>
      </c>
      <c r="B346" s="3" t="str">
        <f>IFERROR(__xludf.DUMMYFUNCTION("SPLIT(A346, "","")"),"1-96")</f>
        <v>1-96</v>
      </c>
      <c r="C346" s="3" t="str">
        <f>IFERROR(__xludf.DUMMYFUNCTION("""COMPUTED_VALUE"""),"1-97")</f>
        <v>1-97</v>
      </c>
      <c r="D346" s="3">
        <f>IFERROR(__xludf.DUMMYFUNCTION("SPLIT(B346, ""-"")"),1.0)</f>
        <v>1</v>
      </c>
      <c r="E346" s="3">
        <f>IFERROR(__xludf.DUMMYFUNCTION("""COMPUTED_VALUE"""),96.0)</f>
        <v>96</v>
      </c>
      <c r="F346" s="3">
        <f>IFERROR(__xludf.DUMMYFUNCTION("SPLIT(C346, ""-"")"),1.0)</f>
        <v>1</v>
      </c>
      <c r="G346" s="3">
        <f>IFERROR(__xludf.DUMMYFUNCTION("""COMPUTED_VALUE"""),97.0)</f>
        <v>97</v>
      </c>
      <c r="I346" s="3" t="str">
        <f t="shared" si="1"/>
        <v>y</v>
      </c>
      <c r="J346" s="3" t="str">
        <f t="shared" si="2"/>
        <v/>
      </c>
      <c r="K346" s="3" t="str">
        <f t="shared" si="3"/>
        <v>y</v>
      </c>
      <c r="L346" s="3" t="str">
        <f t="shared" si="4"/>
        <v>y</v>
      </c>
      <c r="N346" s="3" t="str">
        <f t="shared" si="5"/>
        <v/>
      </c>
      <c r="O346" s="3">
        <f t="shared" si="6"/>
        <v>1</v>
      </c>
      <c r="Q346" s="3">
        <f t="shared" si="7"/>
        <v>1</v>
      </c>
      <c r="U346" s="3" t="str">
        <f t="shared" si="8"/>
        <v>Överlapp</v>
      </c>
      <c r="V346" s="3" t="str">
        <f t="shared" si="9"/>
        <v>Överlapp</v>
      </c>
      <c r="W346" s="3" t="str">
        <f t="shared" si="10"/>
        <v>Överlapp</v>
      </c>
      <c r="X346" s="3" t="str">
        <f t="shared" si="11"/>
        <v/>
      </c>
    </row>
    <row r="347">
      <c r="A347" s="1" t="s">
        <v>352</v>
      </c>
      <c r="B347" s="4">
        <f>IFERROR(__xludf.DUMMYFUNCTION("SPLIT(A347, "","")"),44621.0)</f>
        <v>44621</v>
      </c>
      <c r="C347" s="3" t="str">
        <f>IFERROR(__xludf.DUMMYFUNCTION("""COMPUTED_VALUE"""),"2-30")</f>
        <v>2-30</v>
      </c>
      <c r="D347" s="3">
        <f>IFERROR(__xludf.DUMMYFUNCTION("SPLIT(B347, ""-"")"),1.0)</f>
        <v>1</v>
      </c>
      <c r="E347" s="3">
        <f>IFERROR(__xludf.DUMMYFUNCTION("""COMPUTED_VALUE"""),3.0)</f>
        <v>3</v>
      </c>
      <c r="F347" s="3">
        <f>IFERROR(__xludf.DUMMYFUNCTION("SPLIT(C347, ""-"")"),2.0)</f>
        <v>2</v>
      </c>
      <c r="G347" s="3">
        <f>IFERROR(__xludf.DUMMYFUNCTION("""COMPUTED_VALUE"""),30.0)</f>
        <v>30</v>
      </c>
      <c r="I347" s="3" t="str">
        <f t="shared" si="1"/>
        <v>y</v>
      </c>
      <c r="J347" s="3" t="str">
        <f t="shared" si="2"/>
        <v/>
      </c>
      <c r="K347" s="3" t="str">
        <f t="shared" si="3"/>
        <v/>
      </c>
      <c r="L347" s="3" t="str">
        <f t="shared" si="4"/>
        <v>y</v>
      </c>
      <c r="N347" s="3" t="str">
        <f t="shared" si="5"/>
        <v/>
      </c>
      <c r="O347" s="3" t="str">
        <f t="shared" si="6"/>
        <v/>
      </c>
      <c r="Q347" s="3" t="str">
        <f t="shared" si="7"/>
        <v/>
      </c>
      <c r="U347" s="3">
        <f t="shared" si="8"/>
        <v>1</v>
      </c>
      <c r="V347" s="3" t="str">
        <f t="shared" si="9"/>
        <v>Överlapp</v>
      </c>
      <c r="W347" s="3" t="str">
        <f t="shared" si="10"/>
        <v>Överlapp</v>
      </c>
      <c r="X347" s="3" t="str">
        <f t="shared" si="11"/>
        <v/>
      </c>
    </row>
    <row r="348">
      <c r="A348" s="1" t="s">
        <v>353</v>
      </c>
      <c r="B348" s="3" t="str">
        <f>IFERROR(__xludf.DUMMYFUNCTION("SPLIT(A348, "","")"),"18-91")</f>
        <v>18-91</v>
      </c>
      <c r="C348" s="3" t="str">
        <f>IFERROR(__xludf.DUMMYFUNCTION("""COMPUTED_VALUE"""),"90-94")</f>
        <v>90-94</v>
      </c>
      <c r="D348" s="3">
        <f>IFERROR(__xludf.DUMMYFUNCTION("SPLIT(B348, ""-"")"),18.0)</f>
        <v>18</v>
      </c>
      <c r="E348" s="3">
        <f>IFERROR(__xludf.DUMMYFUNCTION("""COMPUTED_VALUE"""),91.0)</f>
        <v>91</v>
      </c>
      <c r="F348" s="3">
        <f>IFERROR(__xludf.DUMMYFUNCTION("SPLIT(C348, ""-"")"),90.0)</f>
        <v>90</v>
      </c>
      <c r="G348" s="3">
        <f>IFERROR(__xludf.DUMMYFUNCTION("""COMPUTED_VALUE"""),94.0)</f>
        <v>94</v>
      </c>
      <c r="I348" s="3" t="str">
        <f t="shared" si="1"/>
        <v>y</v>
      </c>
      <c r="J348" s="3" t="str">
        <f t="shared" si="2"/>
        <v/>
      </c>
      <c r="K348" s="3" t="str">
        <f t="shared" si="3"/>
        <v/>
      </c>
      <c r="L348" s="3" t="str">
        <f t="shared" si="4"/>
        <v>y</v>
      </c>
      <c r="N348" s="3" t="str">
        <f t="shared" si="5"/>
        <v/>
      </c>
      <c r="O348" s="3" t="str">
        <f t="shared" si="6"/>
        <v/>
      </c>
      <c r="Q348" s="3" t="str">
        <f t="shared" si="7"/>
        <v/>
      </c>
      <c r="U348" s="3">
        <f t="shared" si="8"/>
        <v>1</v>
      </c>
      <c r="V348" s="3" t="str">
        <f t="shared" si="9"/>
        <v>Överlapp</v>
      </c>
      <c r="W348" s="3" t="str">
        <f t="shared" si="10"/>
        <v>Överlapp</v>
      </c>
      <c r="X348" s="3" t="str">
        <f t="shared" si="11"/>
        <v/>
      </c>
    </row>
    <row r="349">
      <c r="A349" s="1" t="s">
        <v>354</v>
      </c>
      <c r="B349" s="3" t="str">
        <f>IFERROR(__xludf.DUMMYFUNCTION("SPLIT(A349, "","")"),"16-30")</f>
        <v>16-30</v>
      </c>
      <c r="C349" s="3" t="str">
        <f>IFERROR(__xludf.DUMMYFUNCTION("""COMPUTED_VALUE"""),"16-29")</f>
        <v>16-29</v>
      </c>
      <c r="D349" s="3">
        <f>IFERROR(__xludf.DUMMYFUNCTION("SPLIT(B349, ""-"")"),16.0)</f>
        <v>16</v>
      </c>
      <c r="E349" s="3">
        <f>IFERROR(__xludf.DUMMYFUNCTION("""COMPUTED_VALUE"""),30.0)</f>
        <v>30</v>
      </c>
      <c r="F349" s="3">
        <f>IFERROR(__xludf.DUMMYFUNCTION("SPLIT(C349, ""-"")"),16.0)</f>
        <v>16</v>
      </c>
      <c r="G349" s="3">
        <f>IFERROR(__xludf.DUMMYFUNCTION("""COMPUTED_VALUE"""),29.0)</f>
        <v>29</v>
      </c>
      <c r="I349" s="3" t="str">
        <f t="shared" si="1"/>
        <v>y</v>
      </c>
      <c r="J349" s="3" t="str">
        <f t="shared" si="2"/>
        <v>y</v>
      </c>
      <c r="K349" s="3" t="str">
        <f t="shared" si="3"/>
        <v>y</v>
      </c>
      <c r="L349" s="3" t="str">
        <f t="shared" si="4"/>
        <v/>
      </c>
      <c r="N349" s="3">
        <f t="shared" si="5"/>
        <v>1</v>
      </c>
      <c r="O349" s="3" t="str">
        <f t="shared" si="6"/>
        <v/>
      </c>
      <c r="Q349" s="3">
        <f t="shared" si="7"/>
        <v>1</v>
      </c>
      <c r="U349" s="3" t="str">
        <f t="shared" si="8"/>
        <v>Överlapp</v>
      </c>
      <c r="V349" s="3" t="str">
        <f t="shared" si="9"/>
        <v>Överlapp</v>
      </c>
      <c r="W349" s="3" t="str">
        <f t="shared" si="10"/>
        <v>Överlapp</v>
      </c>
      <c r="X349" s="3" t="str">
        <f t="shared" si="11"/>
        <v/>
      </c>
    </row>
    <row r="350">
      <c r="A350" s="1" t="s">
        <v>355</v>
      </c>
      <c r="B350" s="3" t="str">
        <f>IFERROR(__xludf.DUMMYFUNCTION("SPLIT(A350, "","")"),"23-48")</f>
        <v>23-48</v>
      </c>
      <c r="C350" s="3" t="str">
        <f>IFERROR(__xludf.DUMMYFUNCTION("""COMPUTED_VALUE"""),"25-73")</f>
        <v>25-73</v>
      </c>
      <c r="D350" s="3">
        <f>IFERROR(__xludf.DUMMYFUNCTION("SPLIT(B350, ""-"")"),23.0)</f>
        <v>23</v>
      </c>
      <c r="E350" s="3">
        <f>IFERROR(__xludf.DUMMYFUNCTION("""COMPUTED_VALUE"""),48.0)</f>
        <v>48</v>
      </c>
      <c r="F350" s="3">
        <f>IFERROR(__xludf.DUMMYFUNCTION("SPLIT(C350, ""-"")"),25.0)</f>
        <v>25</v>
      </c>
      <c r="G350" s="3">
        <f>IFERROR(__xludf.DUMMYFUNCTION("""COMPUTED_VALUE"""),73.0)</f>
        <v>73</v>
      </c>
      <c r="I350" s="3" t="str">
        <f t="shared" si="1"/>
        <v>y</v>
      </c>
      <c r="J350" s="3" t="str">
        <f t="shared" si="2"/>
        <v/>
      </c>
      <c r="K350" s="3" t="str">
        <f t="shared" si="3"/>
        <v/>
      </c>
      <c r="L350" s="3" t="str">
        <f t="shared" si="4"/>
        <v>y</v>
      </c>
      <c r="N350" s="3" t="str">
        <f t="shared" si="5"/>
        <v/>
      </c>
      <c r="O350" s="3" t="str">
        <f t="shared" si="6"/>
        <v/>
      </c>
      <c r="Q350" s="3" t="str">
        <f t="shared" si="7"/>
        <v/>
      </c>
      <c r="U350" s="3">
        <f t="shared" si="8"/>
        <v>1</v>
      </c>
      <c r="V350" s="3" t="str">
        <f t="shared" si="9"/>
        <v>Överlapp</v>
      </c>
      <c r="W350" s="3" t="str">
        <f t="shared" si="10"/>
        <v>Överlapp</v>
      </c>
      <c r="X350" s="3" t="str">
        <f t="shared" si="11"/>
        <v/>
      </c>
    </row>
    <row r="351">
      <c r="A351" s="1" t="s">
        <v>356</v>
      </c>
      <c r="B351" s="3" t="str">
        <f>IFERROR(__xludf.DUMMYFUNCTION("SPLIT(A351, "","")"),"43-68")</f>
        <v>43-68</v>
      </c>
      <c r="C351" s="3" t="str">
        <f>IFERROR(__xludf.DUMMYFUNCTION("""COMPUTED_VALUE"""),"76-76")</f>
        <v>76-76</v>
      </c>
      <c r="D351" s="3">
        <f>IFERROR(__xludf.DUMMYFUNCTION("SPLIT(B351, ""-"")"),43.0)</f>
        <v>43</v>
      </c>
      <c r="E351" s="3">
        <f>IFERROR(__xludf.DUMMYFUNCTION("""COMPUTED_VALUE"""),68.0)</f>
        <v>68</v>
      </c>
      <c r="F351" s="3">
        <f>IFERROR(__xludf.DUMMYFUNCTION("SPLIT(C351, ""-"")"),76.0)</f>
        <v>76</v>
      </c>
      <c r="G351" s="3">
        <f>IFERROR(__xludf.DUMMYFUNCTION("""COMPUTED_VALUE"""),76.0)</f>
        <v>76</v>
      </c>
      <c r="I351" s="3" t="str">
        <f t="shared" si="1"/>
        <v>y</v>
      </c>
      <c r="J351" s="3" t="str">
        <f t="shared" si="2"/>
        <v/>
      </c>
      <c r="K351" s="3" t="str">
        <f t="shared" si="3"/>
        <v/>
      </c>
      <c r="L351" s="3" t="str">
        <f t="shared" si="4"/>
        <v>y</v>
      </c>
      <c r="N351" s="3" t="str">
        <f t="shared" si="5"/>
        <v/>
      </c>
      <c r="O351" s="3" t="str">
        <f t="shared" si="6"/>
        <v/>
      </c>
      <c r="Q351" s="3" t="str">
        <f t="shared" si="7"/>
        <v/>
      </c>
      <c r="U351" s="3">
        <f t="shared" si="8"/>
        <v>1</v>
      </c>
      <c r="V351" s="3">
        <f t="shared" si="9"/>
        <v>1</v>
      </c>
      <c r="W351" s="3" t="str">
        <f t="shared" si="10"/>
        <v>Överlapp</v>
      </c>
      <c r="X351" s="3">
        <f t="shared" si="11"/>
        <v>1</v>
      </c>
    </row>
    <row r="352">
      <c r="A352" s="1" t="s">
        <v>357</v>
      </c>
      <c r="B352" s="3" t="str">
        <f>IFERROR(__xludf.DUMMYFUNCTION("SPLIT(A352, "","")"),"25-82")</f>
        <v>25-82</v>
      </c>
      <c r="C352" s="3" t="str">
        <f>IFERROR(__xludf.DUMMYFUNCTION("""COMPUTED_VALUE"""),"26-26")</f>
        <v>26-26</v>
      </c>
      <c r="D352" s="3">
        <f>IFERROR(__xludf.DUMMYFUNCTION("SPLIT(B352, ""-"")"),25.0)</f>
        <v>25</v>
      </c>
      <c r="E352" s="3">
        <f>IFERROR(__xludf.DUMMYFUNCTION("""COMPUTED_VALUE"""),82.0)</f>
        <v>82</v>
      </c>
      <c r="F352" s="3">
        <f>IFERROR(__xludf.DUMMYFUNCTION("SPLIT(C352, ""-"")"),26.0)</f>
        <v>26</v>
      </c>
      <c r="G352" s="3">
        <f>IFERROR(__xludf.DUMMYFUNCTION("""COMPUTED_VALUE"""),26.0)</f>
        <v>26</v>
      </c>
      <c r="I352" s="3" t="str">
        <f t="shared" si="1"/>
        <v>y</v>
      </c>
      <c r="J352" s="3" t="str">
        <f t="shared" si="2"/>
        <v>y</v>
      </c>
      <c r="K352" s="3" t="str">
        <f t="shared" si="3"/>
        <v/>
      </c>
      <c r="L352" s="3" t="str">
        <f t="shared" si="4"/>
        <v/>
      </c>
      <c r="N352" s="3">
        <f t="shared" si="5"/>
        <v>1</v>
      </c>
      <c r="O352" s="3" t="str">
        <f t="shared" si="6"/>
        <v/>
      </c>
      <c r="Q352" s="3">
        <f t="shared" si="7"/>
        <v>1</v>
      </c>
      <c r="U352" s="3">
        <f t="shared" si="8"/>
        <v>1</v>
      </c>
      <c r="V352" s="3" t="str">
        <f t="shared" si="9"/>
        <v>Överlapp</v>
      </c>
      <c r="W352" s="3" t="str">
        <f t="shared" si="10"/>
        <v>Överlapp</v>
      </c>
      <c r="X352" s="3" t="str">
        <f t="shared" si="11"/>
        <v/>
      </c>
    </row>
    <row r="353">
      <c r="A353" s="1" t="s">
        <v>358</v>
      </c>
      <c r="B353" s="3" t="str">
        <f>IFERROR(__xludf.DUMMYFUNCTION("SPLIT(A353, "","")"),"9-40")</f>
        <v>9-40</v>
      </c>
      <c r="C353" s="3" t="str">
        <f>IFERROR(__xludf.DUMMYFUNCTION("""COMPUTED_VALUE"""),"52-60")</f>
        <v>52-60</v>
      </c>
      <c r="D353" s="3">
        <f>IFERROR(__xludf.DUMMYFUNCTION("SPLIT(B353, ""-"")"),9.0)</f>
        <v>9</v>
      </c>
      <c r="E353" s="3">
        <f>IFERROR(__xludf.DUMMYFUNCTION("""COMPUTED_VALUE"""),40.0)</f>
        <v>40</v>
      </c>
      <c r="F353" s="3">
        <f>IFERROR(__xludf.DUMMYFUNCTION("SPLIT(C353, ""-"")"),52.0)</f>
        <v>52</v>
      </c>
      <c r="G353" s="3">
        <f>IFERROR(__xludf.DUMMYFUNCTION("""COMPUTED_VALUE"""),60.0)</f>
        <v>60</v>
      </c>
      <c r="I353" s="3" t="str">
        <f t="shared" si="1"/>
        <v>y</v>
      </c>
      <c r="J353" s="3" t="str">
        <f t="shared" si="2"/>
        <v/>
      </c>
      <c r="K353" s="3" t="str">
        <f t="shared" si="3"/>
        <v/>
      </c>
      <c r="L353" s="3" t="str">
        <f t="shared" si="4"/>
        <v>y</v>
      </c>
      <c r="N353" s="3" t="str">
        <f t="shared" si="5"/>
        <v/>
      </c>
      <c r="O353" s="3" t="str">
        <f t="shared" si="6"/>
        <v/>
      </c>
      <c r="Q353" s="3" t="str">
        <f t="shared" si="7"/>
        <v/>
      </c>
      <c r="U353" s="3">
        <f t="shared" si="8"/>
        <v>1</v>
      </c>
      <c r="V353" s="3">
        <f t="shared" si="9"/>
        <v>1</v>
      </c>
      <c r="W353" s="3" t="str">
        <f t="shared" si="10"/>
        <v>Överlapp</v>
      </c>
      <c r="X353" s="3">
        <f t="shared" si="11"/>
        <v>1</v>
      </c>
    </row>
    <row r="354">
      <c r="A354" s="1" t="s">
        <v>359</v>
      </c>
      <c r="B354" s="3" t="str">
        <f>IFERROR(__xludf.DUMMYFUNCTION("SPLIT(A354, "","")"),"19-72")</f>
        <v>19-72</v>
      </c>
      <c r="C354" s="3" t="str">
        <f>IFERROR(__xludf.DUMMYFUNCTION("""COMPUTED_VALUE"""),"19-71")</f>
        <v>19-71</v>
      </c>
      <c r="D354" s="3">
        <f>IFERROR(__xludf.DUMMYFUNCTION("SPLIT(B354, ""-"")"),19.0)</f>
        <v>19</v>
      </c>
      <c r="E354" s="3">
        <f>IFERROR(__xludf.DUMMYFUNCTION("""COMPUTED_VALUE"""),72.0)</f>
        <v>72</v>
      </c>
      <c r="F354" s="3">
        <f>IFERROR(__xludf.DUMMYFUNCTION("SPLIT(C354, ""-"")"),19.0)</f>
        <v>19</v>
      </c>
      <c r="G354" s="3">
        <f>IFERROR(__xludf.DUMMYFUNCTION("""COMPUTED_VALUE"""),71.0)</f>
        <v>71</v>
      </c>
      <c r="I354" s="3" t="str">
        <f t="shared" si="1"/>
        <v>y</v>
      </c>
      <c r="J354" s="3" t="str">
        <f t="shared" si="2"/>
        <v>y</v>
      </c>
      <c r="K354" s="3" t="str">
        <f t="shared" si="3"/>
        <v>y</v>
      </c>
      <c r="L354" s="3" t="str">
        <f t="shared" si="4"/>
        <v/>
      </c>
      <c r="N354" s="3">
        <f t="shared" si="5"/>
        <v>1</v>
      </c>
      <c r="O354" s="3" t="str">
        <f t="shared" si="6"/>
        <v/>
      </c>
      <c r="Q354" s="3">
        <f t="shared" si="7"/>
        <v>1</v>
      </c>
      <c r="U354" s="3" t="str">
        <f t="shared" si="8"/>
        <v>Överlapp</v>
      </c>
      <c r="V354" s="3" t="str">
        <f t="shared" si="9"/>
        <v>Överlapp</v>
      </c>
      <c r="W354" s="3" t="str">
        <f t="shared" si="10"/>
        <v>Överlapp</v>
      </c>
      <c r="X354" s="3" t="str">
        <f t="shared" si="11"/>
        <v/>
      </c>
    </row>
    <row r="355">
      <c r="A355" s="1" t="s">
        <v>360</v>
      </c>
      <c r="B355" s="3" t="str">
        <f>IFERROR(__xludf.DUMMYFUNCTION("SPLIT(A355, "","")"),"85-89")</f>
        <v>85-89</v>
      </c>
      <c r="C355" s="3" t="str">
        <f>IFERROR(__xludf.DUMMYFUNCTION("""COMPUTED_VALUE"""),"92-95")</f>
        <v>92-95</v>
      </c>
      <c r="D355" s="3">
        <f>IFERROR(__xludf.DUMMYFUNCTION("SPLIT(B355, ""-"")"),85.0)</f>
        <v>85</v>
      </c>
      <c r="E355" s="3">
        <f>IFERROR(__xludf.DUMMYFUNCTION("""COMPUTED_VALUE"""),89.0)</f>
        <v>89</v>
      </c>
      <c r="F355" s="3">
        <f>IFERROR(__xludf.DUMMYFUNCTION("SPLIT(C355, ""-"")"),92.0)</f>
        <v>92</v>
      </c>
      <c r="G355" s="3">
        <f>IFERROR(__xludf.DUMMYFUNCTION("""COMPUTED_VALUE"""),95.0)</f>
        <v>95</v>
      </c>
      <c r="I355" s="3" t="str">
        <f t="shared" si="1"/>
        <v>y</v>
      </c>
      <c r="J355" s="3" t="str">
        <f t="shared" si="2"/>
        <v/>
      </c>
      <c r="K355" s="3" t="str">
        <f t="shared" si="3"/>
        <v/>
      </c>
      <c r="L355" s="3" t="str">
        <f t="shared" si="4"/>
        <v>y</v>
      </c>
      <c r="N355" s="3" t="str">
        <f t="shared" si="5"/>
        <v/>
      </c>
      <c r="O355" s="3" t="str">
        <f t="shared" si="6"/>
        <v/>
      </c>
      <c r="Q355" s="3" t="str">
        <f t="shared" si="7"/>
        <v/>
      </c>
      <c r="U355" s="3">
        <f t="shared" si="8"/>
        <v>1</v>
      </c>
      <c r="V355" s="3">
        <f t="shared" si="9"/>
        <v>1</v>
      </c>
      <c r="W355" s="3" t="str">
        <f t="shared" si="10"/>
        <v>Överlapp</v>
      </c>
      <c r="X355" s="3">
        <f t="shared" si="11"/>
        <v>1</v>
      </c>
    </row>
    <row r="356">
      <c r="A356" s="1" t="s">
        <v>361</v>
      </c>
      <c r="B356" s="3" t="str">
        <f>IFERROR(__xludf.DUMMYFUNCTION("SPLIT(A356, "","")"),"5-73")</f>
        <v>5-73</v>
      </c>
      <c r="C356" s="3" t="str">
        <f>IFERROR(__xludf.DUMMYFUNCTION("""COMPUTED_VALUE"""),"4-74")</f>
        <v>4-74</v>
      </c>
      <c r="D356" s="3">
        <f>IFERROR(__xludf.DUMMYFUNCTION("SPLIT(B356, ""-"")"),5.0)</f>
        <v>5</v>
      </c>
      <c r="E356" s="3">
        <f>IFERROR(__xludf.DUMMYFUNCTION("""COMPUTED_VALUE"""),73.0)</f>
        <v>73</v>
      </c>
      <c r="F356" s="3">
        <f>IFERROR(__xludf.DUMMYFUNCTION("SPLIT(C356, ""-"")"),4.0)</f>
        <v>4</v>
      </c>
      <c r="G356" s="3">
        <f>IFERROR(__xludf.DUMMYFUNCTION("""COMPUTED_VALUE"""),74.0)</f>
        <v>74</v>
      </c>
      <c r="I356" s="3" t="str">
        <f t="shared" si="1"/>
        <v/>
      </c>
      <c r="J356" s="3" t="str">
        <f t="shared" si="2"/>
        <v/>
      </c>
      <c r="K356" s="3" t="str">
        <f t="shared" si="3"/>
        <v>y</v>
      </c>
      <c r="L356" s="3" t="str">
        <f t="shared" si="4"/>
        <v>y</v>
      </c>
      <c r="N356" s="3" t="str">
        <f t="shared" si="5"/>
        <v/>
      </c>
      <c r="O356" s="3">
        <f t="shared" si="6"/>
        <v>1</v>
      </c>
      <c r="Q356" s="3">
        <f t="shared" si="7"/>
        <v>1</v>
      </c>
      <c r="U356" s="3">
        <f t="shared" si="8"/>
        <v>1</v>
      </c>
      <c r="V356" s="3" t="str">
        <f t="shared" si="9"/>
        <v>Överlapp</v>
      </c>
      <c r="W356" s="3" t="str">
        <f t="shared" si="10"/>
        <v>Överlapp</v>
      </c>
      <c r="X356" s="3" t="str">
        <f t="shared" si="11"/>
        <v/>
      </c>
    </row>
    <row r="357">
      <c r="A357" s="1" t="s">
        <v>362</v>
      </c>
      <c r="B357" s="3" t="str">
        <f>IFERROR(__xludf.DUMMYFUNCTION("SPLIT(A357, "","")"),"53-93")</f>
        <v>53-93</v>
      </c>
      <c r="C357" s="3" t="str">
        <f>IFERROR(__xludf.DUMMYFUNCTION("""COMPUTED_VALUE"""),"54-93")</f>
        <v>54-93</v>
      </c>
      <c r="D357" s="3">
        <f>IFERROR(__xludf.DUMMYFUNCTION("SPLIT(B357, ""-"")"),53.0)</f>
        <v>53</v>
      </c>
      <c r="E357" s="3">
        <f>IFERROR(__xludf.DUMMYFUNCTION("""COMPUTED_VALUE"""),93.0)</f>
        <v>93</v>
      </c>
      <c r="F357" s="3">
        <f>IFERROR(__xludf.DUMMYFUNCTION("SPLIT(C357, ""-"")"),54.0)</f>
        <v>54</v>
      </c>
      <c r="G357" s="3">
        <f>IFERROR(__xludf.DUMMYFUNCTION("""COMPUTED_VALUE"""),93.0)</f>
        <v>93</v>
      </c>
      <c r="I357" s="3" t="str">
        <f t="shared" si="1"/>
        <v>y</v>
      </c>
      <c r="J357" s="3" t="str">
        <f t="shared" si="2"/>
        <v>y</v>
      </c>
      <c r="K357" s="3" t="str">
        <f t="shared" si="3"/>
        <v/>
      </c>
      <c r="L357" s="3" t="str">
        <f t="shared" si="4"/>
        <v>y</v>
      </c>
      <c r="N357" s="3">
        <f t="shared" si="5"/>
        <v>1</v>
      </c>
      <c r="O357" s="3" t="str">
        <f t="shared" si="6"/>
        <v/>
      </c>
      <c r="Q357" s="3">
        <f t="shared" si="7"/>
        <v>1</v>
      </c>
      <c r="U357" s="3" t="str">
        <f t="shared" si="8"/>
        <v>Överlapp</v>
      </c>
      <c r="V357" s="3" t="str">
        <f t="shared" si="9"/>
        <v>Överlapp</v>
      </c>
      <c r="W357" s="3" t="str">
        <f t="shared" si="10"/>
        <v>Överlapp</v>
      </c>
      <c r="X357" s="3" t="str">
        <f t="shared" si="11"/>
        <v/>
      </c>
    </row>
    <row r="358">
      <c r="A358" s="1" t="s">
        <v>363</v>
      </c>
      <c r="B358" s="3" t="str">
        <f>IFERROR(__xludf.DUMMYFUNCTION("SPLIT(A358, "","")"),"16-81")</f>
        <v>16-81</v>
      </c>
      <c r="C358" s="3" t="str">
        <f>IFERROR(__xludf.DUMMYFUNCTION("""COMPUTED_VALUE"""),"12-82")</f>
        <v>12-82</v>
      </c>
      <c r="D358" s="3">
        <f>IFERROR(__xludf.DUMMYFUNCTION("SPLIT(B358, ""-"")"),16.0)</f>
        <v>16</v>
      </c>
      <c r="E358" s="3">
        <f>IFERROR(__xludf.DUMMYFUNCTION("""COMPUTED_VALUE"""),81.0)</f>
        <v>81</v>
      </c>
      <c r="F358" s="3">
        <f>IFERROR(__xludf.DUMMYFUNCTION("SPLIT(C358, ""-"")"),12.0)</f>
        <v>12</v>
      </c>
      <c r="G358" s="3">
        <f>IFERROR(__xludf.DUMMYFUNCTION("""COMPUTED_VALUE"""),82.0)</f>
        <v>82</v>
      </c>
      <c r="I358" s="3" t="str">
        <f t="shared" si="1"/>
        <v/>
      </c>
      <c r="J358" s="3" t="str">
        <f t="shared" si="2"/>
        <v/>
      </c>
      <c r="K358" s="3" t="str">
        <f t="shared" si="3"/>
        <v>y</v>
      </c>
      <c r="L358" s="3" t="str">
        <f t="shared" si="4"/>
        <v>y</v>
      </c>
      <c r="N358" s="3" t="str">
        <f t="shared" si="5"/>
        <v/>
      </c>
      <c r="O358" s="3">
        <f t="shared" si="6"/>
        <v>1</v>
      </c>
      <c r="Q358" s="3">
        <f t="shared" si="7"/>
        <v>1</v>
      </c>
      <c r="U358" s="3">
        <f t="shared" si="8"/>
        <v>1</v>
      </c>
      <c r="V358" s="3" t="str">
        <f t="shared" si="9"/>
        <v>Överlapp</v>
      </c>
      <c r="W358" s="3" t="str">
        <f t="shared" si="10"/>
        <v>Överlapp</v>
      </c>
      <c r="X358" s="3" t="str">
        <f t="shared" si="11"/>
        <v/>
      </c>
    </row>
    <row r="359">
      <c r="A359" s="1" t="s">
        <v>364</v>
      </c>
      <c r="B359" s="3" t="str">
        <f>IFERROR(__xludf.DUMMYFUNCTION("SPLIT(A359, "","")"),"26-92")</f>
        <v>26-92</v>
      </c>
      <c r="C359" s="3" t="str">
        <f>IFERROR(__xludf.DUMMYFUNCTION("""COMPUTED_VALUE"""),"27-91")</f>
        <v>27-91</v>
      </c>
      <c r="D359" s="3">
        <f>IFERROR(__xludf.DUMMYFUNCTION("SPLIT(B359, ""-"")"),26.0)</f>
        <v>26</v>
      </c>
      <c r="E359" s="3">
        <f>IFERROR(__xludf.DUMMYFUNCTION("""COMPUTED_VALUE"""),92.0)</f>
        <v>92</v>
      </c>
      <c r="F359" s="3">
        <f>IFERROR(__xludf.DUMMYFUNCTION("SPLIT(C359, ""-"")"),27.0)</f>
        <v>27</v>
      </c>
      <c r="G359" s="3">
        <f>IFERROR(__xludf.DUMMYFUNCTION("""COMPUTED_VALUE"""),91.0)</f>
        <v>91</v>
      </c>
      <c r="I359" s="3" t="str">
        <f t="shared" si="1"/>
        <v>y</v>
      </c>
      <c r="J359" s="3" t="str">
        <f t="shared" si="2"/>
        <v>y</v>
      </c>
      <c r="K359" s="3" t="str">
        <f t="shared" si="3"/>
        <v/>
      </c>
      <c r="L359" s="3" t="str">
        <f t="shared" si="4"/>
        <v/>
      </c>
      <c r="N359" s="3">
        <f t="shared" si="5"/>
        <v>1</v>
      </c>
      <c r="O359" s="3" t="str">
        <f t="shared" si="6"/>
        <v/>
      </c>
      <c r="Q359" s="3">
        <f t="shared" si="7"/>
        <v>1</v>
      </c>
      <c r="U359" s="3">
        <f t="shared" si="8"/>
        <v>1</v>
      </c>
      <c r="V359" s="3" t="str">
        <f t="shared" si="9"/>
        <v>Överlapp</v>
      </c>
      <c r="W359" s="3" t="str">
        <f t="shared" si="10"/>
        <v>Överlapp</v>
      </c>
      <c r="X359" s="3" t="str">
        <f t="shared" si="11"/>
        <v/>
      </c>
    </row>
    <row r="360">
      <c r="A360" s="1" t="s">
        <v>365</v>
      </c>
      <c r="B360" s="3" t="str">
        <f>IFERROR(__xludf.DUMMYFUNCTION("SPLIT(A360, "","")"),"33-99")</f>
        <v>33-99</v>
      </c>
      <c r="C360" s="3" t="str">
        <f>IFERROR(__xludf.DUMMYFUNCTION("""COMPUTED_VALUE"""),"54-62")</f>
        <v>54-62</v>
      </c>
      <c r="D360" s="3">
        <f>IFERROR(__xludf.DUMMYFUNCTION("SPLIT(B360, ""-"")"),33.0)</f>
        <v>33</v>
      </c>
      <c r="E360" s="3">
        <f>IFERROR(__xludf.DUMMYFUNCTION("""COMPUTED_VALUE"""),99.0)</f>
        <v>99</v>
      </c>
      <c r="F360" s="3">
        <f>IFERROR(__xludf.DUMMYFUNCTION("SPLIT(C360, ""-"")"),54.0)</f>
        <v>54</v>
      </c>
      <c r="G360" s="3">
        <f>IFERROR(__xludf.DUMMYFUNCTION("""COMPUTED_VALUE"""),62.0)</f>
        <v>62</v>
      </c>
      <c r="I360" s="3" t="str">
        <f t="shared" si="1"/>
        <v>y</v>
      </c>
      <c r="J360" s="3" t="str">
        <f t="shared" si="2"/>
        <v>y</v>
      </c>
      <c r="K360" s="3" t="str">
        <f t="shared" si="3"/>
        <v/>
      </c>
      <c r="L360" s="3" t="str">
        <f t="shared" si="4"/>
        <v/>
      </c>
      <c r="N360" s="3">
        <f t="shared" si="5"/>
        <v>1</v>
      </c>
      <c r="O360" s="3" t="str">
        <f t="shared" si="6"/>
        <v/>
      </c>
      <c r="Q360" s="3">
        <f t="shared" si="7"/>
        <v>1</v>
      </c>
      <c r="U360" s="3">
        <f t="shared" si="8"/>
        <v>1</v>
      </c>
      <c r="V360" s="3" t="str">
        <f t="shared" si="9"/>
        <v>Överlapp</v>
      </c>
      <c r="W360" s="3" t="str">
        <f t="shared" si="10"/>
        <v>Överlapp</v>
      </c>
      <c r="X360" s="3" t="str">
        <f t="shared" si="11"/>
        <v/>
      </c>
    </row>
    <row r="361">
      <c r="A361" s="1" t="s">
        <v>366</v>
      </c>
      <c r="B361" s="3" t="str">
        <f>IFERROR(__xludf.DUMMYFUNCTION("SPLIT(A361, "","")"),"3-66")</f>
        <v>3-66</v>
      </c>
      <c r="C361" s="3" t="str">
        <f>IFERROR(__xludf.DUMMYFUNCTION("""COMPUTED_VALUE"""),"4-71")</f>
        <v>4-71</v>
      </c>
      <c r="D361" s="3">
        <f>IFERROR(__xludf.DUMMYFUNCTION("SPLIT(B361, ""-"")"),3.0)</f>
        <v>3</v>
      </c>
      <c r="E361" s="3">
        <f>IFERROR(__xludf.DUMMYFUNCTION("""COMPUTED_VALUE"""),66.0)</f>
        <v>66</v>
      </c>
      <c r="F361" s="3">
        <f>IFERROR(__xludf.DUMMYFUNCTION("SPLIT(C361, ""-"")"),4.0)</f>
        <v>4</v>
      </c>
      <c r="G361" s="3">
        <f>IFERROR(__xludf.DUMMYFUNCTION("""COMPUTED_VALUE"""),71.0)</f>
        <v>71</v>
      </c>
      <c r="I361" s="3" t="str">
        <f t="shared" si="1"/>
        <v>y</v>
      </c>
      <c r="J361" s="3" t="str">
        <f t="shared" si="2"/>
        <v/>
      </c>
      <c r="K361" s="3" t="str">
        <f t="shared" si="3"/>
        <v/>
      </c>
      <c r="L361" s="3" t="str">
        <f t="shared" si="4"/>
        <v>y</v>
      </c>
      <c r="N361" s="3" t="str">
        <f t="shared" si="5"/>
        <v/>
      </c>
      <c r="O361" s="3" t="str">
        <f t="shared" si="6"/>
        <v/>
      </c>
      <c r="Q361" s="3" t="str">
        <f t="shared" si="7"/>
        <v/>
      </c>
      <c r="U361" s="3">
        <f t="shared" si="8"/>
        <v>1</v>
      </c>
      <c r="V361" s="3" t="str">
        <f t="shared" si="9"/>
        <v>Överlapp</v>
      </c>
      <c r="W361" s="3" t="str">
        <f t="shared" si="10"/>
        <v>Överlapp</v>
      </c>
      <c r="X361" s="3" t="str">
        <f t="shared" si="11"/>
        <v/>
      </c>
    </row>
    <row r="362">
      <c r="A362" s="1" t="s">
        <v>367</v>
      </c>
      <c r="B362" s="3" t="str">
        <f>IFERROR(__xludf.DUMMYFUNCTION("SPLIT(A362, "","")"),"26-87")</f>
        <v>26-87</v>
      </c>
      <c r="C362" s="3" t="str">
        <f>IFERROR(__xludf.DUMMYFUNCTION("""COMPUTED_VALUE"""),"25-88")</f>
        <v>25-88</v>
      </c>
      <c r="D362" s="3">
        <f>IFERROR(__xludf.DUMMYFUNCTION("SPLIT(B362, ""-"")"),26.0)</f>
        <v>26</v>
      </c>
      <c r="E362" s="3">
        <f>IFERROR(__xludf.DUMMYFUNCTION("""COMPUTED_VALUE"""),87.0)</f>
        <v>87</v>
      </c>
      <c r="F362" s="3">
        <f>IFERROR(__xludf.DUMMYFUNCTION("SPLIT(C362, ""-"")"),25.0)</f>
        <v>25</v>
      </c>
      <c r="G362" s="3">
        <f>IFERROR(__xludf.DUMMYFUNCTION("""COMPUTED_VALUE"""),88.0)</f>
        <v>88</v>
      </c>
      <c r="I362" s="3" t="str">
        <f t="shared" si="1"/>
        <v/>
      </c>
      <c r="J362" s="3" t="str">
        <f t="shared" si="2"/>
        <v/>
      </c>
      <c r="K362" s="3" t="str">
        <f t="shared" si="3"/>
        <v>y</v>
      </c>
      <c r="L362" s="3" t="str">
        <f t="shared" si="4"/>
        <v>y</v>
      </c>
      <c r="N362" s="3" t="str">
        <f t="shared" si="5"/>
        <v/>
      </c>
      <c r="O362" s="3">
        <f t="shared" si="6"/>
        <v>1</v>
      </c>
      <c r="Q362" s="3">
        <f t="shared" si="7"/>
        <v>1</v>
      </c>
      <c r="U362" s="3">
        <f t="shared" si="8"/>
        <v>1</v>
      </c>
      <c r="V362" s="3" t="str">
        <f t="shared" si="9"/>
        <v>Överlapp</v>
      </c>
      <c r="W362" s="3" t="str">
        <f t="shared" si="10"/>
        <v>Överlapp</v>
      </c>
      <c r="X362" s="3" t="str">
        <f t="shared" si="11"/>
        <v/>
      </c>
    </row>
    <row r="363">
      <c r="A363" s="1" t="s">
        <v>368</v>
      </c>
      <c r="B363" s="3" t="str">
        <f>IFERROR(__xludf.DUMMYFUNCTION("SPLIT(A363, "","")"),"19-50")</f>
        <v>19-50</v>
      </c>
      <c r="C363" s="3" t="str">
        <f>IFERROR(__xludf.DUMMYFUNCTION("""COMPUTED_VALUE"""),"19-49")</f>
        <v>19-49</v>
      </c>
      <c r="D363" s="3">
        <f>IFERROR(__xludf.DUMMYFUNCTION("SPLIT(B363, ""-"")"),19.0)</f>
        <v>19</v>
      </c>
      <c r="E363" s="3">
        <f>IFERROR(__xludf.DUMMYFUNCTION("""COMPUTED_VALUE"""),50.0)</f>
        <v>50</v>
      </c>
      <c r="F363" s="3">
        <f>IFERROR(__xludf.DUMMYFUNCTION("SPLIT(C363, ""-"")"),19.0)</f>
        <v>19</v>
      </c>
      <c r="G363" s="3">
        <f>IFERROR(__xludf.DUMMYFUNCTION("""COMPUTED_VALUE"""),49.0)</f>
        <v>49</v>
      </c>
      <c r="I363" s="3" t="str">
        <f t="shared" si="1"/>
        <v>y</v>
      </c>
      <c r="J363" s="3" t="str">
        <f t="shared" si="2"/>
        <v>y</v>
      </c>
      <c r="K363" s="3" t="str">
        <f t="shared" si="3"/>
        <v>y</v>
      </c>
      <c r="L363" s="3" t="str">
        <f t="shared" si="4"/>
        <v/>
      </c>
      <c r="N363" s="3">
        <f t="shared" si="5"/>
        <v>1</v>
      </c>
      <c r="O363" s="3" t="str">
        <f t="shared" si="6"/>
        <v/>
      </c>
      <c r="Q363" s="3">
        <f t="shared" si="7"/>
        <v>1</v>
      </c>
      <c r="U363" s="3" t="str">
        <f t="shared" si="8"/>
        <v>Överlapp</v>
      </c>
      <c r="V363" s="3" t="str">
        <f t="shared" si="9"/>
        <v>Överlapp</v>
      </c>
      <c r="W363" s="3" t="str">
        <f t="shared" si="10"/>
        <v>Överlapp</v>
      </c>
      <c r="X363" s="3" t="str">
        <f t="shared" si="11"/>
        <v/>
      </c>
    </row>
    <row r="364">
      <c r="A364" s="1" t="s">
        <v>369</v>
      </c>
      <c r="B364" s="3" t="str">
        <f>IFERROR(__xludf.DUMMYFUNCTION("SPLIT(A364, "","")"),"16-35")</f>
        <v>16-35</v>
      </c>
      <c r="C364" s="3" t="str">
        <f>IFERROR(__xludf.DUMMYFUNCTION("""COMPUTED_VALUE"""),"15-70")</f>
        <v>15-70</v>
      </c>
      <c r="D364" s="3">
        <f>IFERROR(__xludf.DUMMYFUNCTION("SPLIT(B364, ""-"")"),16.0)</f>
        <v>16</v>
      </c>
      <c r="E364" s="3">
        <f>IFERROR(__xludf.DUMMYFUNCTION("""COMPUTED_VALUE"""),35.0)</f>
        <v>35</v>
      </c>
      <c r="F364" s="3">
        <f>IFERROR(__xludf.DUMMYFUNCTION("SPLIT(C364, ""-"")"),15.0)</f>
        <v>15</v>
      </c>
      <c r="G364" s="3">
        <f>IFERROR(__xludf.DUMMYFUNCTION("""COMPUTED_VALUE"""),70.0)</f>
        <v>70</v>
      </c>
      <c r="I364" s="3" t="str">
        <f t="shared" si="1"/>
        <v/>
      </c>
      <c r="J364" s="3" t="str">
        <f t="shared" si="2"/>
        <v/>
      </c>
      <c r="K364" s="3" t="str">
        <f t="shared" si="3"/>
        <v>y</v>
      </c>
      <c r="L364" s="3" t="str">
        <f t="shared" si="4"/>
        <v>y</v>
      </c>
      <c r="N364" s="3" t="str">
        <f t="shared" si="5"/>
        <v/>
      </c>
      <c r="O364" s="3">
        <f t="shared" si="6"/>
        <v>1</v>
      </c>
      <c r="Q364" s="3">
        <f t="shared" si="7"/>
        <v>1</v>
      </c>
      <c r="U364" s="3">
        <f t="shared" si="8"/>
        <v>1</v>
      </c>
      <c r="V364" s="3" t="str">
        <f t="shared" si="9"/>
        <v>Överlapp</v>
      </c>
      <c r="W364" s="3" t="str">
        <f t="shared" si="10"/>
        <v>Överlapp</v>
      </c>
      <c r="X364" s="3" t="str">
        <f t="shared" si="11"/>
        <v/>
      </c>
    </row>
    <row r="365">
      <c r="A365" s="1" t="s">
        <v>370</v>
      </c>
      <c r="B365" s="3" t="str">
        <f>IFERROR(__xludf.DUMMYFUNCTION("SPLIT(A365, "","")"),"18-73")</f>
        <v>18-73</v>
      </c>
      <c r="C365" s="3" t="str">
        <f>IFERROR(__xludf.DUMMYFUNCTION("""COMPUTED_VALUE"""),"19-72")</f>
        <v>19-72</v>
      </c>
      <c r="D365" s="3">
        <f>IFERROR(__xludf.DUMMYFUNCTION("SPLIT(B365, ""-"")"),18.0)</f>
        <v>18</v>
      </c>
      <c r="E365" s="3">
        <f>IFERROR(__xludf.DUMMYFUNCTION("""COMPUTED_VALUE"""),73.0)</f>
        <v>73</v>
      </c>
      <c r="F365" s="3">
        <f>IFERROR(__xludf.DUMMYFUNCTION("SPLIT(C365, ""-"")"),19.0)</f>
        <v>19</v>
      </c>
      <c r="G365" s="3">
        <f>IFERROR(__xludf.DUMMYFUNCTION("""COMPUTED_VALUE"""),72.0)</f>
        <v>72</v>
      </c>
      <c r="I365" s="3" t="str">
        <f t="shared" si="1"/>
        <v>y</v>
      </c>
      <c r="J365" s="3" t="str">
        <f t="shared" si="2"/>
        <v>y</v>
      </c>
      <c r="K365" s="3" t="str">
        <f t="shared" si="3"/>
        <v/>
      </c>
      <c r="L365" s="3" t="str">
        <f t="shared" si="4"/>
        <v/>
      </c>
      <c r="N365" s="3">
        <f t="shared" si="5"/>
        <v>1</v>
      </c>
      <c r="O365" s="3" t="str">
        <f t="shared" si="6"/>
        <v/>
      </c>
      <c r="Q365" s="3">
        <f t="shared" si="7"/>
        <v>1</v>
      </c>
      <c r="U365" s="3">
        <f t="shared" si="8"/>
        <v>1</v>
      </c>
      <c r="V365" s="3" t="str">
        <f t="shared" si="9"/>
        <v>Överlapp</v>
      </c>
      <c r="W365" s="3" t="str">
        <f t="shared" si="10"/>
        <v>Överlapp</v>
      </c>
      <c r="X365" s="3" t="str">
        <f t="shared" si="11"/>
        <v/>
      </c>
    </row>
    <row r="366">
      <c r="A366" s="1" t="s">
        <v>371</v>
      </c>
      <c r="B366" s="3" t="str">
        <f>IFERROR(__xludf.DUMMYFUNCTION("SPLIT(A366, "","")"),"36-68")</f>
        <v>36-68</v>
      </c>
      <c r="C366" s="3" t="str">
        <f>IFERROR(__xludf.DUMMYFUNCTION("""COMPUTED_VALUE"""),"35-69")</f>
        <v>35-69</v>
      </c>
      <c r="D366" s="3">
        <f>IFERROR(__xludf.DUMMYFUNCTION("SPLIT(B366, ""-"")"),36.0)</f>
        <v>36</v>
      </c>
      <c r="E366" s="3">
        <f>IFERROR(__xludf.DUMMYFUNCTION("""COMPUTED_VALUE"""),68.0)</f>
        <v>68</v>
      </c>
      <c r="F366" s="3">
        <f>IFERROR(__xludf.DUMMYFUNCTION("SPLIT(C366, ""-"")"),35.0)</f>
        <v>35</v>
      </c>
      <c r="G366" s="3">
        <f>IFERROR(__xludf.DUMMYFUNCTION("""COMPUTED_VALUE"""),69.0)</f>
        <v>69</v>
      </c>
      <c r="I366" s="3" t="str">
        <f t="shared" si="1"/>
        <v/>
      </c>
      <c r="J366" s="3" t="str">
        <f t="shared" si="2"/>
        <v/>
      </c>
      <c r="K366" s="3" t="str">
        <f t="shared" si="3"/>
        <v>y</v>
      </c>
      <c r="L366" s="3" t="str">
        <f t="shared" si="4"/>
        <v>y</v>
      </c>
      <c r="N366" s="3" t="str">
        <f t="shared" si="5"/>
        <v/>
      </c>
      <c r="O366" s="3">
        <f t="shared" si="6"/>
        <v>1</v>
      </c>
      <c r="Q366" s="3">
        <f t="shared" si="7"/>
        <v>1</v>
      </c>
      <c r="U366" s="3">
        <f t="shared" si="8"/>
        <v>1</v>
      </c>
      <c r="V366" s="3" t="str">
        <f t="shared" si="9"/>
        <v>Överlapp</v>
      </c>
      <c r="W366" s="3" t="str">
        <f t="shared" si="10"/>
        <v>Överlapp</v>
      </c>
      <c r="X366" s="3" t="str">
        <f t="shared" si="11"/>
        <v/>
      </c>
    </row>
    <row r="367">
      <c r="A367" s="1" t="s">
        <v>372</v>
      </c>
      <c r="B367" s="3" t="str">
        <f>IFERROR(__xludf.DUMMYFUNCTION("SPLIT(A367, "","")"),"2-75")</f>
        <v>2-75</v>
      </c>
      <c r="C367" s="3" t="str">
        <f>IFERROR(__xludf.DUMMYFUNCTION("""COMPUTED_VALUE"""),"3-88")</f>
        <v>3-88</v>
      </c>
      <c r="D367" s="3">
        <f>IFERROR(__xludf.DUMMYFUNCTION("SPLIT(B367, ""-"")"),2.0)</f>
        <v>2</v>
      </c>
      <c r="E367" s="3">
        <f>IFERROR(__xludf.DUMMYFUNCTION("""COMPUTED_VALUE"""),75.0)</f>
        <v>75</v>
      </c>
      <c r="F367" s="3">
        <f>IFERROR(__xludf.DUMMYFUNCTION("SPLIT(C367, ""-"")"),3.0)</f>
        <v>3</v>
      </c>
      <c r="G367" s="3">
        <f>IFERROR(__xludf.DUMMYFUNCTION("""COMPUTED_VALUE"""),88.0)</f>
        <v>88</v>
      </c>
      <c r="I367" s="3" t="str">
        <f t="shared" si="1"/>
        <v>y</v>
      </c>
      <c r="J367" s="3" t="str">
        <f t="shared" si="2"/>
        <v/>
      </c>
      <c r="K367" s="3" t="str">
        <f t="shared" si="3"/>
        <v/>
      </c>
      <c r="L367" s="3" t="str">
        <f t="shared" si="4"/>
        <v>y</v>
      </c>
      <c r="N367" s="3" t="str">
        <f t="shared" si="5"/>
        <v/>
      </c>
      <c r="O367" s="3" t="str">
        <f t="shared" si="6"/>
        <v/>
      </c>
      <c r="Q367" s="3" t="str">
        <f t="shared" si="7"/>
        <v/>
      </c>
      <c r="U367" s="3">
        <f t="shared" si="8"/>
        <v>1</v>
      </c>
      <c r="V367" s="3" t="str">
        <f t="shared" si="9"/>
        <v>Överlapp</v>
      </c>
      <c r="W367" s="3" t="str">
        <f t="shared" si="10"/>
        <v>Överlapp</v>
      </c>
      <c r="X367" s="3" t="str">
        <f t="shared" si="11"/>
        <v/>
      </c>
    </row>
    <row r="368">
      <c r="A368" s="1" t="s">
        <v>373</v>
      </c>
      <c r="B368" s="3" t="str">
        <f>IFERROR(__xludf.DUMMYFUNCTION("SPLIT(A368, "","")"),"10-81")</f>
        <v>10-81</v>
      </c>
      <c r="C368" s="3" t="str">
        <f>IFERROR(__xludf.DUMMYFUNCTION("""COMPUTED_VALUE"""),"9-81")</f>
        <v>9-81</v>
      </c>
      <c r="D368" s="3">
        <f>IFERROR(__xludf.DUMMYFUNCTION("SPLIT(B368, ""-"")"),10.0)</f>
        <v>10</v>
      </c>
      <c r="E368" s="3">
        <f>IFERROR(__xludf.DUMMYFUNCTION("""COMPUTED_VALUE"""),81.0)</f>
        <v>81</v>
      </c>
      <c r="F368" s="3">
        <f>IFERROR(__xludf.DUMMYFUNCTION("SPLIT(C368, ""-"")"),9.0)</f>
        <v>9</v>
      </c>
      <c r="G368" s="3">
        <f>IFERROR(__xludf.DUMMYFUNCTION("""COMPUTED_VALUE"""),81.0)</f>
        <v>81</v>
      </c>
      <c r="I368" s="3" t="str">
        <f t="shared" si="1"/>
        <v/>
      </c>
      <c r="J368" s="3" t="str">
        <f t="shared" si="2"/>
        <v>y</v>
      </c>
      <c r="K368" s="3" t="str">
        <f t="shared" si="3"/>
        <v>y</v>
      </c>
      <c r="L368" s="3" t="str">
        <f t="shared" si="4"/>
        <v>y</v>
      </c>
      <c r="N368" s="3" t="str">
        <f t="shared" si="5"/>
        <v/>
      </c>
      <c r="O368" s="3">
        <f t="shared" si="6"/>
        <v>1</v>
      </c>
      <c r="Q368" s="3">
        <f t="shared" si="7"/>
        <v>1</v>
      </c>
      <c r="U368" s="3" t="str">
        <f t="shared" si="8"/>
        <v>Överlapp</v>
      </c>
      <c r="V368" s="3" t="str">
        <f t="shared" si="9"/>
        <v>Överlapp</v>
      </c>
      <c r="W368" s="3" t="str">
        <f t="shared" si="10"/>
        <v>Överlapp</v>
      </c>
      <c r="X368" s="3" t="str">
        <f t="shared" si="11"/>
        <v/>
      </c>
    </row>
    <row r="369">
      <c r="A369" s="1" t="s">
        <v>374</v>
      </c>
      <c r="B369" s="3" t="str">
        <f>IFERROR(__xludf.DUMMYFUNCTION("SPLIT(A369, "","")"),"6-91")</f>
        <v>6-91</v>
      </c>
      <c r="C369" s="3" t="str">
        <f>IFERROR(__xludf.DUMMYFUNCTION("""COMPUTED_VALUE"""),"5-87")</f>
        <v>5-87</v>
      </c>
      <c r="D369" s="3">
        <f>IFERROR(__xludf.DUMMYFUNCTION("SPLIT(B369, ""-"")"),6.0)</f>
        <v>6</v>
      </c>
      <c r="E369" s="3">
        <f>IFERROR(__xludf.DUMMYFUNCTION("""COMPUTED_VALUE"""),91.0)</f>
        <v>91</v>
      </c>
      <c r="F369" s="3">
        <f>IFERROR(__xludf.DUMMYFUNCTION("SPLIT(C369, ""-"")"),5.0)</f>
        <v>5</v>
      </c>
      <c r="G369" s="3">
        <f>IFERROR(__xludf.DUMMYFUNCTION("""COMPUTED_VALUE"""),87.0)</f>
        <v>87</v>
      </c>
      <c r="I369" s="3" t="str">
        <f t="shared" si="1"/>
        <v/>
      </c>
      <c r="J369" s="3" t="str">
        <f t="shared" si="2"/>
        <v>y</v>
      </c>
      <c r="K369" s="3" t="str">
        <f t="shared" si="3"/>
        <v>y</v>
      </c>
      <c r="L369" s="3" t="str">
        <f t="shared" si="4"/>
        <v/>
      </c>
      <c r="N369" s="3" t="str">
        <f t="shared" si="5"/>
        <v/>
      </c>
      <c r="O369" s="3" t="str">
        <f t="shared" si="6"/>
        <v/>
      </c>
      <c r="Q369" s="3" t="str">
        <f t="shared" si="7"/>
        <v/>
      </c>
      <c r="U369" s="3">
        <f t="shared" si="8"/>
        <v>1</v>
      </c>
      <c r="V369" s="3" t="str">
        <f t="shared" si="9"/>
        <v>Överlapp</v>
      </c>
      <c r="W369" s="3" t="str">
        <f t="shared" si="10"/>
        <v>Överlapp</v>
      </c>
      <c r="X369" s="3" t="str">
        <f t="shared" si="11"/>
        <v/>
      </c>
    </row>
    <row r="370">
      <c r="A370" s="1" t="s">
        <v>375</v>
      </c>
      <c r="B370" s="3" t="str">
        <f>IFERROR(__xludf.DUMMYFUNCTION("SPLIT(A370, "","")"),"50-59")</f>
        <v>50-59</v>
      </c>
      <c r="C370" s="3" t="str">
        <f>IFERROR(__xludf.DUMMYFUNCTION("""COMPUTED_VALUE"""),"50-50")</f>
        <v>50-50</v>
      </c>
      <c r="D370" s="3">
        <f>IFERROR(__xludf.DUMMYFUNCTION("SPLIT(B370, ""-"")"),50.0)</f>
        <v>50</v>
      </c>
      <c r="E370" s="3">
        <f>IFERROR(__xludf.DUMMYFUNCTION("""COMPUTED_VALUE"""),59.0)</f>
        <v>59</v>
      </c>
      <c r="F370" s="3">
        <f>IFERROR(__xludf.DUMMYFUNCTION("SPLIT(C370, ""-"")"),50.0)</f>
        <v>50</v>
      </c>
      <c r="G370" s="3">
        <f>IFERROR(__xludf.DUMMYFUNCTION("""COMPUTED_VALUE"""),50.0)</f>
        <v>50</v>
      </c>
      <c r="I370" s="3" t="str">
        <f t="shared" si="1"/>
        <v>y</v>
      </c>
      <c r="J370" s="3" t="str">
        <f t="shared" si="2"/>
        <v>y</v>
      </c>
      <c r="K370" s="3" t="str">
        <f t="shared" si="3"/>
        <v>y</v>
      </c>
      <c r="L370" s="3" t="str">
        <f t="shared" si="4"/>
        <v/>
      </c>
      <c r="N370" s="3">
        <f t="shared" si="5"/>
        <v>1</v>
      </c>
      <c r="O370" s="3" t="str">
        <f t="shared" si="6"/>
        <v/>
      </c>
      <c r="Q370" s="3">
        <f t="shared" si="7"/>
        <v>1</v>
      </c>
      <c r="U370" s="3" t="str">
        <f t="shared" si="8"/>
        <v>Överlapp</v>
      </c>
      <c r="V370" s="3" t="str">
        <f t="shared" si="9"/>
        <v>Överlapp</v>
      </c>
      <c r="W370" s="3" t="str">
        <f t="shared" si="10"/>
        <v>Överlapp</v>
      </c>
      <c r="X370" s="3" t="str">
        <f t="shared" si="11"/>
        <v/>
      </c>
    </row>
    <row r="371">
      <c r="A371" s="1" t="s">
        <v>376</v>
      </c>
      <c r="B371" s="3" t="str">
        <f>IFERROR(__xludf.DUMMYFUNCTION("SPLIT(A371, "","")"),"15-15")</f>
        <v>15-15</v>
      </c>
      <c r="C371" s="3" t="str">
        <f>IFERROR(__xludf.DUMMYFUNCTION("""COMPUTED_VALUE"""),"15-87")</f>
        <v>15-87</v>
      </c>
      <c r="D371" s="3">
        <f>IFERROR(__xludf.DUMMYFUNCTION("SPLIT(B371, ""-"")"),15.0)</f>
        <v>15</v>
      </c>
      <c r="E371" s="3">
        <f>IFERROR(__xludf.DUMMYFUNCTION("""COMPUTED_VALUE"""),15.0)</f>
        <v>15</v>
      </c>
      <c r="F371" s="3">
        <f>IFERROR(__xludf.DUMMYFUNCTION("SPLIT(C371, ""-"")"),15.0)</f>
        <v>15</v>
      </c>
      <c r="G371" s="3">
        <f>IFERROR(__xludf.DUMMYFUNCTION("""COMPUTED_VALUE"""),87.0)</f>
        <v>87</v>
      </c>
      <c r="I371" s="3" t="str">
        <f t="shared" si="1"/>
        <v>y</v>
      </c>
      <c r="J371" s="3" t="str">
        <f t="shared" si="2"/>
        <v/>
      </c>
      <c r="K371" s="3" t="str">
        <f t="shared" si="3"/>
        <v>y</v>
      </c>
      <c r="L371" s="3" t="str">
        <f t="shared" si="4"/>
        <v>y</v>
      </c>
      <c r="N371" s="3" t="str">
        <f t="shared" si="5"/>
        <v/>
      </c>
      <c r="O371" s="3">
        <f t="shared" si="6"/>
        <v>1</v>
      </c>
      <c r="Q371" s="3">
        <f t="shared" si="7"/>
        <v>1</v>
      </c>
      <c r="U371" s="3" t="str">
        <f t="shared" si="8"/>
        <v>Överlapp</v>
      </c>
      <c r="V371" s="3" t="str">
        <f t="shared" si="9"/>
        <v>Överlapp</v>
      </c>
      <c r="W371" s="3" t="str">
        <f t="shared" si="10"/>
        <v>Överlapp</v>
      </c>
      <c r="X371" s="3" t="str">
        <f t="shared" si="11"/>
        <v/>
      </c>
    </row>
    <row r="372">
      <c r="A372" s="1" t="s">
        <v>377</v>
      </c>
      <c r="B372" s="3" t="str">
        <f>IFERROR(__xludf.DUMMYFUNCTION("SPLIT(A372, "","")"),"4-63")</f>
        <v>4-63</v>
      </c>
      <c r="C372" s="3" t="str">
        <f>IFERROR(__xludf.DUMMYFUNCTION("""COMPUTED_VALUE"""),"3-64")</f>
        <v>3-64</v>
      </c>
      <c r="D372" s="3">
        <f>IFERROR(__xludf.DUMMYFUNCTION("SPLIT(B372, ""-"")"),4.0)</f>
        <v>4</v>
      </c>
      <c r="E372" s="3">
        <f>IFERROR(__xludf.DUMMYFUNCTION("""COMPUTED_VALUE"""),63.0)</f>
        <v>63</v>
      </c>
      <c r="F372" s="3">
        <f>IFERROR(__xludf.DUMMYFUNCTION("SPLIT(C372, ""-"")"),3.0)</f>
        <v>3</v>
      </c>
      <c r="G372" s="3">
        <f>IFERROR(__xludf.DUMMYFUNCTION("""COMPUTED_VALUE"""),64.0)</f>
        <v>64</v>
      </c>
      <c r="I372" s="3" t="str">
        <f t="shared" si="1"/>
        <v/>
      </c>
      <c r="J372" s="3" t="str">
        <f t="shared" si="2"/>
        <v/>
      </c>
      <c r="K372" s="3" t="str">
        <f t="shared" si="3"/>
        <v>y</v>
      </c>
      <c r="L372" s="3" t="str">
        <f t="shared" si="4"/>
        <v>y</v>
      </c>
      <c r="N372" s="3" t="str">
        <f t="shared" si="5"/>
        <v/>
      </c>
      <c r="O372" s="3">
        <f t="shared" si="6"/>
        <v>1</v>
      </c>
      <c r="Q372" s="3">
        <f t="shared" si="7"/>
        <v>1</v>
      </c>
      <c r="U372" s="3">
        <f t="shared" si="8"/>
        <v>1</v>
      </c>
      <c r="V372" s="3" t="str">
        <f t="shared" si="9"/>
        <v>Överlapp</v>
      </c>
      <c r="W372" s="3" t="str">
        <f t="shared" si="10"/>
        <v>Överlapp</v>
      </c>
      <c r="X372" s="3" t="str">
        <f t="shared" si="11"/>
        <v/>
      </c>
    </row>
    <row r="373">
      <c r="A373" s="1" t="s">
        <v>378</v>
      </c>
      <c r="B373" s="3" t="str">
        <f>IFERROR(__xludf.DUMMYFUNCTION("SPLIT(A373, "","")"),"25-77")</f>
        <v>25-77</v>
      </c>
      <c r="C373" s="3" t="str">
        <f>IFERROR(__xludf.DUMMYFUNCTION("""COMPUTED_VALUE"""),"26-77")</f>
        <v>26-77</v>
      </c>
      <c r="D373" s="3">
        <f>IFERROR(__xludf.DUMMYFUNCTION("SPLIT(B373, ""-"")"),25.0)</f>
        <v>25</v>
      </c>
      <c r="E373" s="3">
        <f>IFERROR(__xludf.DUMMYFUNCTION("""COMPUTED_VALUE"""),77.0)</f>
        <v>77</v>
      </c>
      <c r="F373" s="3">
        <f>IFERROR(__xludf.DUMMYFUNCTION("SPLIT(C373, ""-"")"),26.0)</f>
        <v>26</v>
      </c>
      <c r="G373" s="3">
        <f>IFERROR(__xludf.DUMMYFUNCTION("""COMPUTED_VALUE"""),77.0)</f>
        <v>77</v>
      </c>
      <c r="I373" s="3" t="str">
        <f t="shared" si="1"/>
        <v>y</v>
      </c>
      <c r="J373" s="3" t="str">
        <f t="shared" si="2"/>
        <v>y</v>
      </c>
      <c r="K373" s="3" t="str">
        <f t="shared" si="3"/>
        <v/>
      </c>
      <c r="L373" s="3" t="str">
        <f t="shared" si="4"/>
        <v>y</v>
      </c>
      <c r="N373" s="3">
        <f t="shared" si="5"/>
        <v>1</v>
      </c>
      <c r="O373" s="3" t="str">
        <f t="shared" si="6"/>
        <v/>
      </c>
      <c r="Q373" s="3">
        <f t="shared" si="7"/>
        <v>1</v>
      </c>
      <c r="U373" s="3" t="str">
        <f t="shared" si="8"/>
        <v>Överlapp</v>
      </c>
      <c r="V373" s="3" t="str">
        <f t="shared" si="9"/>
        <v>Överlapp</v>
      </c>
      <c r="W373" s="3" t="str">
        <f t="shared" si="10"/>
        <v>Överlapp</v>
      </c>
      <c r="X373" s="3" t="str">
        <f t="shared" si="11"/>
        <v/>
      </c>
    </row>
    <row r="374">
      <c r="A374" s="1" t="s">
        <v>379</v>
      </c>
      <c r="B374" s="3" t="str">
        <f>IFERROR(__xludf.DUMMYFUNCTION("SPLIT(A374, "","")"),"8-50")</f>
        <v>8-50</v>
      </c>
      <c r="C374" s="3" t="str">
        <f>IFERROR(__xludf.DUMMYFUNCTION("""COMPUTED_VALUE"""),"9-98")</f>
        <v>9-98</v>
      </c>
      <c r="D374" s="3">
        <f>IFERROR(__xludf.DUMMYFUNCTION("SPLIT(B374, ""-"")"),8.0)</f>
        <v>8</v>
      </c>
      <c r="E374" s="3">
        <f>IFERROR(__xludf.DUMMYFUNCTION("""COMPUTED_VALUE"""),50.0)</f>
        <v>50</v>
      </c>
      <c r="F374" s="3">
        <f>IFERROR(__xludf.DUMMYFUNCTION("SPLIT(C374, ""-"")"),9.0)</f>
        <v>9</v>
      </c>
      <c r="G374" s="3">
        <f>IFERROR(__xludf.DUMMYFUNCTION("""COMPUTED_VALUE"""),98.0)</f>
        <v>98</v>
      </c>
      <c r="I374" s="3" t="str">
        <f t="shared" si="1"/>
        <v>y</v>
      </c>
      <c r="J374" s="3" t="str">
        <f t="shared" si="2"/>
        <v/>
      </c>
      <c r="K374" s="3" t="str">
        <f t="shared" si="3"/>
        <v/>
      </c>
      <c r="L374" s="3" t="str">
        <f t="shared" si="4"/>
        <v>y</v>
      </c>
      <c r="N374" s="3" t="str">
        <f t="shared" si="5"/>
        <v/>
      </c>
      <c r="O374" s="3" t="str">
        <f t="shared" si="6"/>
        <v/>
      </c>
      <c r="Q374" s="3" t="str">
        <f t="shared" si="7"/>
        <v/>
      </c>
      <c r="U374" s="3">
        <f t="shared" si="8"/>
        <v>1</v>
      </c>
      <c r="V374" s="3" t="str">
        <f t="shared" si="9"/>
        <v>Överlapp</v>
      </c>
      <c r="W374" s="3" t="str">
        <f t="shared" si="10"/>
        <v>Överlapp</v>
      </c>
      <c r="X374" s="3" t="str">
        <f t="shared" si="11"/>
        <v/>
      </c>
    </row>
    <row r="375">
      <c r="A375" s="1" t="s">
        <v>380</v>
      </c>
      <c r="B375" s="3" t="str">
        <f>IFERROR(__xludf.DUMMYFUNCTION("SPLIT(A375, "","")"),"73-74")</f>
        <v>73-74</v>
      </c>
      <c r="C375" s="3" t="str">
        <f>IFERROR(__xludf.DUMMYFUNCTION("""COMPUTED_VALUE"""),"26-74")</f>
        <v>26-74</v>
      </c>
      <c r="D375" s="3">
        <f>IFERROR(__xludf.DUMMYFUNCTION("SPLIT(B375, ""-"")"),73.0)</f>
        <v>73</v>
      </c>
      <c r="E375" s="3">
        <f>IFERROR(__xludf.DUMMYFUNCTION("""COMPUTED_VALUE"""),74.0)</f>
        <v>74</v>
      </c>
      <c r="F375" s="3">
        <f>IFERROR(__xludf.DUMMYFUNCTION("SPLIT(C375, ""-"")"),26.0)</f>
        <v>26</v>
      </c>
      <c r="G375" s="3">
        <f>IFERROR(__xludf.DUMMYFUNCTION("""COMPUTED_VALUE"""),74.0)</f>
        <v>74</v>
      </c>
      <c r="I375" s="3" t="str">
        <f t="shared" si="1"/>
        <v/>
      </c>
      <c r="J375" s="3" t="str">
        <f t="shared" si="2"/>
        <v>y</v>
      </c>
      <c r="K375" s="3" t="str">
        <f t="shared" si="3"/>
        <v>y</v>
      </c>
      <c r="L375" s="3" t="str">
        <f t="shared" si="4"/>
        <v>y</v>
      </c>
      <c r="N375" s="3" t="str">
        <f t="shared" si="5"/>
        <v/>
      </c>
      <c r="O375" s="3">
        <f t="shared" si="6"/>
        <v>1</v>
      </c>
      <c r="Q375" s="3">
        <f t="shared" si="7"/>
        <v>1</v>
      </c>
      <c r="U375" s="3" t="str">
        <f t="shared" si="8"/>
        <v>Överlapp</v>
      </c>
      <c r="V375" s="3" t="str">
        <f t="shared" si="9"/>
        <v>Överlapp</v>
      </c>
      <c r="W375" s="3" t="str">
        <f t="shared" si="10"/>
        <v>Överlapp</v>
      </c>
      <c r="X375" s="3" t="str">
        <f t="shared" si="11"/>
        <v/>
      </c>
    </row>
    <row r="376">
      <c r="A376" s="1" t="s">
        <v>381</v>
      </c>
      <c r="B376" s="3" t="str">
        <f>IFERROR(__xludf.DUMMYFUNCTION("SPLIT(A376, "","")"),"71-83")</f>
        <v>71-83</v>
      </c>
      <c r="C376" s="3" t="str">
        <f>IFERROR(__xludf.DUMMYFUNCTION("""COMPUTED_VALUE"""),"82-84")</f>
        <v>82-84</v>
      </c>
      <c r="D376" s="3">
        <f>IFERROR(__xludf.DUMMYFUNCTION("SPLIT(B376, ""-"")"),71.0)</f>
        <v>71</v>
      </c>
      <c r="E376" s="3">
        <f>IFERROR(__xludf.DUMMYFUNCTION("""COMPUTED_VALUE"""),83.0)</f>
        <v>83</v>
      </c>
      <c r="F376" s="3">
        <f>IFERROR(__xludf.DUMMYFUNCTION("SPLIT(C376, ""-"")"),82.0)</f>
        <v>82</v>
      </c>
      <c r="G376" s="3">
        <f>IFERROR(__xludf.DUMMYFUNCTION("""COMPUTED_VALUE"""),84.0)</f>
        <v>84</v>
      </c>
      <c r="I376" s="3" t="str">
        <f t="shared" si="1"/>
        <v>y</v>
      </c>
      <c r="J376" s="3" t="str">
        <f t="shared" si="2"/>
        <v/>
      </c>
      <c r="K376" s="3" t="str">
        <f t="shared" si="3"/>
        <v/>
      </c>
      <c r="L376" s="3" t="str">
        <f t="shared" si="4"/>
        <v>y</v>
      </c>
      <c r="N376" s="3" t="str">
        <f t="shared" si="5"/>
        <v/>
      </c>
      <c r="O376" s="3" t="str">
        <f t="shared" si="6"/>
        <v/>
      </c>
      <c r="Q376" s="3" t="str">
        <f t="shared" si="7"/>
        <v/>
      </c>
      <c r="U376" s="3">
        <f t="shared" si="8"/>
        <v>1</v>
      </c>
      <c r="V376" s="3" t="str">
        <f t="shared" si="9"/>
        <v>Överlapp</v>
      </c>
      <c r="W376" s="3" t="str">
        <f t="shared" si="10"/>
        <v>Överlapp</v>
      </c>
      <c r="X376" s="3" t="str">
        <f t="shared" si="11"/>
        <v/>
      </c>
    </row>
    <row r="377">
      <c r="A377" s="1" t="s">
        <v>382</v>
      </c>
      <c r="B377" s="3" t="str">
        <f>IFERROR(__xludf.DUMMYFUNCTION("SPLIT(A377, "","")"),"56-94")</f>
        <v>56-94</v>
      </c>
      <c r="C377" s="3" t="str">
        <f>IFERROR(__xludf.DUMMYFUNCTION("""COMPUTED_VALUE"""),"29-93")</f>
        <v>29-93</v>
      </c>
      <c r="D377" s="3">
        <f>IFERROR(__xludf.DUMMYFUNCTION("SPLIT(B377, ""-"")"),56.0)</f>
        <v>56</v>
      </c>
      <c r="E377" s="3">
        <f>IFERROR(__xludf.DUMMYFUNCTION("""COMPUTED_VALUE"""),94.0)</f>
        <v>94</v>
      </c>
      <c r="F377" s="3">
        <f>IFERROR(__xludf.DUMMYFUNCTION("SPLIT(C377, ""-"")"),29.0)</f>
        <v>29</v>
      </c>
      <c r="G377" s="3">
        <f>IFERROR(__xludf.DUMMYFUNCTION("""COMPUTED_VALUE"""),93.0)</f>
        <v>93</v>
      </c>
      <c r="I377" s="3" t="str">
        <f t="shared" si="1"/>
        <v/>
      </c>
      <c r="J377" s="3" t="str">
        <f t="shared" si="2"/>
        <v>y</v>
      </c>
      <c r="K377" s="3" t="str">
        <f t="shared" si="3"/>
        <v>y</v>
      </c>
      <c r="L377" s="3" t="str">
        <f t="shared" si="4"/>
        <v/>
      </c>
      <c r="N377" s="3" t="str">
        <f t="shared" si="5"/>
        <v/>
      </c>
      <c r="O377" s="3" t="str">
        <f t="shared" si="6"/>
        <v/>
      </c>
      <c r="Q377" s="3" t="str">
        <f t="shared" si="7"/>
        <v/>
      </c>
      <c r="U377" s="3">
        <f t="shared" si="8"/>
        <v>1</v>
      </c>
      <c r="V377" s="3" t="str">
        <f t="shared" si="9"/>
        <v>Överlapp</v>
      </c>
      <c r="W377" s="3" t="str">
        <f t="shared" si="10"/>
        <v>Överlapp</v>
      </c>
      <c r="X377" s="3" t="str">
        <f t="shared" si="11"/>
        <v/>
      </c>
    </row>
    <row r="378">
      <c r="A378" s="1" t="s">
        <v>383</v>
      </c>
      <c r="B378" s="3" t="str">
        <f>IFERROR(__xludf.DUMMYFUNCTION("SPLIT(A378, "","")"),"11-30")</f>
        <v>11-30</v>
      </c>
      <c r="C378" s="3" t="str">
        <f>IFERROR(__xludf.DUMMYFUNCTION("""COMPUTED_VALUE"""),"11-29")</f>
        <v>11-29</v>
      </c>
      <c r="D378" s="3">
        <f>IFERROR(__xludf.DUMMYFUNCTION("SPLIT(B378, ""-"")"),11.0)</f>
        <v>11</v>
      </c>
      <c r="E378" s="3">
        <f>IFERROR(__xludf.DUMMYFUNCTION("""COMPUTED_VALUE"""),30.0)</f>
        <v>30</v>
      </c>
      <c r="F378" s="3">
        <f>IFERROR(__xludf.DUMMYFUNCTION("SPLIT(C378, ""-"")"),11.0)</f>
        <v>11</v>
      </c>
      <c r="G378" s="3">
        <f>IFERROR(__xludf.DUMMYFUNCTION("""COMPUTED_VALUE"""),29.0)</f>
        <v>29</v>
      </c>
      <c r="I378" s="3" t="str">
        <f t="shared" si="1"/>
        <v>y</v>
      </c>
      <c r="J378" s="3" t="str">
        <f t="shared" si="2"/>
        <v>y</v>
      </c>
      <c r="K378" s="3" t="str">
        <f t="shared" si="3"/>
        <v>y</v>
      </c>
      <c r="L378" s="3" t="str">
        <f t="shared" si="4"/>
        <v/>
      </c>
      <c r="N378" s="3">
        <f t="shared" si="5"/>
        <v>1</v>
      </c>
      <c r="O378" s="3" t="str">
        <f t="shared" si="6"/>
        <v/>
      </c>
      <c r="Q378" s="3">
        <f t="shared" si="7"/>
        <v>1</v>
      </c>
      <c r="U378" s="3" t="str">
        <f t="shared" si="8"/>
        <v>Överlapp</v>
      </c>
      <c r="V378" s="3" t="str">
        <f t="shared" si="9"/>
        <v>Överlapp</v>
      </c>
      <c r="W378" s="3" t="str">
        <f t="shared" si="10"/>
        <v>Överlapp</v>
      </c>
      <c r="X378" s="3" t="str">
        <f t="shared" si="11"/>
        <v/>
      </c>
    </row>
    <row r="379">
      <c r="A379" s="1" t="s">
        <v>384</v>
      </c>
      <c r="B379" s="3" t="str">
        <f>IFERROR(__xludf.DUMMYFUNCTION("SPLIT(A379, "","")"),"36-64")</f>
        <v>36-64</v>
      </c>
      <c r="C379" s="3" t="str">
        <f>IFERROR(__xludf.DUMMYFUNCTION("""COMPUTED_VALUE"""),"35-64")</f>
        <v>35-64</v>
      </c>
      <c r="D379" s="3">
        <f>IFERROR(__xludf.DUMMYFUNCTION("SPLIT(B379, ""-"")"),36.0)</f>
        <v>36</v>
      </c>
      <c r="E379" s="3">
        <f>IFERROR(__xludf.DUMMYFUNCTION("""COMPUTED_VALUE"""),64.0)</f>
        <v>64</v>
      </c>
      <c r="F379" s="3">
        <f>IFERROR(__xludf.DUMMYFUNCTION("SPLIT(C379, ""-"")"),35.0)</f>
        <v>35</v>
      </c>
      <c r="G379" s="3">
        <f>IFERROR(__xludf.DUMMYFUNCTION("""COMPUTED_VALUE"""),64.0)</f>
        <v>64</v>
      </c>
      <c r="I379" s="3" t="str">
        <f t="shared" si="1"/>
        <v/>
      </c>
      <c r="J379" s="3" t="str">
        <f t="shared" si="2"/>
        <v>y</v>
      </c>
      <c r="K379" s="3" t="str">
        <f t="shared" si="3"/>
        <v>y</v>
      </c>
      <c r="L379" s="3" t="str">
        <f t="shared" si="4"/>
        <v>y</v>
      </c>
      <c r="N379" s="3" t="str">
        <f t="shared" si="5"/>
        <v/>
      </c>
      <c r="O379" s="3">
        <f t="shared" si="6"/>
        <v>1</v>
      </c>
      <c r="Q379" s="3">
        <f t="shared" si="7"/>
        <v>1</v>
      </c>
      <c r="U379" s="3" t="str">
        <f t="shared" si="8"/>
        <v>Överlapp</v>
      </c>
      <c r="V379" s="3" t="str">
        <f t="shared" si="9"/>
        <v>Överlapp</v>
      </c>
      <c r="W379" s="3" t="str">
        <f t="shared" si="10"/>
        <v>Överlapp</v>
      </c>
      <c r="X379" s="3" t="str">
        <f t="shared" si="11"/>
        <v/>
      </c>
    </row>
    <row r="380">
      <c r="A380" s="1" t="s">
        <v>385</v>
      </c>
      <c r="B380" s="3" t="str">
        <f>IFERROR(__xludf.DUMMYFUNCTION("SPLIT(A380, "","")"),"56-67")</f>
        <v>56-67</v>
      </c>
      <c r="C380" s="3" t="str">
        <f>IFERROR(__xludf.DUMMYFUNCTION("""COMPUTED_VALUE"""),"57-67")</f>
        <v>57-67</v>
      </c>
      <c r="D380" s="3">
        <f>IFERROR(__xludf.DUMMYFUNCTION("SPLIT(B380, ""-"")"),56.0)</f>
        <v>56</v>
      </c>
      <c r="E380" s="3">
        <f>IFERROR(__xludf.DUMMYFUNCTION("""COMPUTED_VALUE"""),67.0)</f>
        <v>67</v>
      </c>
      <c r="F380" s="3">
        <f>IFERROR(__xludf.DUMMYFUNCTION("SPLIT(C380, ""-"")"),57.0)</f>
        <v>57</v>
      </c>
      <c r="G380" s="3">
        <f>IFERROR(__xludf.DUMMYFUNCTION("""COMPUTED_VALUE"""),67.0)</f>
        <v>67</v>
      </c>
      <c r="I380" s="3" t="str">
        <f t="shared" si="1"/>
        <v>y</v>
      </c>
      <c r="J380" s="3" t="str">
        <f t="shared" si="2"/>
        <v>y</v>
      </c>
      <c r="K380" s="3" t="str">
        <f t="shared" si="3"/>
        <v/>
      </c>
      <c r="L380" s="3" t="str">
        <f t="shared" si="4"/>
        <v>y</v>
      </c>
      <c r="N380" s="3">
        <f t="shared" si="5"/>
        <v>1</v>
      </c>
      <c r="O380" s="3" t="str">
        <f t="shared" si="6"/>
        <v/>
      </c>
      <c r="Q380" s="3">
        <f t="shared" si="7"/>
        <v>1</v>
      </c>
      <c r="U380" s="3" t="str">
        <f t="shared" si="8"/>
        <v>Överlapp</v>
      </c>
      <c r="V380" s="3" t="str">
        <f t="shared" si="9"/>
        <v>Överlapp</v>
      </c>
      <c r="W380" s="3" t="str">
        <f t="shared" si="10"/>
        <v>Överlapp</v>
      </c>
      <c r="X380" s="3" t="str">
        <f t="shared" si="11"/>
        <v/>
      </c>
    </row>
    <row r="381">
      <c r="A381" s="1" t="s">
        <v>386</v>
      </c>
      <c r="B381" s="3" t="str">
        <f>IFERROR(__xludf.DUMMYFUNCTION("SPLIT(A381, "","")"),"84-99")</f>
        <v>84-99</v>
      </c>
      <c r="C381" s="3" t="str">
        <f>IFERROR(__xludf.DUMMYFUNCTION("""COMPUTED_VALUE"""),"11-84")</f>
        <v>11-84</v>
      </c>
      <c r="D381" s="3">
        <f>IFERROR(__xludf.DUMMYFUNCTION("SPLIT(B381, ""-"")"),84.0)</f>
        <v>84</v>
      </c>
      <c r="E381" s="3">
        <f>IFERROR(__xludf.DUMMYFUNCTION("""COMPUTED_VALUE"""),99.0)</f>
        <v>99</v>
      </c>
      <c r="F381" s="3">
        <f>IFERROR(__xludf.DUMMYFUNCTION("SPLIT(C381, ""-"")"),11.0)</f>
        <v>11</v>
      </c>
      <c r="G381" s="3">
        <f>IFERROR(__xludf.DUMMYFUNCTION("""COMPUTED_VALUE"""),84.0)</f>
        <v>84</v>
      </c>
      <c r="I381" s="3" t="str">
        <f t="shared" si="1"/>
        <v/>
      </c>
      <c r="J381" s="3" t="str">
        <f t="shared" si="2"/>
        <v>y</v>
      </c>
      <c r="K381" s="3" t="str">
        <f t="shared" si="3"/>
        <v>y</v>
      </c>
      <c r="L381" s="3" t="str">
        <f t="shared" si="4"/>
        <v/>
      </c>
      <c r="N381" s="3" t="str">
        <f t="shared" si="5"/>
        <v/>
      </c>
      <c r="O381" s="3" t="str">
        <f t="shared" si="6"/>
        <v/>
      </c>
      <c r="Q381" s="3" t="str">
        <f t="shared" si="7"/>
        <v/>
      </c>
      <c r="U381" s="3" t="str">
        <f t="shared" si="8"/>
        <v>Överlapp</v>
      </c>
      <c r="V381" s="3" t="str">
        <f t="shared" si="9"/>
        <v>Överlapp</v>
      </c>
      <c r="W381" s="3" t="str">
        <f t="shared" si="10"/>
        <v>Överlapp</v>
      </c>
      <c r="X381" s="3" t="str">
        <f t="shared" si="11"/>
        <v/>
      </c>
    </row>
    <row r="382">
      <c r="A382" s="1" t="s">
        <v>387</v>
      </c>
      <c r="B382" s="3" t="str">
        <f>IFERROR(__xludf.DUMMYFUNCTION("SPLIT(A382, "","")"),"54-92")</f>
        <v>54-92</v>
      </c>
      <c r="C382" s="3" t="str">
        <f>IFERROR(__xludf.DUMMYFUNCTION("""COMPUTED_VALUE"""),"54-91")</f>
        <v>54-91</v>
      </c>
      <c r="D382" s="3">
        <f>IFERROR(__xludf.DUMMYFUNCTION("SPLIT(B382, ""-"")"),54.0)</f>
        <v>54</v>
      </c>
      <c r="E382" s="3">
        <f>IFERROR(__xludf.DUMMYFUNCTION("""COMPUTED_VALUE"""),92.0)</f>
        <v>92</v>
      </c>
      <c r="F382" s="3">
        <f>IFERROR(__xludf.DUMMYFUNCTION("SPLIT(C382, ""-"")"),54.0)</f>
        <v>54</v>
      </c>
      <c r="G382" s="3">
        <f>IFERROR(__xludf.DUMMYFUNCTION("""COMPUTED_VALUE"""),91.0)</f>
        <v>91</v>
      </c>
      <c r="I382" s="3" t="str">
        <f t="shared" si="1"/>
        <v>y</v>
      </c>
      <c r="J382" s="3" t="str">
        <f t="shared" si="2"/>
        <v>y</v>
      </c>
      <c r="K382" s="3" t="str">
        <f t="shared" si="3"/>
        <v>y</v>
      </c>
      <c r="L382" s="3" t="str">
        <f t="shared" si="4"/>
        <v/>
      </c>
      <c r="N382" s="3">
        <f t="shared" si="5"/>
        <v>1</v>
      </c>
      <c r="O382" s="3" t="str">
        <f t="shared" si="6"/>
        <v/>
      </c>
      <c r="Q382" s="3">
        <f t="shared" si="7"/>
        <v>1</v>
      </c>
      <c r="U382" s="3" t="str">
        <f t="shared" si="8"/>
        <v>Överlapp</v>
      </c>
      <c r="V382" s="3" t="str">
        <f t="shared" si="9"/>
        <v>Överlapp</v>
      </c>
      <c r="W382" s="3" t="str">
        <f t="shared" si="10"/>
        <v>Överlapp</v>
      </c>
      <c r="X382" s="3" t="str">
        <f t="shared" si="11"/>
        <v/>
      </c>
    </row>
    <row r="383">
      <c r="A383" s="1" t="s">
        <v>388</v>
      </c>
      <c r="B383" s="3" t="str">
        <f>IFERROR(__xludf.DUMMYFUNCTION("SPLIT(A383, "","")"),"14-68")</f>
        <v>14-68</v>
      </c>
      <c r="C383" s="3" t="str">
        <f>IFERROR(__xludf.DUMMYFUNCTION("""COMPUTED_VALUE"""),"67-88")</f>
        <v>67-88</v>
      </c>
      <c r="D383" s="3">
        <f>IFERROR(__xludf.DUMMYFUNCTION("SPLIT(B383, ""-"")"),14.0)</f>
        <v>14</v>
      </c>
      <c r="E383" s="3">
        <f>IFERROR(__xludf.DUMMYFUNCTION("""COMPUTED_VALUE"""),68.0)</f>
        <v>68</v>
      </c>
      <c r="F383" s="3">
        <f>IFERROR(__xludf.DUMMYFUNCTION("SPLIT(C383, ""-"")"),67.0)</f>
        <v>67</v>
      </c>
      <c r="G383" s="3">
        <f>IFERROR(__xludf.DUMMYFUNCTION("""COMPUTED_VALUE"""),88.0)</f>
        <v>88</v>
      </c>
      <c r="I383" s="3" t="str">
        <f t="shared" si="1"/>
        <v>y</v>
      </c>
      <c r="J383" s="3" t="str">
        <f t="shared" si="2"/>
        <v/>
      </c>
      <c r="K383" s="3" t="str">
        <f t="shared" si="3"/>
        <v/>
      </c>
      <c r="L383" s="3" t="str">
        <f t="shared" si="4"/>
        <v>y</v>
      </c>
      <c r="N383" s="3" t="str">
        <f t="shared" si="5"/>
        <v/>
      </c>
      <c r="O383" s="3" t="str">
        <f t="shared" si="6"/>
        <v/>
      </c>
      <c r="Q383" s="3" t="str">
        <f t="shared" si="7"/>
        <v/>
      </c>
      <c r="U383" s="3">
        <f t="shared" si="8"/>
        <v>1</v>
      </c>
      <c r="V383" s="3" t="str">
        <f t="shared" si="9"/>
        <v>Överlapp</v>
      </c>
      <c r="W383" s="3" t="str">
        <f t="shared" si="10"/>
        <v>Överlapp</v>
      </c>
      <c r="X383" s="3" t="str">
        <f t="shared" si="11"/>
        <v/>
      </c>
    </row>
    <row r="384">
      <c r="A384" s="1" t="s">
        <v>389</v>
      </c>
      <c r="B384" s="4">
        <f>IFERROR(__xludf.DUMMYFUNCTION("SPLIT(A384, "","")"),44876.0)</f>
        <v>44876</v>
      </c>
      <c r="C384" s="3" t="str">
        <f>IFERROR(__xludf.DUMMYFUNCTION("""COMPUTED_VALUE"""),"10-96")</f>
        <v>10-96</v>
      </c>
      <c r="D384" s="3">
        <f>IFERROR(__xludf.DUMMYFUNCTION("SPLIT(B384, ""-"")"),11.0)</f>
        <v>11</v>
      </c>
      <c r="E384" s="3">
        <f>IFERROR(__xludf.DUMMYFUNCTION("""COMPUTED_VALUE"""),11.0)</f>
        <v>11</v>
      </c>
      <c r="F384" s="3">
        <f>IFERROR(__xludf.DUMMYFUNCTION("SPLIT(C384, ""-"")"),10.0)</f>
        <v>10</v>
      </c>
      <c r="G384" s="3">
        <f>IFERROR(__xludf.DUMMYFUNCTION("""COMPUTED_VALUE"""),96.0)</f>
        <v>96</v>
      </c>
      <c r="I384" s="3" t="str">
        <f t="shared" si="1"/>
        <v/>
      </c>
      <c r="J384" s="3" t="str">
        <f t="shared" si="2"/>
        <v/>
      </c>
      <c r="K384" s="3" t="str">
        <f t="shared" si="3"/>
        <v>y</v>
      </c>
      <c r="L384" s="3" t="str">
        <f t="shared" si="4"/>
        <v>y</v>
      </c>
      <c r="N384" s="3" t="str">
        <f t="shared" si="5"/>
        <v/>
      </c>
      <c r="O384" s="3">
        <f t="shared" si="6"/>
        <v>1</v>
      </c>
      <c r="Q384" s="3">
        <f t="shared" si="7"/>
        <v>1</v>
      </c>
      <c r="U384" s="3">
        <f t="shared" si="8"/>
        <v>1</v>
      </c>
      <c r="V384" s="3" t="str">
        <f t="shared" si="9"/>
        <v>Överlapp</v>
      </c>
      <c r="W384" s="3" t="str">
        <f t="shared" si="10"/>
        <v>Överlapp</v>
      </c>
      <c r="X384" s="3" t="str">
        <f t="shared" si="11"/>
        <v/>
      </c>
    </row>
    <row r="385">
      <c r="A385" s="1" t="s">
        <v>390</v>
      </c>
      <c r="B385" s="3" t="str">
        <f>IFERROR(__xludf.DUMMYFUNCTION("SPLIT(A385, "","")"),"35-37")</f>
        <v>35-37</v>
      </c>
      <c r="C385" s="3" t="str">
        <f>IFERROR(__xludf.DUMMYFUNCTION("""COMPUTED_VALUE"""),"30-46")</f>
        <v>30-46</v>
      </c>
      <c r="D385" s="3">
        <f>IFERROR(__xludf.DUMMYFUNCTION("SPLIT(B385, ""-"")"),35.0)</f>
        <v>35</v>
      </c>
      <c r="E385" s="3">
        <f>IFERROR(__xludf.DUMMYFUNCTION("""COMPUTED_VALUE"""),37.0)</f>
        <v>37</v>
      </c>
      <c r="F385" s="3">
        <f>IFERROR(__xludf.DUMMYFUNCTION("SPLIT(C385, ""-"")"),30.0)</f>
        <v>30</v>
      </c>
      <c r="G385" s="3">
        <f>IFERROR(__xludf.DUMMYFUNCTION("""COMPUTED_VALUE"""),46.0)</f>
        <v>46</v>
      </c>
      <c r="I385" s="3" t="str">
        <f t="shared" si="1"/>
        <v/>
      </c>
      <c r="J385" s="3" t="str">
        <f t="shared" si="2"/>
        <v/>
      </c>
      <c r="K385" s="3" t="str">
        <f t="shared" si="3"/>
        <v>y</v>
      </c>
      <c r="L385" s="3" t="str">
        <f t="shared" si="4"/>
        <v>y</v>
      </c>
      <c r="N385" s="3" t="str">
        <f t="shared" si="5"/>
        <v/>
      </c>
      <c r="O385" s="3">
        <f t="shared" si="6"/>
        <v>1</v>
      </c>
      <c r="Q385" s="3">
        <f t="shared" si="7"/>
        <v>1</v>
      </c>
      <c r="U385" s="3">
        <f t="shared" si="8"/>
        <v>1</v>
      </c>
      <c r="V385" s="3" t="str">
        <f t="shared" si="9"/>
        <v>Överlapp</v>
      </c>
      <c r="W385" s="3" t="str">
        <f t="shared" si="10"/>
        <v>Överlapp</v>
      </c>
      <c r="X385" s="3" t="str">
        <f t="shared" si="11"/>
        <v/>
      </c>
    </row>
    <row r="386">
      <c r="A386" s="1" t="s">
        <v>391</v>
      </c>
      <c r="B386" s="3" t="str">
        <f>IFERROR(__xludf.DUMMYFUNCTION("SPLIT(A386, "","")"),"3-51")</f>
        <v>3-51</v>
      </c>
      <c r="C386" s="3" t="str">
        <f>IFERROR(__xludf.DUMMYFUNCTION("""COMPUTED_VALUE"""),"47-64")</f>
        <v>47-64</v>
      </c>
      <c r="D386" s="3">
        <f>IFERROR(__xludf.DUMMYFUNCTION("SPLIT(B386, ""-"")"),3.0)</f>
        <v>3</v>
      </c>
      <c r="E386" s="3">
        <f>IFERROR(__xludf.DUMMYFUNCTION("""COMPUTED_VALUE"""),51.0)</f>
        <v>51</v>
      </c>
      <c r="F386" s="3">
        <f>IFERROR(__xludf.DUMMYFUNCTION("SPLIT(C386, ""-"")"),47.0)</f>
        <v>47</v>
      </c>
      <c r="G386" s="3">
        <f>IFERROR(__xludf.DUMMYFUNCTION("""COMPUTED_VALUE"""),64.0)</f>
        <v>64</v>
      </c>
      <c r="I386" s="3" t="str">
        <f t="shared" si="1"/>
        <v>y</v>
      </c>
      <c r="J386" s="3" t="str">
        <f t="shared" si="2"/>
        <v/>
      </c>
      <c r="K386" s="3" t="str">
        <f t="shared" si="3"/>
        <v/>
      </c>
      <c r="L386" s="3" t="str">
        <f t="shared" si="4"/>
        <v>y</v>
      </c>
      <c r="N386" s="3" t="str">
        <f t="shared" si="5"/>
        <v/>
      </c>
      <c r="O386" s="3" t="str">
        <f t="shared" si="6"/>
        <v/>
      </c>
      <c r="Q386" s="3" t="str">
        <f t="shared" si="7"/>
        <v/>
      </c>
      <c r="U386" s="3">
        <f t="shared" si="8"/>
        <v>1</v>
      </c>
      <c r="V386" s="3" t="str">
        <f t="shared" si="9"/>
        <v>Överlapp</v>
      </c>
      <c r="W386" s="3" t="str">
        <f t="shared" si="10"/>
        <v>Överlapp</v>
      </c>
      <c r="X386" s="3" t="str">
        <f t="shared" si="11"/>
        <v/>
      </c>
    </row>
    <row r="387">
      <c r="A387" s="1" t="s">
        <v>392</v>
      </c>
      <c r="B387" s="3" t="str">
        <f>IFERROR(__xludf.DUMMYFUNCTION("SPLIT(A387, "","")"),"39-42")</f>
        <v>39-42</v>
      </c>
      <c r="C387" s="3" t="str">
        <f>IFERROR(__xludf.DUMMYFUNCTION("""COMPUTED_VALUE"""),"29-43")</f>
        <v>29-43</v>
      </c>
      <c r="D387" s="3">
        <f>IFERROR(__xludf.DUMMYFUNCTION("SPLIT(B387, ""-"")"),39.0)</f>
        <v>39</v>
      </c>
      <c r="E387" s="3">
        <f>IFERROR(__xludf.DUMMYFUNCTION("""COMPUTED_VALUE"""),42.0)</f>
        <v>42</v>
      </c>
      <c r="F387" s="3">
        <f>IFERROR(__xludf.DUMMYFUNCTION("SPLIT(C387, ""-"")"),29.0)</f>
        <v>29</v>
      </c>
      <c r="G387" s="3">
        <f>IFERROR(__xludf.DUMMYFUNCTION("""COMPUTED_VALUE"""),43.0)</f>
        <v>43</v>
      </c>
      <c r="I387" s="3" t="str">
        <f t="shared" si="1"/>
        <v/>
      </c>
      <c r="J387" s="3" t="str">
        <f t="shared" si="2"/>
        <v/>
      </c>
      <c r="K387" s="3" t="str">
        <f t="shared" si="3"/>
        <v>y</v>
      </c>
      <c r="L387" s="3" t="str">
        <f t="shared" si="4"/>
        <v>y</v>
      </c>
      <c r="N387" s="3" t="str">
        <f t="shared" si="5"/>
        <v/>
      </c>
      <c r="O387" s="3">
        <f t="shared" si="6"/>
        <v>1</v>
      </c>
      <c r="Q387" s="3">
        <f t="shared" si="7"/>
        <v>1</v>
      </c>
      <c r="U387" s="3">
        <f t="shared" si="8"/>
        <v>1</v>
      </c>
      <c r="V387" s="3" t="str">
        <f t="shared" si="9"/>
        <v>Överlapp</v>
      </c>
      <c r="W387" s="3" t="str">
        <f t="shared" si="10"/>
        <v>Överlapp</v>
      </c>
      <c r="X387" s="3" t="str">
        <f t="shared" si="11"/>
        <v/>
      </c>
    </row>
    <row r="388">
      <c r="A388" s="1" t="s">
        <v>393</v>
      </c>
      <c r="B388" s="3" t="str">
        <f>IFERROR(__xludf.DUMMYFUNCTION("SPLIT(A388, "","")"),"53-70")</f>
        <v>53-70</v>
      </c>
      <c r="C388" s="3" t="str">
        <f>IFERROR(__xludf.DUMMYFUNCTION("""COMPUTED_VALUE"""),"54-70")</f>
        <v>54-70</v>
      </c>
      <c r="D388" s="3">
        <f>IFERROR(__xludf.DUMMYFUNCTION("SPLIT(B388, ""-"")"),53.0)</f>
        <v>53</v>
      </c>
      <c r="E388" s="3">
        <f>IFERROR(__xludf.DUMMYFUNCTION("""COMPUTED_VALUE"""),70.0)</f>
        <v>70</v>
      </c>
      <c r="F388" s="3">
        <f>IFERROR(__xludf.DUMMYFUNCTION("SPLIT(C388, ""-"")"),54.0)</f>
        <v>54</v>
      </c>
      <c r="G388" s="3">
        <f>IFERROR(__xludf.DUMMYFUNCTION("""COMPUTED_VALUE"""),70.0)</f>
        <v>70</v>
      </c>
      <c r="I388" s="3" t="str">
        <f t="shared" si="1"/>
        <v>y</v>
      </c>
      <c r="J388" s="3" t="str">
        <f t="shared" si="2"/>
        <v>y</v>
      </c>
      <c r="K388" s="3" t="str">
        <f t="shared" si="3"/>
        <v/>
      </c>
      <c r="L388" s="3" t="str">
        <f t="shared" si="4"/>
        <v>y</v>
      </c>
      <c r="N388" s="3">
        <f t="shared" si="5"/>
        <v>1</v>
      </c>
      <c r="O388" s="3" t="str">
        <f t="shared" si="6"/>
        <v/>
      </c>
      <c r="Q388" s="3">
        <f t="shared" si="7"/>
        <v>1</v>
      </c>
      <c r="U388" s="3" t="str">
        <f t="shared" si="8"/>
        <v>Överlapp</v>
      </c>
      <c r="V388" s="3" t="str">
        <f t="shared" si="9"/>
        <v>Överlapp</v>
      </c>
      <c r="W388" s="3" t="str">
        <f t="shared" si="10"/>
        <v>Överlapp</v>
      </c>
      <c r="X388" s="3" t="str">
        <f t="shared" si="11"/>
        <v/>
      </c>
    </row>
    <row r="389">
      <c r="A389" s="1" t="s">
        <v>394</v>
      </c>
      <c r="B389" s="3" t="str">
        <f>IFERROR(__xludf.DUMMYFUNCTION("SPLIT(A389, "","")"),"19-63")</f>
        <v>19-63</v>
      </c>
      <c r="C389" s="3" t="str">
        <f>IFERROR(__xludf.DUMMYFUNCTION("""COMPUTED_VALUE"""),"18-35")</f>
        <v>18-35</v>
      </c>
      <c r="D389" s="3">
        <f>IFERROR(__xludf.DUMMYFUNCTION("SPLIT(B389, ""-"")"),19.0)</f>
        <v>19</v>
      </c>
      <c r="E389" s="3">
        <f>IFERROR(__xludf.DUMMYFUNCTION("""COMPUTED_VALUE"""),63.0)</f>
        <v>63</v>
      </c>
      <c r="F389" s="3">
        <f>IFERROR(__xludf.DUMMYFUNCTION("SPLIT(C389, ""-"")"),18.0)</f>
        <v>18</v>
      </c>
      <c r="G389" s="3">
        <f>IFERROR(__xludf.DUMMYFUNCTION("""COMPUTED_VALUE"""),35.0)</f>
        <v>35</v>
      </c>
      <c r="I389" s="3" t="str">
        <f t="shared" si="1"/>
        <v/>
      </c>
      <c r="J389" s="3" t="str">
        <f t="shared" si="2"/>
        <v>y</v>
      </c>
      <c r="K389" s="3" t="str">
        <f t="shared" si="3"/>
        <v>y</v>
      </c>
      <c r="L389" s="3" t="str">
        <f t="shared" si="4"/>
        <v/>
      </c>
      <c r="N389" s="3" t="str">
        <f t="shared" si="5"/>
        <v/>
      </c>
      <c r="O389" s="3" t="str">
        <f t="shared" si="6"/>
        <v/>
      </c>
      <c r="Q389" s="3" t="str">
        <f t="shared" si="7"/>
        <v/>
      </c>
      <c r="U389" s="3">
        <f t="shared" si="8"/>
        <v>1</v>
      </c>
      <c r="V389" s="3" t="str">
        <f t="shared" si="9"/>
        <v>Överlapp</v>
      </c>
      <c r="W389" s="3" t="str">
        <f t="shared" si="10"/>
        <v>Överlapp</v>
      </c>
      <c r="X389" s="3" t="str">
        <f t="shared" si="11"/>
        <v/>
      </c>
    </row>
    <row r="390">
      <c r="A390" s="1" t="s">
        <v>395</v>
      </c>
      <c r="B390" s="3" t="str">
        <f>IFERROR(__xludf.DUMMYFUNCTION("SPLIT(A390, "","")"),"76-89")</f>
        <v>76-89</v>
      </c>
      <c r="C390" s="3" t="str">
        <f>IFERROR(__xludf.DUMMYFUNCTION("""COMPUTED_VALUE"""),"76-92")</f>
        <v>76-92</v>
      </c>
      <c r="D390" s="3">
        <f>IFERROR(__xludf.DUMMYFUNCTION("SPLIT(B390, ""-"")"),76.0)</f>
        <v>76</v>
      </c>
      <c r="E390" s="3">
        <f>IFERROR(__xludf.DUMMYFUNCTION("""COMPUTED_VALUE"""),89.0)</f>
        <v>89</v>
      </c>
      <c r="F390" s="3">
        <f>IFERROR(__xludf.DUMMYFUNCTION("SPLIT(C390, ""-"")"),76.0)</f>
        <v>76</v>
      </c>
      <c r="G390" s="3">
        <f>IFERROR(__xludf.DUMMYFUNCTION("""COMPUTED_VALUE"""),92.0)</f>
        <v>92</v>
      </c>
      <c r="I390" s="3" t="str">
        <f t="shared" si="1"/>
        <v>y</v>
      </c>
      <c r="J390" s="3" t="str">
        <f t="shared" si="2"/>
        <v/>
      </c>
      <c r="K390" s="3" t="str">
        <f t="shared" si="3"/>
        <v>y</v>
      </c>
      <c r="L390" s="3" t="str">
        <f t="shared" si="4"/>
        <v>y</v>
      </c>
      <c r="N390" s="3" t="str">
        <f t="shared" si="5"/>
        <v/>
      </c>
      <c r="O390" s="3">
        <f t="shared" si="6"/>
        <v>1</v>
      </c>
      <c r="Q390" s="3">
        <f t="shared" si="7"/>
        <v>1</v>
      </c>
      <c r="U390" s="3" t="str">
        <f t="shared" si="8"/>
        <v>Överlapp</v>
      </c>
      <c r="V390" s="3" t="str">
        <f t="shared" si="9"/>
        <v>Överlapp</v>
      </c>
      <c r="W390" s="3" t="str">
        <f t="shared" si="10"/>
        <v>Överlapp</v>
      </c>
      <c r="X390" s="3" t="str">
        <f t="shared" si="11"/>
        <v/>
      </c>
    </row>
    <row r="391">
      <c r="A391" s="1" t="s">
        <v>396</v>
      </c>
      <c r="B391" s="3" t="str">
        <f>IFERROR(__xludf.DUMMYFUNCTION("SPLIT(A391, "","")"),"21-92")</f>
        <v>21-92</v>
      </c>
      <c r="C391" s="3" t="str">
        <f>IFERROR(__xludf.DUMMYFUNCTION("""COMPUTED_VALUE"""),"20-22")</f>
        <v>20-22</v>
      </c>
      <c r="D391" s="3">
        <f>IFERROR(__xludf.DUMMYFUNCTION("SPLIT(B391, ""-"")"),21.0)</f>
        <v>21</v>
      </c>
      <c r="E391" s="3">
        <f>IFERROR(__xludf.DUMMYFUNCTION("""COMPUTED_VALUE"""),92.0)</f>
        <v>92</v>
      </c>
      <c r="F391" s="3">
        <f>IFERROR(__xludf.DUMMYFUNCTION("SPLIT(C391, ""-"")"),20.0)</f>
        <v>20</v>
      </c>
      <c r="G391" s="3">
        <f>IFERROR(__xludf.DUMMYFUNCTION("""COMPUTED_VALUE"""),22.0)</f>
        <v>22</v>
      </c>
      <c r="I391" s="3" t="str">
        <f t="shared" si="1"/>
        <v/>
      </c>
      <c r="J391" s="3" t="str">
        <f t="shared" si="2"/>
        <v>y</v>
      </c>
      <c r="K391" s="3" t="str">
        <f t="shared" si="3"/>
        <v>y</v>
      </c>
      <c r="L391" s="3" t="str">
        <f t="shared" si="4"/>
        <v/>
      </c>
      <c r="N391" s="3" t="str">
        <f t="shared" si="5"/>
        <v/>
      </c>
      <c r="O391" s="3" t="str">
        <f t="shared" si="6"/>
        <v/>
      </c>
      <c r="Q391" s="3" t="str">
        <f t="shared" si="7"/>
        <v/>
      </c>
      <c r="U391" s="3">
        <f t="shared" si="8"/>
        <v>1</v>
      </c>
      <c r="V391" s="3" t="str">
        <f t="shared" si="9"/>
        <v>Överlapp</v>
      </c>
      <c r="W391" s="3" t="str">
        <f t="shared" si="10"/>
        <v>Överlapp</v>
      </c>
      <c r="X391" s="3" t="str">
        <f t="shared" si="11"/>
        <v/>
      </c>
    </row>
    <row r="392">
      <c r="A392" s="1" t="s">
        <v>397</v>
      </c>
      <c r="B392" s="3" t="str">
        <f>IFERROR(__xludf.DUMMYFUNCTION("SPLIT(A392, "","")"),"19-57")</f>
        <v>19-57</v>
      </c>
      <c r="C392" s="3" t="str">
        <f>IFERROR(__xludf.DUMMYFUNCTION("""COMPUTED_VALUE"""),"19-58")</f>
        <v>19-58</v>
      </c>
      <c r="D392" s="3">
        <f>IFERROR(__xludf.DUMMYFUNCTION("SPLIT(B392, ""-"")"),19.0)</f>
        <v>19</v>
      </c>
      <c r="E392" s="3">
        <f>IFERROR(__xludf.DUMMYFUNCTION("""COMPUTED_VALUE"""),57.0)</f>
        <v>57</v>
      </c>
      <c r="F392" s="3">
        <f>IFERROR(__xludf.DUMMYFUNCTION("SPLIT(C392, ""-"")"),19.0)</f>
        <v>19</v>
      </c>
      <c r="G392" s="3">
        <f>IFERROR(__xludf.DUMMYFUNCTION("""COMPUTED_VALUE"""),58.0)</f>
        <v>58</v>
      </c>
      <c r="I392" s="3" t="str">
        <f t="shared" si="1"/>
        <v>y</v>
      </c>
      <c r="J392" s="3" t="str">
        <f t="shared" si="2"/>
        <v/>
      </c>
      <c r="K392" s="3" t="str">
        <f t="shared" si="3"/>
        <v>y</v>
      </c>
      <c r="L392" s="3" t="str">
        <f t="shared" si="4"/>
        <v>y</v>
      </c>
      <c r="N392" s="3" t="str">
        <f t="shared" si="5"/>
        <v/>
      </c>
      <c r="O392" s="3">
        <f t="shared" si="6"/>
        <v>1</v>
      </c>
      <c r="Q392" s="3">
        <f t="shared" si="7"/>
        <v>1</v>
      </c>
      <c r="U392" s="3" t="str">
        <f t="shared" si="8"/>
        <v>Överlapp</v>
      </c>
      <c r="V392" s="3" t="str">
        <f t="shared" si="9"/>
        <v>Överlapp</v>
      </c>
      <c r="W392" s="3" t="str">
        <f t="shared" si="10"/>
        <v>Överlapp</v>
      </c>
      <c r="X392" s="3" t="str">
        <f t="shared" si="11"/>
        <v/>
      </c>
    </row>
    <row r="393">
      <c r="A393" s="1" t="s">
        <v>398</v>
      </c>
      <c r="B393" s="3" t="str">
        <f>IFERROR(__xludf.DUMMYFUNCTION("SPLIT(A393, "","")"),"8-56")</f>
        <v>8-56</v>
      </c>
      <c r="C393" s="3" t="str">
        <f>IFERROR(__xludf.DUMMYFUNCTION("""COMPUTED_VALUE"""),"7-56")</f>
        <v>7-56</v>
      </c>
      <c r="D393" s="3">
        <f>IFERROR(__xludf.DUMMYFUNCTION("SPLIT(B393, ""-"")"),8.0)</f>
        <v>8</v>
      </c>
      <c r="E393" s="3">
        <f>IFERROR(__xludf.DUMMYFUNCTION("""COMPUTED_VALUE"""),56.0)</f>
        <v>56</v>
      </c>
      <c r="F393" s="3">
        <f>IFERROR(__xludf.DUMMYFUNCTION("SPLIT(C393, ""-"")"),7.0)</f>
        <v>7</v>
      </c>
      <c r="G393" s="3">
        <f>IFERROR(__xludf.DUMMYFUNCTION("""COMPUTED_VALUE"""),56.0)</f>
        <v>56</v>
      </c>
      <c r="I393" s="3" t="str">
        <f t="shared" si="1"/>
        <v/>
      </c>
      <c r="J393" s="3" t="str">
        <f t="shared" si="2"/>
        <v>y</v>
      </c>
      <c r="K393" s="3" t="str">
        <f t="shared" si="3"/>
        <v>y</v>
      </c>
      <c r="L393" s="3" t="str">
        <f t="shared" si="4"/>
        <v>y</v>
      </c>
      <c r="N393" s="3" t="str">
        <f t="shared" si="5"/>
        <v/>
      </c>
      <c r="O393" s="3">
        <f t="shared" si="6"/>
        <v>1</v>
      </c>
      <c r="Q393" s="3">
        <f t="shared" si="7"/>
        <v>1</v>
      </c>
      <c r="U393" s="3" t="str">
        <f t="shared" si="8"/>
        <v>Överlapp</v>
      </c>
      <c r="V393" s="3" t="str">
        <f t="shared" si="9"/>
        <v>Överlapp</v>
      </c>
      <c r="W393" s="3" t="str">
        <f t="shared" si="10"/>
        <v>Överlapp</v>
      </c>
      <c r="X393" s="3" t="str">
        <f t="shared" si="11"/>
        <v/>
      </c>
    </row>
    <row r="394">
      <c r="A394" s="1" t="s">
        <v>399</v>
      </c>
      <c r="B394" s="3" t="str">
        <f>IFERROR(__xludf.DUMMYFUNCTION("SPLIT(A394, "","")"),"46-94")</f>
        <v>46-94</v>
      </c>
      <c r="C394" s="3" t="str">
        <f>IFERROR(__xludf.DUMMYFUNCTION("""COMPUTED_VALUE"""),"98-98")</f>
        <v>98-98</v>
      </c>
      <c r="D394" s="3">
        <f>IFERROR(__xludf.DUMMYFUNCTION("SPLIT(B394, ""-"")"),46.0)</f>
        <v>46</v>
      </c>
      <c r="E394" s="3">
        <f>IFERROR(__xludf.DUMMYFUNCTION("""COMPUTED_VALUE"""),94.0)</f>
        <v>94</v>
      </c>
      <c r="F394" s="3">
        <f>IFERROR(__xludf.DUMMYFUNCTION("SPLIT(C394, ""-"")"),98.0)</f>
        <v>98</v>
      </c>
      <c r="G394" s="3">
        <f>IFERROR(__xludf.DUMMYFUNCTION("""COMPUTED_VALUE"""),98.0)</f>
        <v>98</v>
      </c>
      <c r="I394" s="3" t="str">
        <f t="shared" si="1"/>
        <v>y</v>
      </c>
      <c r="J394" s="3" t="str">
        <f t="shared" si="2"/>
        <v/>
      </c>
      <c r="K394" s="3" t="str">
        <f t="shared" si="3"/>
        <v/>
      </c>
      <c r="L394" s="3" t="str">
        <f t="shared" si="4"/>
        <v>y</v>
      </c>
      <c r="N394" s="3" t="str">
        <f t="shared" si="5"/>
        <v/>
      </c>
      <c r="O394" s="3" t="str">
        <f t="shared" si="6"/>
        <v/>
      </c>
      <c r="Q394" s="3" t="str">
        <f t="shared" si="7"/>
        <v/>
      </c>
      <c r="U394" s="3">
        <f t="shared" si="8"/>
        <v>1</v>
      </c>
      <c r="V394" s="3">
        <f t="shared" si="9"/>
        <v>1</v>
      </c>
      <c r="W394" s="3" t="str">
        <f t="shared" si="10"/>
        <v>Överlapp</v>
      </c>
      <c r="X394" s="3">
        <f t="shared" si="11"/>
        <v>1</v>
      </c>
    </row>
    <row r="395">
      <c r="A395" s="1" t="s">
        <v>400</v>
      </c>
      <c r="B395" s="3" t="str">
        <f>IFERROR(__xludf.DUMMYFUNCTION("SPLIT(A395, "","")"),"93-98")</f>
        <v>93-98</v>
      </c>
      <c r="C395" s="3" t="str">
        <f>IFERROR(__xludf.DUMMYFUNCTION("""COMPUTED_VALUE"""),"50-92")</f>
        <v>50-92</v>
      </c>
      <c r="D395" s="3">
        <f>IFERROR(__xludf.DUMMYFUNCTION("SPLIT(B395, ""-"")"),93.0)</f>
        <v>93</v>
      </c>
      <c r="E395" s="3">
        <f>IFERROR(__xludf.DUMMYFUNCTION("""COMPUTED_VALUE"""),98.0)</f>
        <v>98</v>
      </c>
      <c r="F395" s="3">
        <f>IFERROR(__xludf.DUMMYFUNCTION("SPLIT(C395, ""-"")"),50.0)</f>
        <v>50</v>
      </c>
      <c r="G395" s="3">
        <f>IFERROR(__xludf.DUMMYFUNCTION("""COMPUTED_VALUE"""),92.0)</f>
        <v>92</v>
      </c>
      <c r="I395" s="3" t="str">
        <f t="shared" si="1"/>
        <v/>
      </c>
      <c r="J395" s="3" t="str">
        <f t="shared" si="2"/>
        <v>y</v>
      </c>
      <c r="K395" s="3" t="str">
        <f t="shared" si="3"/>
        <v>y</v>
      </c>
      <c r="L395" s="3" t="str">
        <f t="shared" si="4"/>
        <v/>
      </c>
      <c r="N395" s="3" t="str">
        <f t="shared" si="5"/>
        <v/>
      </c>
      <c r="O395" s="3" t="str">
        <f t="shared" si="6"/>
        <v/>
      </c>
      <c r="Q395" s="3" t="str">
        <f t="shared" si="7"/>
        <v/>
      </c>
      <c r="U395" s="3">
        <f t="shared" si="8"/>
        <v>1</v>
      </c>
      <c r="V395" s="3" t="str">
        <f t="shared" si="9"/>
        <v>Överlapp</v>
      </c>
      <c r="W395" s="3">
        <f t="shared" si="10"/>
        <v>1</v>
      </c>
      <c r="X395" s="3">
        <f t="shared" si="11"/>
        <v>1</v>
      </c>
    </row>
    <row r="396">
      <c r="A396" s="1" t="s">
        <v>401</v>
      </c>
      <c r="B396" s="3" t="str">
        <f>IFERROR(__xludf.DUMMYFUNCTION("SPLIT(A396, "","")"),"12-93")</f>
        <v>12-93</v>
      </c>
      <c r="C396" s="3" t="str">
        <f>IFERROR(__xludf.DUMMYFUNCTION("""COMPUTED_VALUE"""),"28-92")</f>
        <v>28-92</v>
      </c>
      <c r="D396" s="3">
        <f>IFERROR(__xludf.DUMMYFUNCTION("SPLIT(B396, ""-"")"),12.0)</f>
        <v>12</v>
      </c>
      <c r="E396" s="3">
        <f>IFERROR(__xludf.DUMMYFUNCTION("""COMPUTED_VALUE"""),93.0)</f>
        <v>93</v>
      </c>
      <c r="F396" s="3">
        <f>IFERROR(__xludf.DUMMYFUNCTION("SPLIT(C396, ""-"")"),28.0)</f>
        <v>28</v>
      </c>
      <c r="G396" s="3">
        <f>IFERROR(__xludf.DUMMYFUNCTION("""COMPUTED_VALUE"""),92.0)</f>
        <v>92</v>
      </c>
      <c r="I396" s="3" t="str">
        <f t="shared" si="1"/>
        <v>y</v>
      </c>
      <c r="J396" s="3" t="str">
        <f t="shared" si="2"/>
        <v>y</v>
      </c>
      <c r="K396" s="3" t="str">
        <f t="shared" si="3"/>
        <v/>
      </c>
      <c r="L396" s="3" t="str">
        <f t="shared" si="4"/>
        <v/>
      </c>
      <c r="N396" s="3">
        <f t="shared" si="5"/>
        <v>1</v>
      </c>
      <c r="O396" s="3" t="str">
        <f t="shared" si="6"/>
        <v/>
      </c>
      <c r="Q396" s="3">
        <f t="shared" si="7"/>
        <v>1</v>
      </c>
      <c r="U396" s="3">
        <f t="shared" si="8"/>
        <v>1</v>
      </c>
      <c r="V396" s="3" t="str">
        <f t="shared" si="9"/>
        <v>Överlapp</v>
      </c>
      <c r="W396" s="3" t="str">
        <f t="shared" si="10"/>
        <v>Överlapp</v>
      </c>
      <c r="X396" s="3" t="str">
        <f t="shared" si="11"/>
        <v/>
      </c>
    </row>
    <row r="397">
      <c r="A397" s="1" t="s">
        <v>402</v>
      </c>
      <c r="B397" s="3" t="str">
        <f>IFERROR(__xludf.DUMMYFUNCTION("SPLIT(A397, "","")"),"92-98")</f>
        <v>92-98</v>
      </c>
      <c r="C397" s="3" t="str">
        <f>IFERROR(__xludf.DUMMYFUNCTION("""COMPUTED_VALUE"""),"71-93")</f>
        <v>71-93</v>
      </c>
      <c r="D397" s="3">
        <f>IFERROR(__xludf.DUMMYFUNCTION("SPLIT(B397, ""-"")"),92.0)</f>
        <v>92</v>
      </c>
      <c r="E397" s="3">
        <f>IFERROR(__xludf.DUMMYFUNCTION("""COMPUTED_VALUE"""),98.0)</f>
        <v>98</v>
      </c>
      <c r="F397" s="3">
        <f>IFERROR(__xludf.DUMMYFUNCTION("SPLIT(C397, ""-"")"),71.0)</f>
        <v>71</v>
      </c>
      <c r="G397" s="3">
        <f>IFERROR(__xludf.DUMMYFUNCTION("""COMPUTED_VALUE"""),93.0)</f>
        <v>93</v>
      </c>
      <c r="I397" s="3" t="str">
        <f t="shared" si="1"/>
        <v/>
      </c>
      <c r="J397" s="3" t="str">
        <f t="shared" si="2"/>
        <v>y</v>
      </c>
      <c r="K397" s="3" t="str">
        <f t="shared" si="3"/>
        <v>y</v>
      </c>
      <c r="L397" s="3" t="str">
        <f t="shared" si="4"/>
        <v/>
      </c>
      <c r="N397" s="3" t="str">
        <f t="shared" si="5"/>
        <v/>
      </c>
      <c r="O397" s="3" t="str">
        <f t="shared" si="6"/>
        <v/>
      </c>
      <c r="Q397" s="3" t="str">
        <f t="shared" si="7"/>
        <v/>
      </c>
      <c r="U397" s="3">
        <f t="shared" si="8"/>
        <v>1</v>
      </c>
      <c r="V397" s="3" t="str">
        <f t="shared" si="9"/>
        <v>Överlapp</v>
      </c>
      <c r="W397" s="3" t="str">
        <f t="shared" si="10"/>
        <v>Överlapp</v>
      </c>
      <c r="X397" s="3" t="str">
        <f t="shared" si="11"/>
        <v/>
      </c>
    </row>
    <row r="398">
      <c r="A398" s="1" t="s">
        <v>403</v>
      </c>
      <c r="B398" s="3" t="str">
        <f>IFERROR(__xludf.DUMMYFUNCTION("SPLIT(A398, "","")"),"52-84")</f>
        <v>52-84</v>
      </c>
      <c r="C398" s="3" t="str">
        <f>IFERROR(__xludf.DUMMYFUNCTION("""COMPUTED_VALUE"""),"53-53")</f>
        <v>53-53</v>
      </c>
      <c r="D398" s="3">
        <f>IFERROR(__xludf.DUMMYFUNCTION("SPLIT(B398, ""-"")"),52.0)</f>
        <v>52</v>
      </c>
      <c r="E398" s="3">
        <f>IFERROR(__xludf.DUMMYFUNCTION("""COMPUTED_VALUE"""),84.0)</f>
        <v>84</v>
      </c>
      <c r="F398" s="3">
        <f>IFERROR(__xludf.DUMMYFUNCTION("SPLIT(C398, ""-"")"),53.0)</f>
        <v>53</v>
      </c>
      <c r="G398" s="3">
        <f>IFERROR(__xludf.DUMMYFUNCTION("""COMPUTED_VALUE"""),53.0)</f>
        <v>53</v>
      </c>
      <c r="I398" s="3" t="str">
        <f t="shared" si="1"/>
        <v>y</v>
      </c>
      <c r="J398" s="3" t="str">
        <f t="shared" si="2"/>
        <v>y</v>
      </c>
      <c r="K398" s="3" t="str">
        <f t="shared" si="3"/>
        <v/>
      </c>
      <c r="L398" s="3" t="str">
        <f t="shared" si="4"/>
        <v/>
      </c>
      <c r="N398" s="3">
        <f t="shared" si="5"/>
        <v>1</v>
      </c>
      <c r="O398" s="3" t="str">
        <f t="shared" si="6"/>
        <v/>
      </c>
      <c r="Q398" s="3">
        <f t="shared" si="7"/>
        <v>1</v>
      </c>
      <c r="U398" s="3">
        <f t="shared" si="8"/>
        <v>1</v>
      </c>
      <c r="V398" s="3" t="str">
        <f t="shared" si="9"/>
        <v>Överlapp</v>
      </c>
      <c r="W398" s="3" t="str">
        <f t="shared" si="10"/>
        <v>Överlapp</v>
      </c>
      <c r="X398" s="3" t="str">
        <f t="shared" si="11"/>
        <v/>
      </c>
    </row>
    <row r="399">
      <c r="A399" s="1" t="s">
        <v>404</v>
      </c>
      <c r="B399" s="3" t="str">
        <f>IFERROR(__xludf.DUMMYFUNCTION("SPLIT(A399, "","")"),"93-93")</f>
        <v>93-93</v>
      </c>
      <c r="C399" s="3" t="str">
        <f>IFERROR(__xludf.DUMMYFUNCTION("""COMPUTED_VALUE"""),"20-93")</f>
        <v>20-93</v>
      </c>
      <c r="D399" s="3">
        <f>IFERROR(__xludf.DUMMYFUNCTION("SPLIT(B399, ""-"")"),93.0)</f>
        <v>93</v>
      </c>
      <c r="E399" s="3">
        <f>IFERROR(__xludf.DUMMYFUNCTION("""COMPUTED_VALUE"""),93.0)</f>
        <v>93</v>
      </c>
      <c r="F399" s="3">
        <f>IFERROR(__xludf.DUMMYFUNCTION("SPLIT(C399, ""-"")"),20.0)</f>
        <v>20</v>
      </c>
      <c r="G399" s="3">
        <f>IFERROR(__xludf.DUMMYFUNCTION("""COMPUTED_VALUE"""),93.0)</f>
        <v>93</v>
      </c>
      <c r="I399" s="3" t="str">
        <f t="shared" si="1"/>
        <v/>
      </c>
      <c r="J399" s="3" t="str">
        <f t="shared" si="2"/>
        <v>y</v>
      </c>
      <c r="K399" s="3" t="str">
        <f t="shared" si="3"/>
        <v>y</v>
      </c>
      <c r="L399" s="3" t="str">
        <f t="shared" si="4"/>
        <v>y</v>
      </c>
      <c r="N399" s="3" t="str">
        <f t="shared" si="5"/>
        <v/>
      </c>
      <c r="O399" s="3">
        <f t="shared" si="6"/>
        <v>1</v>
      </c>
      <c r="Q399" s="3">
        <f t="shared" si="7"/>
        <v>1</v>
      </c>
      <c r="U399" s="3" t="str">
        <f t="shared" si="8"/>
        <v>Överlapp</v>
      </c>
      <c r="V399" s="3" t="str">
        <f t="shared" si="9"/>
        <v>Överlapp</v>
      </c>
      <c r="W399" s="3" t="str">
        <f t="shared" si="10"/>
        <v>Överlapp</v>
      </c>
      <c r="X399" s="3" t="str">
        <f t="shared" si="11"/>
        <v/>
      </c>
    </row>
    <row r="400">
      <c r="A400" s="1" t="s">
        <v>405</v>
      </c>
      <c r="B400" s="3" t="str">
        <f>IFERROR(__xludf.DUMMYFUNCTION("SPLIT(A400, "","")"),"4-92")</f>
        <v>4-92</v>
      </c>
      <c r="C400" s="3" t="str">
        <f>IFERROR(__xludf.DUMMYFUNCTION("""COMPUTED_VALUE"""),"5-92")</f>
        <v>5-92</v>
      </c>
      <c r="D400" s="3">
        <f>IFERROR(__xludf.DUMMYFUNCTION("SPLIT(B400, ""-"")"),4.0)</f>
        <v>4</v>
      </c>
      <c r="E400" s="3">
        <f>IFERROR(__xludf.DUMMYFUNCTION("""COMPUTED_VALUE"""),92.0)</f>
        <v>92</v>
      </c>
      <c r="F400" s="3">
        <f>IFERROR(__xludf.DUMMYFUNCTION("SPLIT(C400, ""-"")"),5.0)</f>
        <v>5</v>
      </c>
      <c r="G400" s="3">
        <f>IFERROR(__xludf.DUMMYFUNCTION("""COMPUTED_VALUE"""),92.0)</f>
        <v>92</v>
      </c>
      <c r="I400" s="3" t="str">
        <f t="shared" si="1"/>
        <v>y</v>
      </c>
      <c r="J400" s="3" t="str">
        <f t="shared" si="2"/>
        <v>y</v>
      </c>
      <c r="K400" s="3" t="str">
        <f t="shared" si="3"/>
        <v/>
      </c>
      <c r="L400" s="3" t="str">
        <f t="shared" si="4"/>
        <v>y</v>
      </c>
      <c r="N400" s="3">
        <f t="shared" si="5"/>
        <v>1</v>
      </c>
      <c r="O400" s="3" t="str">
        <f t="shared" si="6"/>
        <v/>
      </c>
      <c r="Q400" s="3">
        <f t="shared" si="7"/>
        <v>1</v>
      </c>
      <c r="U400" s="3" t="str">
        <f t="shared" si="8"/>
        <v>Överlapp</v>
      </c>
      <c r="V400" s="3" t="str">
        <f t="shared" si="9"/>
        <v>Överlapp</v>
      </c>
      <c r="W400" s="3" t="str">
        <f t="shared" si="10"/>
        <v>Överlapp</v>
      </c>
      <c r="X400" s="3" t="str">
        <f t="shared" si="11"/>
        <v/>
      </c>
    </row>
    <row r="401">
      <c r="A401" s="1" t="s">
        <v>406</v>
      </c>
      <c r="B401" s="3" t="str">
        <f>IFERROR(__xludf.DUMMYFUNCTION("SPLIT(A401, "","")"),"10-51")</f>
        <v>10-51</v>
      </c>
      <c r="C401" s="3" t="str">
        <f>IFERROR(__xludf.DUMMYFUNCTION("""COMPUTED_VALUE"""),"9-51")</f>
        <v>9-51</v>
      </c>
      <c r="D401" s="3">
        <f>IFERROR(__xludf.DUMMYFUNCTION("SPLIT(B401, ""-"")"),10.0)</f>
        <v>10</v>
      </c>
      <c r="E401" s="3">
        <f>IFERROR(__xludf.DUMMYFUNCTION("""COMPUTED_VALUE"""),51.0)</f>
        <v>51</v>
      </c>
      <c r="F401" s="3">
        <f>IFERROR(__xludf.DUMMYFUNCTION("SPLIT(C401, ""-"")"),9.0)</f>
        <v>9</v>
      </c>
      <c r="G401" s="3">
        <f>IFERROR(__xludf.DUMMYFUNCTION("""COMPUTED_VALUE"""),51.0)</f>
        <v>51</v>
      </c>
      <c r="I401" s="3" t="str">
        <f t="shared" si="1"/>
        <v/>
      </c>
      <c r="J401" s="3" t="str">
        <f t="shared" si="2"/>
        <v>y</v>
      </c>
      <c r="K401" s="3" t="str">
        <f t="shared" si="3"/>
        <v>y</v>
      </c>
      <c r="L401" s="3" t="str">
        <f t="shared" si="4"/>
        <v>y</v>
      </c>
      <c r="N401" s="3" t="str">
        <f t="shared" si="5"/>
        <v/>
      </c>
      <c r="O401" s="3">
        <f t="shared" si="6"/>
        <v>1</v>
      </c>
      <c r="Q401" s="3">
        <f t="shared" si="7"/>
        <v>1</v>
      </c>
      <c r="U401" s="3" t="str">
        <f t="shared" si="8"/>
        <v>Överlapp</v>
      </c>
      <c r="V401" s="3" t="str">
        <f t="shared" si="9"/>
        <v>Överlapp</v>
      </c>
      <c r="W401" s="3" t="str">
        <f t="shared" si="10"/>
        <v>Överlapp</v>
      </c>
      <c r="X401" s="3" t="str">
        <f t="shared" si="11"/>
        <v/>
      </c>
    </row>
    <row r="402">
      <c r="A402" s="1" t="s">
        <v>407</v>
      </c>
      <c r="B402" s="3" t="str">
        <f>IFERROR(__xludf.DUMMYFUNCTION("SPLIT(A402, "","")"),"37-88")</f>
        <v>37-88</v>
      </c>
      <c r="C402" s="3" t="str">
        <f>IFERROR(__xludf.DUMMYFUNCTION("""COMPUTED_VALUE"""),"38-87")</f>
        <v>38-87</v>
      </c>
      <c r="D402" s="3">
        <f>IFERROR(__xludf.DUMMYFUNCTION("SPLIT(B402, ""-"")"),37.0)</f>
        <v>37</v>
      </c>
      <c r="E402" s="3">
        <f>IFERROR(__xludf.DUMMYFUNCTION("""COMPUTED_VALUE"""),88.0)</f>
        <v>88</v>
      </c>
      <c r="F402" s="3">
        <f>IFERROR(__xludf.DUMMYFUNCTION("SPLIT(C402, ""-"")"),38.0)</f>
        <v>38</v>
      </c>
      <c r="G402" s="3">
        <f>IFERROR(__xludf.DUMMYFUNCTION("""COMPUTED_VALUE"""),87.0)</f>
        <v>87</v>
      </c>
      <c r="I402" s="3" t="str">
        <f t="shared" si="1"/>
        <v>y</v>
      </c>
      <c r="J402" s="3" t="str">
        <f t="shared" si="2"/>
        <v>y</v>
      </c>
      <c r="K402" s="3" t="str">
        <f t="shared" si="3"/>
        <v/>
      </c>
      <c r="L402" s="3" t="str">
        <f t="shared" si="4"/>
        <v/>
      </c>
      <c r="N402" s="3">
        <f t="shared" si="5"/>
        <v>1</v>
      </c>
      <c r="O402" s="3" t="str">
        <f t="shared" si="6"/>
        <v/>
      </c>
      <c r="Q402" s="3">
        <f t="shared" si="7"/>
        <v>1</v>
      </c>
      <c r="U402" s="3">
        <f t="shared" si="8"/>
        <v>1</v>
      </c>
      <c r="V402" s="3" t="str">
        <f t="shared" si="9"/>
        <v>Överlapp</v>
      </c>
      <c r="W402" s="3" t="str">
        <f t="shared" si="10"/>
        <v>Överlapp</v>
      </c>
      <c r="X402" s="3" t="str">
        <f t="shared" si="11"/>
        <v/>
      </c>
    </row>
    <row r="403">
      <c r="A403" s="1" t="s">
        <v>408</v>
      </c>
      <c r="B403" s="3" t="str">
        <f>IFERROR(__xludf.DUMMYFUNCTION("SPLIT(A403, "","")"),"5-48")</f>
        <v>5-48</v>
      </c>
      <c r="C403" s="4">
        <f>IFERROR(__xludf.DUMMYFUNCTION("""COMPUTED_VALUE"""),44715.0)</f>
        <v>44715</v>
      </c>
      <c r="D403" s="3">
        <f>IFERROR(__xludf.DUMMYFUNCTION("SPLIT(B403, ""-"")"),5.0)</f>
        <v>5</v>
      </c>
      <c r="E403" s="3">
        <f>IFERROR(__xludf.DUMMYFUNCTION("""COMPUTED_VALUE"""),48.0)</f>
        <v>48</v>
      </c>
      <c r="F403" s="3">
        <f>IFERROR(__xludf.DUMMYFUNCTION("SPLIT(C403, ""-"")"),3.0)</f>
        <v>3</v>
      </c>
      <c r="G403" s="3">
        <f>IFERROR(__xludf.DUMMYFUNCTION("""COMPUTED_VALUE"""),6.0)</f>
        <v>6</v>
      </c>
      <c r="I403" s="3" t="str">
        <f t="shared" si="1"/>
        <v/>
      </c>
      <c r="J403" s="3" t="str">
        <f t="shared" si="2"/>
        <v>y</v>
      </c>
      <c r="K403" s="3" t="str">
        <f t="shared" si="3"/>
        <v>y</v>
      </c>
      <c r="L403" s="3" t="str">
        <f t="shared" si="4"/>
        <v/>
      </c>
      <c r="N403" s="3" t="str">
        <f t="shared" si="5"/>
        <v/>
      </c>
      <c r="O403" s="3" t="str">
        <f t="shared" si="6"/>
        <v/>
      </c>
      <c r="Q403" s="3" t="str">
        <f t="shared" si="7"/>
        <v/>
      </c>
      <c r="U403" s="3">
        <f t="shared" si="8"/>
        <v>1</v>
      </c>
      <c r="V403" s="3" t="str">
        <f t="shared" si="9"/>
        <v>Överlapp</v>
      </c>
      <c r="W403" s="3" t="str">
        <f t="shared" si="10"/>
        <v>Överlapp</v>
      </c>
      <c r="X403" s="3" t="str">
        <f t="shared" si="11"/>
        <v/>
      </c>
    </row>
    <row r="404">
      <c r="A404" s="1" t="s">
        <v>409</v>
      </c>
      <c r="B404" s="3" t="str">
        <f>IFERROR(__xludf.DUMMYFUNCTION("SPLIT(A404, "","")"),"22-49")</f>
        <v>22-49</v>
      </c>
      <c r="C404" s="3" t="str">
        <f>IFERROR(__xludf.DUMMYFUNCTION("""COMPUTED_VALUE"""),"21-49")</f>
        <v>21-49</v>
      </c>
      <c r="D404" s="3">
        <f>IFERROR(__xludf.DUMMYFUNCTION("SPLIT(B404, ""-"")"),22.0)</f>
        <v>22</v>
      </c>
      <c r="E404" s="3">
        <f>IFERROR(__xludf.DUMMYFUNCTION("""COMPUTED_VALUE"""),49.0)</f>
        <v>49</v>
      </c>
      <c r="F404" s="3">
        <f>IFERROR(__xludf.DUMMYFUNCTION("SPLIT(C404, ""-"")"),21.0)</f>
        <v>21</v>
      </c>
      <c r="G404" s="3">
        <f>IFERROR(__xludf.DUMMYFUNCTION("""COMPUTED_VALUE"""),49.0)</f>
        <v>49</v>
      </c>
      <c r="I404" s="3" t="str">
        <f t="shared" si="1"/>
        <v/>
      </c>
      <c r="J404" s="3" t="str">
        <f t="shared" si="2"/>
        <v>y</v>
      </c>
      <c r="K404" s="3" t="str">
        <f t="shared" si="3"/>
        <v>y</v>
      </c>
      <c r="L404" s="3" t="str">
        <f t="shared" si="4"/>
        <v>y</v>
      </c>
      <c r="N404" s="3" t="str">
        <f t="shared" si="5"/>
        <v/>
      </c>
      <c r="O404" s="3">
        <f t="shared" si="6"/>
        <v>1</v>
      </c>
      <c r="Q404" s="3">
        <f t="shared" si="7"/>
        <v>1</v>
      </c>
      <c r="U404" s="3" t="str">
        <f t="shared" si="8"/>
        <v>Överlapp</v>
      </c>
      <c r="V404" s="3" t="str">
        <f t="shared" si="9"/>
        <v>Överlapp</v>
      </c>
      <c r="W404" s="3" t="str">
        <f t="shared" si="10"/>
        <v>Överlapp</v>
      </c>
      <c r="X404" s="3" t="str">
        <f t="shared" si="11"/>
        <v/>
      </c>
    </row>
    <row r="405">
      <c r="A405" s="1" t="s">
        <v>410</v>
      </c>
      <c r="B405" s="3" t="str">
        <f>IFERROR(__xludf.DUMMYFUNCTION("SPLIT(A405, "","")"),"19-75")</f>
        <v>19-75</v>
      </c>
      <c r="C405" s="3" t="str">
        <f>IFERROR(__xludf.DUMMYFUNCTION("""COMPUTED_VALUE"""),"18-61")</f>
        <v>18-61</v>
      </c>
      <c r="D405" s="3">
        <f>IFERROR(__xludf.DUMMYFUNCTION("SPLIT(B405, ""-"")"),19.0)</f>
        <v>19</v>
      </c>
      <c r="E405" s="3">
        <f>IFERROR(__xludf.DUMMYFUNCTION("""COMPUTED_VALUE"""),75.0)</f>
        <v>75</v>
      </c>
      <c r="F405" s="3">
        <f>IFERROR(__xludf.DUMMYFUNCTION("SPLIT(C405, ""-"")"),18.0)</f>
        <v>18</v>
      </c>
      <c r="G405" s="3">
        <f>IFERROR(__xludf.DUMMYFUNCTION("""COMPUTED_VALUE"""),61.0)</f>
        <v>61</v>
      </c>
      <c r="I405" s="3" t="str">
        <f t="shared" si="1"/>
        <v/>
      </c>
      <c r="J405" s="3" t="str">
        <f t="shared" si="2"/>
        <v>y</v>
      </c>
      <c r="K405" s="3" t="str">
        <f t="shared" si="3"/>
        <v>y</v>
      </c>
      <c r="L405" s="3" t="str">
        <f t="shared" si="4"/>
        <v/>
      </c>
      <c r="N405" s="3" t="str">
        <f t="shared" si="5"/>
        <v/>
      </c>
      <c r="O405" s="3" t="str">
        <f t="shared" si="6"/>
        <v/>
      </c>
      <c r="Q405" s="3" t="str">
        <f t="shared" si="7"/>
        <v/>
      </c>
      <c r="U405" s="3">
        <f t="shared" si="8"/>
        <v>1</v>
      </c>
      <c r="V405" s="3" t="str">
        <f t="shared" si="9"/>
        <v>Överlapp</v>
      </c>
      <c r="W405" s="3" t="str">
        <f t="shared" si="10"/>
        <v>Överlapp</v>
      </c>
      <c r="X405" s="3" t="str">
        <f t="shared" si="11"/>
        <v/>
      </c>
    </row>
    <row r="406">
      <c r="A406" s="1" t="s">
        <v>411</v>
      </c>
      <c r="B406" s="3" t="str">
        <f>IFERROR(__xludf.DUMMYFUNCTION("SPLIT(A406, "","")"),"5-60")</f>
        <v>5-60</v>
      </c>
      <c r="C406" s="3" t="str">
        <f>IFERROR(__xludf.DUMMYFUNCTION("""COMPUTED_VALUE"""),"7-60")</f>
        <v>7-60</v>
      </c>
      <c r="D406" s="3">
        <f>IFERROR(__xludf.DUMMYFUNCTION("SPLIT(B406, ""-"")"),5.0)</f>
        <v>5</v>
      </c>
      <c r="E406" s="3">
        <f>IFERROR(__xludf.DUMMYFUNCTION("""COMPUTED_VALUE"""),60.0)</f>
        <v>60</v>
      </c>
      <c r="F406" s="3">
        <f>IFERROR(__xludf.DUMMYFUNCTION("SPLIT(C406, ""-"")"),7.0)</f>
        <v>7</v>
      </c>
      <c r="G406" s="3">
        <f>IFERROR(__xludf.DUMMYFUNCTION("""COMPUTED_VALUE"""),60.0)</f>
        <v>60</v>
      </c>
      <c r="I406" s="3" t="str">
        <f t="shared" si="1"/>
        <v>y</v>
      </c>
      <c r="J406" s="3" t="str">
        <f t="shared" si="2"/>
        <v>y</v>
      </c>
      <c r="K406" s="3" t="str">
        <f t="shared" si="3"/>
        <v/>
      </c>
      <c r="L406" s="3" t="str">
        <f t="shared" si="4"/>
        <v>y</v>
      </c>
      <c r="N406" s="3">
        <f t="shared" si="5"/>
        <v>1</v>
      </c>
      <c r="O406" s="3" t="str">
        <f t="shared" si="6"/>
        <v/>
      </c>
      <c r="Q406" s="3">
        <f t="shared" si="7"/>
        <v>1</v>
      </c>
      <c r="U406" s="3" t="str">
        <f t="shared" si="8"/>
        <v>Överlapp</v>
      </c>
      <c r="V406" s="3" t="str">
        <f t="shared" si="9"/>
        <v>Överlapp</v>
      </c>
      <c r="W406" s="3" t="str">
        <f t="shared" si="10"/>
        <v>Överlapp</v>
      </c>
      <c r="X406" s="3" t="str">
        <f t="shared" si="11"/>
        <v/>
      </c>
    </row>
    <row r="407">
      <c r="A407" s="1" t="s">
        <v>412</v>
      </c>
      <c r="B407" s="3" t="str">
        <f>IFERROR(__xludf.DUMMYFUNCTION("SPLIT(A407, "","")"),"6-28")</f>
        <v>6-28</v>
      </c>
      <c r="C407" s="3" t="str">
        <f>IFERROR(__xludf.DUMMYFUNCTION("""COMPUTED_VALUE"""),"5-19")</f>
        <v>5-19</v>
      </c>
      <c r="D407" s="3">
        <f>IFERROR(__xludf.DUMMYFUNCTION("SPLIT(B407, ""-"")"),6.0)</f>
        <v>6</v>
      </c>
      <c r="E407" s="3">
        <f>IFERROR(__xludf.DUMMYFUNCTION("""COMPUTED_VALUE"""),28.0)</f>
        <v>28</v>
      </c>
      <c r="F407" s="3">
        <f>IFERROR(__xludf.DUMMYFUNCTION("SPLIT(C407, ""-"")"),5.0)</f>
        <v>5</v>
      </c>
      <c r="G407" s="3">
        <f>IFERROR(__xludf.DUMMYFUNCTION("""COMPUTED_VALUE"""),19.0)</f>
        <v>19</v>
      </c>
      <c r="I407" s="3" t="str">
        <f t="shared" si="1"/>
        <v/>
      </c>
      <c r="J407" s="3" t="str">
        <f t="shared" si="2"/>
        <v>y</v>
      </c>
      <c r="K407" s="3" t="str">
        <f t="shared" si="3"/>
        <v>y</v>
      </c>
      <c r="L407" s="3" t="str">
        <f t="shared" si="4"/>
        <v/>
      </c>
      <c r="N407" s="3" t="str">
        <f t="shared" si="5"/>
        <v/>
      </c>
      <c r="O407" s="3" t="str">
        <f t="shared" si="6"/>
        <v/>
      </c>
      <c r="Q407" s="3" t="str">
        <f t="shared" si="7"/>
        <v/>
      </c>
      <c r="U407" s="3">
        <f t="shared" si="8"/>
        <v>1</v>
      </c>
      <c r="V407" s="3" t="str">
        <f t="shared" si="9"/>
        <v>Överlapp</v>
      </c>
      <c r="W407" s="3" t="str">
        <f t="shared" si="10"/>
        <v>Överlapp</v>
      </c>
      <c r="X407" s="3" t="str">
        <f t="shared" si="11"/>
        <v/>
      </c>
    </row>
    <row r="408">
      <c r="A408" s="1" t="s">
        <v>413</v>
      </c>
      <c r="B408" s="3" t="str">
        <f>IFERROR(__xludf.DUMMYFUNCTION("SPLIT(A408, "","")"),"55-85")</f>
        <v>55-85</v>
      </c>
      <c r="C408" s="3" t="str">
        <f>IFERROR(__xludf.DUMMYFUNCTION("""COMPUTED_VALUE"""),"54-85")</f>
        <v>54-85</v>
      </c>
      <c r="D408" s="3">
        <f>IFERROR(__xludf.DUMMYFUNCTION("SPLIT(B408, ""-"")"),55.0)</f>
        <v>55</v>
      </c>
      <c r="E408" s="3">
        <f>IFERROR(__xludf.DUMMYFUNCTION("""COMPUTED_VALUE"""),85.0)</f>
        <v>85</v>
      </c>
      <c r="F408" s="3">
        <f>IFERROR(__xludf.DUMMYFUNCTION("SPLIT(C408, ""-"")"),54.0)</f>
        <v>54</v>
      </c>
      <c r="G408" s="3">
        <f>IFERROR(__xludf.DUMMYFUNCTION("""COMPUTED_VALUE"""),85.0)</f>
        <v>85</v>
      </c>
      <c r="I408" s="3" t="str">
        <f t="shared" si="1"/>
        <v/>
      </c>
      <c r="J408" s="3" t="str">
        <f t="shared" si="2"/>
        <v>y</v>
      </c>
      <c r="K408" s="3" t="str">
        <f t="shared" si="3"/>
        <v>y</v>
      </c>
      <c r="L408" s="3" t="str">
        <f t="shared" si="4"/>
        <v>y</v>
      </c>
      <c r="N408" s="3" t="str">
        <f t="shared" si="5"/>
        <v/>
      </c>
      <c r="O408" s="3">
        <f t="shared" si="6"/>
        <v>1</v>
      </c>
      <c r="Q408" s="3">
        <f t="shared" si="7"/>
        <v>1</v>
      </c>
      <c r="U408" s="3" t="str">
        <f t="shared" si="8"/>
        <v>Överlapp</v>
      </c>
      <c r="V408" s="3" t="str">
        <f t="shared" si="9"/>
        <v>Överlapp</v>
      </c>
      <c r="W408" s="3" t="str">
        <f t="shared" si="10"/>
        <v>Överlapp</v>
      </c>
      <c r="X408" s="3" t="str">
        <f t="shared" si="11"/>
        <v/>
      </c>
    </row>
    <row r="409">
      <c r="A409" s="1" t="s">
        <v>414</v>
      </c>
      <c r="B409" s="3" t="str">
        <f>IFERROR(__xludf.DUMMYFUNCTION("SPLIT(A409, "","")"),"44-59")</f>
        <v>44-59</v>
      </c>
      <c r="C409" s="3" t="str">
        <f>IFERROR(__xludf.DUMMYFUNCTION("""COMPUTED_VALUE"""),"32-63")</f>
        <v>32-63</v>
      </c>
      <c r="D409" s="3">
        <f>IFERROR(__xludf.DUMMYFUNCTION("SPLIT(B409, ""-"")"),44.0)</f>
        <v>44</v>
      </c>
      <c r="E409" s="3">
        <f>IFERROR(__xludf.DUMMYFUNCTION("""COMPUTED_VALUE"""),59.0)</f>
        <v>59</v>
      </c>
      <c r="F409" s="3">
        <f>IFERROR(__xludf.DUMMYFUNCTION("SPLIT(C409, ""-"")"),32.0)</f>
        <v>32</v>
      </c>
      <c r="G409" s="3">
        <f>IFERROR(__xludf.DUMMYFUNCTION("""COMPUTED_VALUE"""),63.0)</f>
        <v>63</v>
      </c>
      <c r="I409" s="3" t="str">
        <f t="shared" si="1"/>
        <v/>
      </c>
      <c r="J409" s="3" t="str">
        <f t="shared" si="2"/>
        <v/>
      </c>
      <c r="K409" s="3" t="str">
        <f t="shared" si="3"/>
        <v>y</v>
      </c>
      <c r="L409" s="3" t="str">
        <f t="shared" si="4"/>
        <v>y</v>
      </c>
      <c r="N409" s="3" t="str">
        <f t="shared" si="5"/>
        <v/>
      </c>
      <c r="O409" s="3">
        <f t="shared" si="6"/>
        <v>1</v>
      </c>
      <c r="Q409" s="3">
        <f t="shared" si="7"/>
        <v>1</v>
      </c>
      <c r="U409" s="3">
        <f t="shared" si="8"/>
        <v>1</v>
      </c>
      <c r="V409" s="3" t="str">
        <f t="shared" si="9"/>
        <v>Överlapp</v>
      </c>
      <c r="W409" s="3" t="str">
        <f t="shared" si="10"/>
        <v>Överlapp</v>
      </c>
      <c r="X409" s="3" t="str">
        <f t="shared" si="11"/>
        <v/>
      </c>
    </row>
    <row r="410">
      <c r="A410" s="1" t="s">
        <v>415</v>
      </c>
      <c r="B410" s="3" t="str">
        <f>IFERROR(__xludf.DUMMYFUNCTION("SPLIT(A410, "","")"),"12-27")</f>
        <v>12-27</v>
      </c>
      <c r="C410" s="3" t="str">
        <f>IFERROR(__xludf.DUMMYFUNCTION("""COMPUTED_VALUE"""),"11-45")</f>
        <v>11-45</v>
      </c>
      <c r="D410" s="3">
        <f>IFERROR(__xludf.DUMMYFUNCTION("SPLIT(B410, ""-"")"),12.0)</f>
        <v>12</v>
      </c>
      <c r="E410" s="3">
        <f>IFERROR(__xludf.DUMMYFUNCTION("""COMPUTED_VALUE"""),27.0)</f>
        <v>27</v>
      </c>
      <c r="F410" s="3">
        <f>IFERROR(__xludf.DUMMYFUNCTION("SPLIT(C410, ""-"")"),11.0)</f>
        <v>11</v>
      </c>
      <c r="G410" s="3">
        <f>IFERROR(__xludf.DUMMYFUNCTION("""COMPUTED_VALUE"""),45.0)</f>
        <v>45</v>
      </c>
      <c r="I410" s="3" t="str">
        <f t="shared" si="1"/>
        <v/>
      </c>
      <c r="J410" s="3" t="str">
        <f t="shared" si="2"/>
        <v/>
      </c>
      <c r="K410" s="3" t="str">
        <f t="shared" si="3"/>
        <v>y</v>
      </c>
      <c r="L410" s="3" t="str">
        <f t="shared" si="4"/>
        <v>y</v>
      </c>
      <c r="N410" s="3" t="str">
        <f t="shared" si="5"/>
        <v/>
      </c>
      <c r="O410" s="3">
        <f t="shared" si="6"/>
        <v>1</v>
      </c>
      <c r="Q410" s="3">
        <f t="shared" si="7"/>
        <v>1</v>
      </c>
      <c r="U410" s="3">
        <f t="shared" si="8"/>
        <v>1</v>
      </c>
      <c r="V410" s="3" t="str">
        <f t="shared" si="9"/>
        <v>Överlapp</v>
      </c>
      <c r="W410" s="3" t="str">
        <f t="shared" si="10"/>
        <v>Överlapp</v>
      </c>
      <c r="X410" s="3" t="str">
        <f t="shared" si="11"/>
        <v/>
      </c>
    </row>
    <row r="411">
      <c r="A411" s="1" t="s">
        <v>416</v>
      </c>
      <c r="B411" s="3" t="str">
        <f>IFERROR(__xludf.DUMMYFUNCTION("SPLIT(A411, "","")"),"17-18")</f>
        <v>17-18</v>
      </c>
      <c r="C411" s="3" t="str">
        <f>IFERROR(__xludf.DUMMYFUNCTION("""COMPUTED_VALUE"""),"18-96")</f>
        <v>18-96</v>
      </c>
      <c r="D411" s="3">
        <f>IFERROR(__xludf.DUMMYFUNCTION("SPLIT(B411, ""-"")"),17.0)</f>
        <v>17</v>
      </c>
      <c r="E411" s="3">
        <f>IFERROR(__xludf.DUMMYFUNCTION("""COMPUTED_VALUE"""),18.0)</f>
        <v>18</v>
      </c>
      <c r="F411" s="3">
        <f>IFERROR(__xludf.DUMMYFUNCTION("SPLIT(C411, ""-"")"),18.0)</f>
        <v>18</v>
      </c>
      <c r="G411" s="3">
        <f>IFERROR(__xludf.DUMMYFUNCTION("""COMPUTED_VALUE"""),96.0)</f>
        <v>96</v>
      </c>
      <c r="I411" s="3" t="str">
        <f t="shared" si="1"/>
        <v>y</v>
      </c>
      <c r="J411" s="3" t="str">
        <f t="shared" si="2"/>
        <v/>
      </c>
      <c r="K411" s="3" t="str">
        <f t="shared" si="3"/>
        <v/>
      </c>
      <c r="L411" s="3" t="str">
        <f t="shared" si="4"/>
        <v>y</v>
      </c>
      <c r="N411" s="3" t="str">
        <f t="shared" si="5"/>
        <v/>
      </c>
      <c r="O411" s="3" t="str">
        <f t="shared" si="6"/>
        <v/>
      </c>
      <c r="Q411" s="3" t="str">
        <f t="shared" si="7"/>
        <v/>
      </c>
      <c r="U411" s="3" t="str">
        <f t="shared" si="8"/>
        <v>Överlapp</v>
      </c>
      <c r="V411" s="3" t="str">
        <f t="shared" si="9"/>
        <v>Överlapp</v>
      </c>
      <c r="W411" s="3" t="str">
        <f t="shared" si="10"/>
        <v>Överlapp</v>
      </c>
      <c r="X411" s="3" t="str">
        <f t="shared" si="11"/>
        <v/>
      </c>
    </row>
    <row r="412">
      <c r="A412" s="1" t="s">
        <v>417</v>
      </c>
      <c r="B412" s="3" t="str">
        <f>IFERROR(__xludf.DUMMYFUNCTION("SPLIT(A412, "","")"),"62-67")</f>
        <v>62-67</v>
      </c>
      <c r="C412" s="3" t="str">
        <f>IFERROR(__xludf.DUMMYFUNCTION("""COMPUTED_VALUE"""),"77-84")</f>
        <v>77-84</v>
      </c>
      <c r="D412" s="3">
        <f>IFERROR(__xludf.DUMMYFUNCTION("SPLIT(B412, ""-"")"),62.0)</f>
        <v>62</v>
      </c>
      <c r="E412" s="3">
        <f>IFERROR(__xludf.DUMMYFUNCTION("""COMPUTED_VALUE"""),67.0)</f>
        <v>67</v>
      </c>
      <c r="F412" s="3">
        <f>IFERROR(__xludf.DUMMYFUNCTION("SPLIT(C412, ""-"")"),77.0)</f>
        <v>77</v>
      </c>
      <c r="G412" s="3">
        <f>IFERROR(__xludf.DUMMYFUNCTION("""COMPUTED_VALUE"""),84.0)</f>
        <v>84</v>
      </c>
      <c r="I412" s="3" t="str">
        <f t="shared" si="1"/>
        <v>y</v>
      </c>
      <c r="J412" s="3" t="str">
        <f t="shared" si="2"/>
        <v/>
      </c>
      <c r="K412" s="3" t="str">
        <f t="shared" si="3"/>
        <v/>
      </c>
      <c r="L412" s="3" t="str">
        <f t="shared" si="4"/>
        <v>y</v>
      </c>
      <c r="N412" s="3" t="str">
        <f t="shared" si="5"/>
        <v/>
      </c>
      <c r="O412" s="3" t="str">
        <f t="shared" si="6"/>
        <v/>
      </c>
      <c r="Q412" s="3" t="str">
        <f t="shared" si="7"/>
        <v/>
      </c>
      <c r="U412" s="3">
        <f t="shared" si="8"/>
        <v>1</v>
      </c>
      <c r="V412" s="3">
        <f t="shared" si="9"/>
        <v>1</v>
      </c>
      <c r="W412" s="3" t="str">
        <f t="shared" si="10"/>
        <v>Överlapp</v>
      </c>
      <c r="X412" s="3">
        <f t="shared" si="11"/>
        <v>1</v>
      </c>
    </row>
    <row r="413">
      <c r="A413" s="1" t="s">
        <v>418</v>
      </c>
      <c r="B413" s="3" t="str">
        <f>IFERROR(__xludf.DUMMYFUNCTION("SPLIT(A413, "","")"),"78-87")</f>
        <v>78-87</v>
      </c>
      <c r="C413" s="3" t="str">
        <f>IFERROR(__xludf.DUMMYFUNCTION("""COMPUTED_VALUE"""),"4-79")</f>
        <v>4-79</v>
      </c>
      <c r="D413" s="3">
        <f>IFERROR(__xludf.DUMMYFUNCTION("SPLIT(B413, ""-"")"),78.0)</f>
        <v>78</v>
      </c>
      <c r="E413" s="3">
        <f>IFERROR(__xludf.DUMMYFUNCTION("""COMPUTED_VALUE"""),87.0)</f>
        <v>87</v>
      </c>
      <c r="F413" s="3">
        <f>IFERROR(__xludf.DUMMYFUNCTION("SPLIT(C413, ""-"")"),4.0)</f>
        <v>4</v>
      </c>
      <c r="G413" s="3">
        <f>IFERROR(__xludf.DUMMYFUNCTION("""COMPUTED_VALUE"""),79.0)</f>
        <v>79</v>
      </c>
      <c r="I413" s="3" t="str">
        <f t="shared" si="1"/>
        <v/>
      </c>
      <c r="J413" s="3" t="str">
        <f t="shared" si="2"/>
        <v>y</v>
      </c>
      <c r="K413" s="3" t="str">
        <f t="shared" si="3"/>
        <v>y</v>
      </c>
      <c r="L413" s="3" t="str">
        <f t="shared" si="4"/>
        <v/>
      </c>
      <c r="N413" s="3" t="str">
        <f t="shared" si="5"/>
        <v/>
      </c>
      <c r="O413" s="3" t="str">
        <f t="shared" si="6"/>
        <v/>
      </c>
      <c r="Q413" s="3" t="str">
        <f t="shared" si="7"/>
        <v/>
      </c>
      <c r="U413" s="3">
        <f t="shared" si="8"/>
        <v>1</v>
      </c>
      <c r="V413" s="3" t="str">
        <f t="shared" si="9"/>
        <v>Överlapp</v>
      </c>
      <c r="W413" s="3" t="str">
        <f t="shared" si="10"/>
        <v>Överlapp</v>
      </c>
      <c r="X413" s="3" t="str">
        <f t="shared" si="11"/>
        <v/>
      </c>
    </row>
    <row r="414">
      <c r="A414" s="1" t="s">
        <v>419</v>
      </c>
      <c r="B414" s="3" t="str">
        <f>IFERROR(__xludf.DUMMYFUNCTION("SPLIT(A414, "","")"),"10-69")</f>
        <v>10-69</v>
      </c>
      <c r="C414" s="3" t="str">
        <f>IFERROR(__xludf.DUMMYFUNCTION("""COMPUTED_VALUE"""),"9-78")</f>
        <v>9-78</v>
      </c>
      <c r="D414" s="3">
        <f>IFERROR(__xludf.DUMMYFUNCTION("SPLIT(B414, ""-"")"),10.0)</f>
        <v>10</v>
      </c>
      <c r="E414" s="3">
        <f>IFERROR(__xludf.DUMMYFUNCTION("""COMPUTED_VALUE"""),69.0)</f>
        <v>69</v>
      </c>
      <c r="F414" s="3">
        <f>IFERROR(__xludf.DUMMYFUNCTION("SPLIT(C414, ""-"")"),9.0)</f>
        <v>9</v>
      </c>
      <c r="G414" s="3">
        <f>IFERROR(__xludf.DUMMYFUNCTION("""COMPUTED_VALUE"""),78.0)</f>
        <v>78</v>
      </c>
      <c r="I414" s="3" t="str">
        <f t="shared" si="1"/>
        <v/>
      </c>
      <c r="J414" s="3" t="str">
        <f t="shared" si="2"/>
        <v/>
      </c>
      <c r="K414" s="3" t="str">
        <f t="shared" si="3"/>
        <v>y</v>
      </c>
      <c r="L414" s="3" t="str">
        <f t="shared" si="4"/>
        <v>y</v>
      </c>
      <c r="N414" s="3" t="str">
        <f t="shared" si="5"/>
        <v/>
      </c>
      <c r="O414" s="3">
        <f t="shared" si="6"/>
        <v>1</v>
      </c>
      <c r="Q414" s="3">
        <f t="shared" si="7"/>
        <v>1</v>
      </c>
      <c r="U414" s="3">
        <f t="shared" si="8"/>
        <v>1</v>
      </c>
      <c r="V414" s="3" t="str">
        <f t="shared" si="9"/>
        <v>Överlapp</v>
      </c>
      <c r="W414" s="3" t="str">
        <f t="shared" si="10"/>
        <v>Överlapp</v>
      </c>
      <c r="X414" s="3" t="str">
        <f t="shared" si="11"/>
        <v/>
      </c>
    </row>
    <row r="415">
      <c r="A415" s="1" t="s">
        <v>420</v>
      </c>
      <c r="B415" s="3" t="str">
        <f>IFERROR(__xludf.DUMMYFUNCTION("SPLIT(A415, "","")"),"8-78")</f>
        <v>8-78</v>
      </c>
      <c r="C415" s="4">
        <f>IFERROR(__xludf.DUMMYFUNCTION("""COMPUTED_VALUE"""),44812.0)</f>
        <v>44812</v>
      </c>
      <c r="D415" s="3">
        <f>IFERROR(__xludf.DUMMYFUNCTION("SPLIT(B415, ""-"")"),8.0)</f>
        <v>8</v>
      </c>
      <c r="E415" s="3">
        <f>IFERROR(__xludf.DUMMYFUNCTION("""COMPUTED_VALUE"""),78.0)</f>
        <v>78</v>
      </c>
      <c r="F415" s="3">
        <f>IFERROR(__xludf.DUMMYFUNCTION("SPLIT(C415, ""-"")"),8.0)</f>
        <v>8</v>
      </c>
      <c r="G415" s="3">
        <f>IFERROR(__xludf.DUMMYFUNCTION("""COMPUTED_VALUE"""),9.0)</f>
        <v>9</v>
      </c>
      <c r="I415" s="3" t="str">
        <f t="shared" si="1"/>
        <v>y</v>
      </c>
      <c r="J415" s="3" t="str">
        <f t="shared" si="2"/>
        <v>y</v>
      </c>
      <c r="K415" s="3" t="str">
        <f t="shared" si="3"/>
        <v>y</v>
      </c>
      <c r="L415" s="3" t="str">
        <f t="shared" si="4"/>
        <v/>
      </c>
      <c r="N415" s="3">
        <f t="shared" si="5"/>
        <v>1</v>
      </c>
      <c r="O415" s="3" t="str">
        <f t="shared" si="6"/>
        <v/>
      </c>
      <c r="Q415" s="3">
        <f t="shared" si="7"/>
        <v>1</v>
      </c>
      <c r="U415" s="3" t="str">
        <f t="shared" si="8"/>
        <v>Överlapp</v>
      </c>
      <c r="V415" s="3" t="str">
        <f t="shared" si="9"/>
        <v>Överlapp</v>
      </c>
      <c r="W415" s="3" t="str">
        <f t="shared" si="10"/>
        <v>Överlapp</v>
      </c>
      <c r="X415" s="3" t="str">
        <f t="shared" si="11"/>
        <v/>
      </c>
    </row>
    <row r="416">
      <c r="A416" s="1" t="s">
        <v>421</v>
      </c>
      <c r="B416" s="3" t="str">
        <f>IFERROR(__xludf.DUMMYFUNCTION("SPLIT(A416, "","")"),"58-62")</f>
        <v>58-62</v>
      </c>
      <c r="C416" s="3" t="str">
        <f>IFERROR(__xludf.DUMMYFUNCTION("""COMPUTED_VALUE"""),"36-57")</f>
        <v>36-57</v>
      </c>
      <c r="D416" s="3">
        <f>IFERROR(__xludf.DUMMYFUNCTION("SPLIT(B416, ""-"")"),58.0)</f>
        <v>58</v>
      </c>
      <c r="E416" s="3">
        <f>IFERROR(__xludf.DUMMYFUNCTION("""COMPUTED_VALUE"""),62.0)</f>
        <v>62</v>
      </c>
      <c r="F416" s="3">
        <f>IFERROR(__xludf.DUMMYFUNCTION("SPLIT(C416, ""-"")"),36.0)</f>
        <v>36</v>
      </c>
      <c r="G416" s="3">
        <f>IFERROR(__xludf.DUMMYFUNCTION("""COMPUTED_VALUE"""),57.0)</f>
        <v>57</v>
      </c>
      <c r="I416" s="3" t="str">
        <f t="shared" si="1"/>
        <v/>
      </c>
      <c r="J416" s="3" t="str">
        <f t="shared" si="2"/>
        <v>y</v>
      </c>
      <c r="K416" s="3" t="str">
        <f t="shared" si="3"/>
        <v>y</v>
      </c>
      <c r="L416" s="3" t="str">
        <f t="shared" si="4"/>
        <v/>
      </c>
      <c r="N416" s="3" t="str">
        <f t="shared" si="5"/>
        <v/>
      </c>
      <c r="O416" s="3" t="str">
        <f t="shared" si="6"/>
        <v/>
      </c>
      <c r="Q416" s="3" t="str">
        <f t="shared" si="7"/>
        <v/>
      </c>
      <c r="U416" s="3">
        <f t="shared" si="8"/>
        <v>1</v>
      </c>
      <c r="V416" s="3" t="str">
        <f t="shared" si="9"/>
        <v>Överlapp</v>
      </c>
      <c r="W416" s="3">
        <f t="shared" si="10"/>
        <v>1</v>
      </c>
      <c r="X416" s="3">
        <f t="shared" si="11"/>
        <v>1</v>
      </c>
    </row>
    <row r="417">
      <c r="A417" s="1" t="s">
        <v>422</v>
      </c>
      <c r="B417" s="3" t="str">
        <f>IFERROR(__xludf.DUMMYFUNCTION("SPLIT(A417, "","")"),"54-54")</f>
        <v>54-54</v>
      </c>
      <c r="C417" s="3" t="str">
        <f>IFERROR(__xludf.DUMMYFUNCTION("""COMPUTED_VALUE"""),"53-97")</f>
        <v>53-97</v>
      </c>
      <c r="D417" s="3">
        <f>IFERROR(__xludf.DUMMYFUNCTION("SPLIT(B417, ""-"")"),54.0)</f>
        <v>54</v>
      </c>
      <c r="E417" s="3">
        <f>IFERROR(__xludf.DUMMYFUNCTION("""COMPUTED_VALUE"""),54.0)</f>
        <v>54</v>
      </c>
      <c r="F417" s="3">
        <f>IFERROR(__xludf.DUMMYFUNCTION("SPLIT(C417, ""-"")"),53.0)</f>
        <v>53</v>
      </c>
      <c r="G417" s="3">
        <f>IFERROR(__xludf.DUMMYFUNCTION("""COMPUTED_VALUE"""),97.0)</f>
        <v>97</v>
      </c>
      <c r="I417" s="3" t="str">
        <f t="shared" si="1"/>
        <v/>
      </c>
      <c r="J417" s="3" t="str">
        <f t="shared" si="2"/>
        <v/>
      </c>
      <c r="K417" s="3" t="str">
        <f t="shared" si="3"/>
        <v>y</v>
      </c>
      <c r="L417" s="3" t="str">
        <f t="shared" si="4"/>
        <v>y</v>
      </c>
      <c r="N417" s="3" t="str">
        <f t="shared" si="5"/>
        <v/>
      </c>
      <c r="O417" s="3">
        <f t="shared" si="6"/>
        <v>1</v>
      </c>
      <c r="Q417" s="3">
        <f t="shared" si="7"/>
        <v>1</v>
      </c>
      <c r="U417" s="3">
        <f t="shared" si="8"/>
        <v>1</v>
      </c>
      <c r="V417" s="3" t="str">
        <f t="shared" si="9"/>
        <v>Överlapp</v>
      </c>
      <c r="W417" s="3" t="str">
        <f t="shared" si="10"/>
        <v>Överlapp</v>
      </c>
      <c r="X417" s="3" t="str">
        <f t="shared" si="11"/>
        <v/>
      </c>
    </row>
    <row r="418">
      <c r="A418" s="1" t="s">
        <v>423</v>
      </c>
      <c r="B418" s="3" t="str">
        <f>IFERROR(__xludf.DUMMYFUNCTION("SPLIT(A418, "","")"),"50-50")</f>
        <v>50-50</v>
      </c>
      <c r="C418" s="3" t="str">
        <f>IFERROR(__xludf.DUMMYFUNCTION("""COMPUTED_VALUE"""),"49-96")</f>
        <v>49-96</v>
      </c>
      <c r="D418" s="3">
        <f>IFERROR(__xludf.DUMMYFUNCTION("SPLIT(B418, ""-"")"),50.0)</f>
        <v>50</v>
      </c>
      <c r="E418" s="3">
        <f>IFERROR(__xludf.DUMMYFUNCTION("""COMPUTED_VALUE"""),50.0)</f>
        <v>50</v>
      </c>
      <c r="F418" s="3">
        <f>IFERROR(__xludf.DUMMYFUNCTION("SPLIT(C418, ""-"")"),49.0)</f>
        <v>49</v>
      </c>
      <c r="G418" s="3">
        <f>IFERROR(__xludf.DUMMYFUNCTION("""COMPUTED_VALUE"""),96.0)</f>
        <v>96</v>
      </c>
      <c r="I418" s="3" t="str">
        <f t="shared" si="1"/>
        <v/>
      </c>
      <c r="J418" s="3" t="str">
        <f t="shared" si="2"/>
        <v/>
      </c>
      <c r="K418" s="3" t="str">
        <f t="shared" si="3"/>
        <v>y</v>
      </c>
      <c r="L418" s="3" t="str">
        <f t="shared" si="4"/>
        <v>y</v>
      </c>
      <c r="N418" s="3" t="str">
        <f t="shared" si="5"/>
        <v/>
      </c>
      <c r="O418" s="3">
        <f t="shared" si="6"/>
        <v>1</v>
      </c>
      <c r="Q418" s="3">
        <f t="shared" si="7"/>
        <v>1</v>
      </c>
      <c r="U418" s="3">
        <f t="shared" si="8"/>
        <v>1</v>
      </c>
      <c r="V418" s="3" t="str">
        <f t="shared" si="9"/>
        <v>Överlapp</v>
      </c>
      <c r="W418" s="3" t="str">
        <f t="shared" si="10"/>
        <v>Överlapp</v>
      </c>
      <c r="X418" s="3" t="str">
        <f t="shared" si="11"/>
        <v/>
      </c>
    </row>
    <row r="419">
      <c r="A419" s="1" t="s">
        <v>424</v>
      </c>
      <c r="B419" s="3" t="str">
        <f>IFERROR(__xludf.DUMMYFUNCTION("SPLIT(A419, "","")"),"19-98")</f>
        <v>19-98</v>
      </c>
      <c r="C419" s="3" t="str">
        <f>IFERROR(__xludf.DUMMYFUNCTION("""COMPUTED_VALUE"""),"18-19")</f>
        <v>18-19</v>
      </c>
      <c r="D419" s="3">
        <f>IFERROR(__xludf.DUMMYFUNCTION("SPLIT(B419, ""-"")"),19.0)</f>
        <v>19</v>
      </c>
      <c r="E419" s="3">
        <f>IFERROR(__xludf.DUMMYFUNCTION("""COMPUTED_VALUE"""),98.0)</f>
        <v>98</v>
      </c>
      <c r="F419" s="3">
        <f>IFERROR(__xludf.DUMMYFUNCTION("SPLIT(C419, ""-"")"),18.0)</f>
        <v>18</v>
      </c>
      <c r="G419" s="3">
        <f>IFERROR(__xludf.DUMMYFUNCTION("""COMPUTED_VALUE"""),19.0)</f>
        <v>19</v>
      </c>
      <c r="I419" s="3" t="str">
        <f t="shared" si="1"/>
        <v/>
      </c>
      <c r="J419" s="3" t="str">
        <f t="shared" si="2"/>
        <v>y</v>
      </c>
      <c r="K419" s="3" t="str">
        <f t="shared" si="3"/>
        <v>y</v>
      </c>
      <c r="L419" s="3" t="str">
        <f t="shared" si="4"/>
        <v/>
      </c>
      <c r="N419" s="3" t="str">
        <f t="shared" si="5"/>
        <v/>
      </c>
      <c r="O419" s="3" t="str">
        <f t="shared" si="6"/>
        <v/>
      </c>
      <c r="Q419" s="3" t="str">
        <f t="shared" si="7"/>
        <v/>
      </c>
      <c r="U419" s="3" t="str">
        <f t="shared" si="8"/>
        <v>Överlapp</v>
      </c>
      <c r="V419" s="3" t="str">
        <f t="shared" si="9"/>
        <v>Överlapp</v>
      </c>
      <c r="W419" s="3" t="str">
        <f t="shared" si="10"/>
        <v>Överlapp</v>
      </c>
      <c r="X419" s="3" t="str">
        <f t="shared" si="11"/>
        <v/>
      </c>
    </row>
    <row r="420">
      <c r="A420" s="1" t="s">
        <v>425</v>
      </c>
      <c r="B420" s="3" t="str">
        <f>IFERROR(__xludf.DUMMYFUNCTION("SPLIT(A420, "","")"),"42-93")</f>
        <v>42-93</v>
      </c>
      <c r="C420" s="3" t="str">
        <f>IFERROR(__xludf.DUMMYFUNCTION("""COMPUTED_VALUE"""),"41-94")</f>
        <v>41-94</v>
      </c>
      <c r="D420" s="3">
        <f>IFERROR(__xludf.DUMMYFUNCTION("SPLIT(B420, ""-"")"),42.0)</f>
        <v>42</v>
      </c>
      <c r="E420" s="3">
        <f>IFERROR(__xludf.DUMMYFUNCTION("""COMPUTED_VALUE"""),93.0)</f>
        <v>93</v>
      </c>
      <c r="F420" s="3">
        <f>IFERROR(__xludf.DUMMYFUNCTION("SPLIT(C420, ""-"")"),41.0)</f>
        <v>41</v>
      </c>
      <c r="G420" s="3">
        <f>IFERROR(__xludf.DUMMYFUNCTION("""COMPUTED_VALUE"""),94.0)</f>
        <v>94</v>
      </c>
      <c r="I420" s="3" t="str">
        <f t="shared" si="1"/>
        <v/>
      </c>
      <c r="J420" s="3" t="str">
        <f t="shared" si="2"/>
        <v/>
      </c>
      <c r="K420" s="3" t="str">
        <f t="shared" si="3"/>
        <v>y</v>
      </c>
      <c r="L420" s="3" t="str">
        <f t="shared" si="4"/>
        <v>y</v>
      </c>
      <c r="N420" s="3" t="str">
        <f t="shared" si="5"/>
        <v/>
      </c>
      <c r="O420" s="3">
        <f t="shared" si="6"/>
        <v>1</v>
      </c>
      <c r="Q420" s="3">
        <f t="shared" si="7"/>
        <v>1</v>
      </c>
      <c r="U420" s="3">
        <f t="shared" si="8"/>
        <v>1</v>
      </c>
      <c r="V420" s="3" t="str">
        <f t="shared" si="9"/>
        <v>Överlapp</v>
      </c>
      <c r="W420" s="3" t="str">
        <f t="shared" si="10"/>
        <v>Överlapp</v>
      </c>
      <c r="X420" s="3" t="str">
        <f t="shared" si="11"/>
        <v/>
      </c>
    </row>
    <row r="421">
      <c r="A421" s="1" t="s">
        <v>426</v>
      </c>
      <c r="B421" s="3" t="str">
        <f>IFERROR(__xludf.DUMMYFUNCTION("SPLIT(A421, "","")"),"20-21")</f>
        <v>20-21</v>
      </c>
      <c r="C421" s="3" t="str">
        <f>IFERROR(__xludf.DUMMYFUNCTION("""COMPUTED_VALUE"""),"21-67")</f>
        <v>21-67</v>
      </c>
      <c r="D421" s="3">
        <f>IFERROR(__xludf.DUMMYFUNCTION("SPLIT(B421, ""-"")"),20.0)</f>
        <v>20</v>
      </c>
      <c r="E421" s="3">
        <f>IFERROR(__xludf.DUMMYFUNCTION("""COMPUTED_VALUE"""),21.0)</f>
        <v>21</v>
      </c>
      <c r="F421" s="3">
        <f>IFERROR(__xludf.DUMMYFUNCTION("SPLIT(C421, ""-"")"),21.0)</f>
        <v>21</v>
      </c>
      <c r="G421" s="3">
        <f>IFERROR(__xludf.DUMMYFUNCTION("""COMPUTED_VALUE"""),67.0)</f>
        <v>67</v>
      </c>
      <c r="I421" s="3" t="str">
        <f t="shared" si="1"/>
        <v>y</v>
      </c>
      <c r="J421" s="3" t="str">
        <f t="shared" si="2"/>
        <v/>
      </c>
      <c r="K421" s="3" t="str">
        <f t="shared" si="3"/>
        <v/>
      </c>
      <c r="L421" s="3" t="str">
        <f t="shared" si="4"/>
        <v>y</v>
      </c>
      <c r="N421" s="3" t="str">
        <f t="shared" si="5"/>
        <v/>
      </c>
      <c r="O421" s="3" t="str">
        <f t="shared" si="6"/>
        <v/>
      </c>
      <c r="Q421" s="3" t="str">
        <f t="shared" si="7"/>
        <v/>
      </c>
      <c r="U421" s="3" t="str">
        <f t="shared" si="8"/>
        <v>Överlapp</v>
      </c>
      <c r="V421" s="3" t="str">
        <f t="shared" si="9"/>
        <v>Överlapp</v>
      </c>
      <c r="W421" s="3" t="str">
        <f t="shared" si="10"/>
        <v>Överlapp</v>
      </c>
      <c r="X421" s="3" t="str">
        <f t="shared" si="11"/>
        <v/>
      </c>
    </row>
    <row r="422">
      <c r="A422" s="1" t="s">
        <v>427</v>
      </c>
      <c r="B422" s="3" t="str">
        <f>IFERROR(__xludf.DUMMYFUNCTION("SPLIT(A422, "","")"),"51-80")</f>
        <v>51-80</v>
      </c>
      <c r="C422" s="3" t="str">
        <f>IFERROR(__xludf.DUMMYFUNCTION("""COMPUTED_VALUE"""),"41-52")</f>
        <v>41-52</v>
      </c>
      <c r="D422" s="3">
        <f>IFERROR(__xludf.DUMMYFUNCTION("SPLIT(B422, ""-"")"),51.0)</f>
        <v>51</v>
      </c>
      <c r="E422" s="3">
        <f>IFERROR(__xludf.DUMMYFUNCTION("""COMPUTED_VALUE"""),80.0)</f>
        <v>80</v>
      </c>
      <c r="F422" s="3">
        <f>IFERROR(__xludf.DUMMYFUNCTION("SPLIT(C422, ""-"")"),41.0)</f>
        <v>41</v>
      </c>
      <c r="G422" s="3">
        <f>IFERROR(__xludf.DUMMYFUNCTION("""COMPUTED_VALUE"""),52.0)</f>
        <v>52</v>
      </c>
      <c r="I422" s="3" t="str">
        <f t="shared" si="1"/>
        <v/>
      </c>
      <c r="J422" s="3" t="str">
        <f t="shared" si="2"/>
        <v>y</v>
      </c>
      <c r="K422" s="3" t="str">
        <f t="shared" si="3"/>
        <v>y</v>
      </c>
      <c r="L422" s="3" t="str">
        <f t="shared" si="4"/>
        <v/>
      </c>
      <c r="N422" s="3" t="str">
        <f t="shared" si="5"/>
        <v/>
      </c>
      <c r="O422" s="3" t="str">
        <f t="shared" si="6"/>
        <v/>
      </c>
      <c r="Q422" s="3" t="str">
        <f t="shared" si="7"/>
        <v/>
      </c>
      <c r="U422" s="3">
        <f t="shared" si="8"/>
        <v>1</v>
      </c>
      <c r="V422" s="3" t="str">
        <f t="shared" si="9"/>
        <v>Överlapp</v>
      </c>
      <c r="W422" s="3" t="str">
        <f t="shared" si="10"/>
        <v>Överlapp</v>
      </c>
      <c r="X422" s="3" t="str">
        <f t="shared" si="11"/>
        <v/>
      </c>
    </row>
    <row r="423">
      <c r="A423" s="1" t="s">
        <v>428</v>
      </c>
      <c r="B423" s="3" t="str">
        <f>IFERROR(__xludf.DUMMYFUNCTION("SPLIT(A423, "","")"),"21-79")</f>
        <v>21-79</v>
      </c>
      <c r="C423" s="3" t="str">
        <f>IFERROR(__xludf.DUMMYFUNCTION("""COMPUTED_VALUE"""),"20-79")</f>
        <v>20-79</v>
      </c>
      <c r="D423" s="3">
        <f>IFERROR(__xludf.DUMMYFUNCTION("SPLIT(B423, ""-"")"),21.0)</f>
        <v>21</v>
      </c>
      <c r="E423" s="3">
        <f>IFERROR(__xludf.DUMMYFUNCTION("""COMPUTED_VALUE"""),79.0)</f>
        <v>79</v>
      </c>
      <c r="F423" s="3">
        <f>IFERROR(__xludf.DUMMYFUNCTION("SPLIT(C423, ""-"")"),20.0)</f>
        <v>20</v>
      </c>
      <c r="G423" s="3">
        <f>IFERROR(__xludf.DUMMYFUNCTION("""COMPUTED_VALUE"""),79.0)</f>
        <v>79</v>
      </c>
      <c r="I423" s="3" t="str">
        <f t="shared" si="1"/>
        <v/>
      </c>
      <c r="J423" s="3" t="str">
        <f t="shared" si="2"/>
        <v>y</v>
      </c>
      <c r="K423" s="3" t="str">
        <f t="shared" si="3"/>
        <v>y</v>
      </c>
      <c r="L423" s="3" t="str">
        <f t="shared" si="4"/>
        <v>y</v>
      </c>
      <c r="N423" s="3" t="str">
        <f t="shared" si="5"/>
        <v/>
      </c>
      <c r="O423" s="3">
        <f t="shared" si="6"/>
        <v>1</v>
      </c>
      <c r="Q423" s="3">
        <f t="shared" si="7"/>
        <v>1</v>
      </c>
      <c r="U423" s="3" t="str">
        <f t="shared" si="8"/>
        <v>Överlapp</v>
      </c>
      <c r="V423" s="3" t="str">
        <f t="shared" si="9"/>
        <v>Överlapp</v>
      </c>
      <c r="W423" s="3" t="str">
        <f t="shared" si="10"/>
        <v>Överlapp</v>
      </c>
      <c r="X423" s="3" t="str">
        <f t="shared" si="11"/>
        <v/>
      </c>
    </row>
    <row r="424">
      <c r="A424" s="1" t="s">
        <v>429</v>
      </c>
      <c r="B424" s="3" t="str">
        <f>IFERROR(__xludf.DUMMYFUNCTION("SPLIT(A424, "","")"),"30-84")</f>
        <v>30-84</v>
      </c>
      <c r="C424" s="3" t="str">
        <f>IFERROR(__xludf.DUMMYFUNCTION("""COMPUTED_VALUE"""),"31-83")</f>
        <v>31-83</v>
      </c>
      <c r="D424" s="3">
        <f>IFERROR(__xludf.DUMMYFUNCTION("SPLIT(B424, ""-"")"),30.0)</f>
        <v>30</v>
      </c>
      <c r="E424" s="3">
        <f>IFERROR(__xludf.DUMMYFUNCTION("""COMPUTED_VALUE"""),84.0)</f>
        <v>84</v>
      </c>
      <c r="F424" s="3">
        <f>IFERROR(__xludf.DUMMYFUNCTION("SPLIT(C424, ""-"")"),31.0)</f>
        <v>31</v>
      </c>
      <c r="G424" s="3">
        <f>IFERROR(__xludf.DUMMYFUNCTION("""COMPUTED_VALUE"""),83.0)</f>
        <v>83</v>
      </c>
      <c r="I424" s="3" t="str">
        <f t="shared" si="1"/>
        <v>y</v>
      </c>
      <c r="J424" s="3" t="str">
        <f t="shared" si="2"/>
        <v>y</v>
      </c>
      <c r="K424" s="3" t="str">
        <f t="shared" si="3"/>
        <v/>
      </c>
      <c r="L424" s="3" t="str">
        <f t="shared" si="4"/>
        <v/>
      </c>
      <c r="N424" s="3">
        <f t="shared" si="5"/>
        <v>1</v>
      </c>
      <c r="O424" s="3" t="str">
        <f t="shared" si="6"/>
        <v/>
      </c>
      <c r="Q424" s="3">
        <f t="shared" si="7"/>
        <v>1</v>
      </c>
      <c r="U424" s="3">
        <f t="shared" si="8"/>
        <v>1</v>
      </c>
      <c r="V424" s="3" t="str">
        <f t="shared" si="9"/>
        <v>Överlapp</v>
      </c>
      <c r="W424" s="3" t="str">
        <f t="shared" si="10"/>
        <v>Överlapp</v>
      </c>
      <c r="X424" s="3" t="str">
        <f t="shared" si="11"/>
        <v/>
      </c>
    </row>
    <row r="425">
      <c r="A425" s="1" t="s">
        <v>430</v>
      </c>
      <c r="B425" s="3" t="str">
        <f>IFERROR(__xludf.DUMMYFUNCTION("SPLIT(A425, "","")"),"69-74")</f>
        <v>69-74</v>
      </c>
      <c r="C425" s="3" t="str">
        <f>IFERROR(__xludf.DUMMYFUNCTION("""COMPUTED_VALUE"""),"59-98")</f>
        <v>59-98</v>
      </c>
      <c r="D425" s="3">
        <f>IFERROR(__xludf.DUMMYFUNCTION("SPLIT(B425, ""-"")"),69.0)</f>
        <v>69</v>
      </c>
      <c r="E425" s="3">
        <f>IFERROR(__xludf.DUMMYFUNCTION("""COMPUTED_VALUE"""),74.0)</f>
        <v>74</v>
      </c>
      <c r="F425" s="3">
        <f>IFERROR(__xludf.DUMMYFUNCTION("SPLIT(C425, ""-"")"),59.0)</f>
        <v>59</v>
      </c>
      <c r="G425" s="3">
        <f>IFERROR(__xludf.DUMMYFUNCTION("""COMPUTED_VALUE"""),98.0)</f>
        <v>98</v>
      </c>
      <c r="I425" s="3" t="str">
        <f t="shared" si="1"/>
        <v/>
      </c>
      <c r="J425" s="3" t="str">
        <f t="shared" si="2"/>
        <v/>
      </c>
      <c r="K425" s="3" t="str">
        <f t="shared" si="3"/>
        <v>y</v>
      </c>
      <c r="L425" s="3" t="str">
        <f t="shared" si="4"/>
        <v>y</v>
      </c>
      <c r="N425" s="3" t="str">
        <f t="shared" si="5"/>
        <v/>
      </c>
      <c r="O425" s="3">
        <f t="shared" si="6"/>
        <v>1</v>
      </c>
      <c r="Q425" s="3">
        <f t="shared" si="7"/>
        <v>1</v>
      </c>
      <c r="U425" s="3">
        <f t="shared" si="8"/>
        <v>1</v>
      </c>
      <c r="V425" s="3" t="str">
        <f t="shared" si="9"/>
        <v>Överlapp</v>
      </c>
      <c r="W425" s="3" t="str">
        <f t="shared" si="10"/>
        <v>Överlapp</v>
      </c>
      <c r="X425" s="3" t="str">
        <f t="shared" si="11"/>
        <v/>
      </c>
    </row>
    <row r="426">
      <c r="A426" s="1" t="s">
        <v>431</v>
      </c>
      <c r="B426" s="3" t="str">
        <f>IFERROR(__xludf.DUMMYFUNCTION("SPLIT(A426, "","")"),"32-33")</f>
        <v>32-33</v>
      </c>
      <c r="C426" s="3" t="str">
        <f>IFERROR(__xludf.DUMMYFUNCTION("""COMPUTED_VALUE"""),"34-53")</f>
        <v>34-53</v>
      </c>
      <c r="D426" s="3">
        <f>IFERROR(__xludf.DUMMYFUNCTION("SPLIT(B426, ""-"")"),32.0)</f>
        <v>32</v>
      </c>
      <c r="E426" s="3">
        <f>IFERROR(__xludf.DUMMYFUNCTION("""COMPUTED_VALUE"""),33.0)</f>
        <v>33</v>
      </c>
      <c r="F426" s="3">
        <f>IFERROR(__xludf.DUMMYFUNCTION("SPLIT(C426, ""-"")"),34.0)</f>
        <v>34</v>
      </c>
      <c r="G426" s="3">
        <f>IFERROR(__xludf.DUMMYFUNCTION("""COMPUTED_VALUE"""),53.0)</f>
        <v>53</v>
      </c>
      <c r="I426" s="3" t="str">
        <f t="shared" si="1"/>
        <v>y</v>
      </c>
      <c r="J426" s="3" t="str">
        <f t="shared" si="2"/>
        <v/>
      </c>
      <c r="K426" s="3" t="str">
        <f t="shared" si="3"/>
        <v/>
      </c>
      <c r="L426" s="3" t="str">
        <f t="shared" si="4"/>
        <v>y</v>
      </c>
      <c r="N426" s="3" t="str">
        <f t="shared" si="5"/>
        <v/>
      </c>
      <c r="O426" s="3" t="str">
        <f t="shared" si="6"/>
        <v/>
      </c>
      <c r="Q426" s="3" t="str">
        <f t="shared" si="7"/>
        <v/>
      </c>
      <c r="U426" s="3">
        <f t="shared" si="8"/>
        <v>1</v>
      </c>
      <c r="V426" s="3">
        <f t="shared" si="9"/>
        <v>1</v>
      </c>
      <c r="W426" s="3" t="str">
        <f t="shared" si="10"/>
        <v>Överlapp</v>
      </c>
      <c r="X426" s="3">
        <f t="shared" si="11"/>
        <v>1</v>
      </c>
    </row>
    <row r="427">
      <c r="A427" s="1" t="s">
        <v>432</v>
      </c>
      <c r="B427" s="3" t="str">
        <f>IFERROR(__xludf.DUMMYFUNCTION("SPLIT(A427, "","")"),"10-43")</f>
        <v>10-43</v>
      </c>
      <c r="C427" s="3" t="str">
        <f>IFERROR(__xludf.DUMMYFUNCTION("""COMPUTED_VALUE"""),"11-67")</f>
        <v>11-67</v>
      </c>
      <c r="D427" s="3">
        <f>IFERROR(__xludf.DUMMYFUNCTION("SPLIT(B427, ""-"")"),10.0)</f>
        <v>10</v>
      </c>
      <c r="E427" s="3">
        <f>IFERROR(__xludf.DUMMYFUNCTION("""COMPUTED_VALUE"""),43.0)</f>
        <v>43</v>
      </c>
      <c r="F427" s="3">
        <f>IFERROR(__xludf.DUMMYFUNCTION("SPLIT(C427, ""-"")"),11.0)</f>
        <v>11</v>
      </c>
      <c r="G427" s="3">
        <f>IFERROR(__xludf.DUMMYFUNCTION("""COMPUTED_VALUE"""),67.0)</f>
        <v>67</v>
      </c>
      <c r="I427" s="3" t="str">
        <f t="shared" si="1"/>
        <v>y</v>
      </c>
      <c r="J427" s="3" t="str">
        <f t="shared" si="2"/>
        <v/>
      </c>
      <c r="K427" s="3" t="str">
        <f t="shared" si="3"/>
        <v/>
      </c>
      <c r="L427" s="3" t="str">
        <f t="shared" si="4"/>
        <v>y</v>
      </c>
      <c r="N427" s="3" t="str">
        <f t="shared" si="5"/>
        <v/>
      </c>
      <c r="O427" s="3" t="str">
        <f t="shared" si="6"/>
        <v/>
      </c>
      <c r="Q427" s="3" t="str">
        <f t="shared" si="7"/>
        <v/>
      </c>
      <c r="U427" s="3">
        <f t="shared" si="8"/>
        <v>1</v>
      </c>
      <c r="V427" s="3" t="str">
        <f t="shared" si="9"/>
        <v>Överlapp</v>
      </c>
      <c r="W427" s="3" t="str">
        <f t="shared" si="10"/>
        <v>Överlapp</v>
      </c>
      <c r="X427" s="3" t="str">
        <f t="shared" si="11"/>
        <v/>
      </c>
    </row>
    <row r="428">
      <c r="A428" s="1" t="s">
        <v>433</v>
      </c>
      <c r="B428" s="3" t="str">
        <f>IFERROR(__xludf.DUMMYFUNCTION("SPLIT(A428, "","")"),"7-47")</f>
        <v>7-47</v>
      </c>
      <c r="C428" s="3" t="str">
        <f>IFERROR(__xludf.DUMMYFUNCTION("""COMPUTED_VALUE"""),"25-68")</f>
        <v>25-68</v>
      </c>
      <c r="D428" s="3">
        <f>IFERROR(__xludf.DUMMYFUNCTION("SPLIT(B428, ""-"")"),7.0)</f>
        <v>7</v>
      </c>
      <c r="E428" s="3">
        <f>IFERROR(__xludf.DUMMYFUNCTION("""COMPUTED_VALUE"""),47.0)</f>
        <v>47</v>
      </c>
      <c r="F428" s="3">
        <f>IFERROR(__xludf.DUMMYFUNCTION("SPLIT(C428, ""-"")"),25.0)</f>
        <v>25</v>
      </c>
      <c r="G428" s="3">
        <f>IFERROR(__xludf.DUMMYFUNCTION("""COMPUTED_VALUE"""),68.0)</f>
        <v>68</v>
      </c>
      <c r="I428" s="3" t="str">
        <f t="shared" si="1"/>
        <v>y</v>
      </c>
      <c r="J428" s="3" t="str">
        <f t="shared" si="2"/>
        <v/>
      </c>
      <c r="K428" s="3" t="str">
        <f t="shared" si="3"/>
        <v/>
      </c>
      <c r="L428" s="3" t="str">
        <f t="shared" si="4"/>
        <v>y</v>
      </c>
      <c r="N428" s="3" t="str">
        <f t="shared" si="5"/>
        <v/>
      </c>
      <c r="O428" s="3" t="str">
        <f t="shared" si="6"/>
        <v/>
      </c>
      <c r="Q428" s="3" t="str">
        <f t="shared" si="7"/>
        <v/>
      </c>
      <c r="U428" s="3">
        <f t="shared" si="8"/>
        <v>1</v>
      </c>
      <c r="V428" s="3" t="str">
        <f t="shared" si="9"/>
        <v>Överlapp</v>
      </c>
      <c r="W428" s="3" t="str">
        <f t="shared" si="10"/>
        <v>Överlapp</v>
      </c>
      <c r="X428" s="3" t="str">
        <f t="shared" si="11"/>
        <v/>
      </c>
    </row>
    <row r="429">
      <c r="A429" s="1" t="s">
        <v>434</v>
      </c>
      <c r="B429" s="3" t="str">
        <f>IFERROR(__xludf.DUMMYFUNCTION("SPLIT(A429, "","")"),"3-75")</f>
        <v>3-75</v>
      </c>
      <c r="C429" s="3" t="str">
        <f>IFERROR(__xludf.DUMMYFUNCTION("""COMPUTED_VALUE"""),"4-74")</f>
        <v>4-74</v>
      </c>
      <c r="D429" s="3">
        <f>IFERROR(__xludf.DUMMYFUNCTION("SPLIT(B429, ""-"")"),3.0)</f>
        <v>3</v>
      </c>
      <c r="E429" s="3">
        <f>IFERROR(__xludf.DUMMYFUNCTION("""COMPUTED_VALUE"""),75.0)</f>
        <v>75</v>
      </c>
      <c r="F429" s="3">
        <f>IFERROR(__xludf.DUMMYFUNCTION("SPLIT(C429, ""-"")"),4.0)</f>
        <v>4</v>
      </c>
      <c r="G429" s="3">
        <f>IFERROR(__xludf.DUMMYFUNCTION("""COMPUTED_VALUE"""),74.0)</f>
        <v>74</v>
      </c>
      <c r="I429" s="3" t="str">
        <f t="shared" si="1"/>
        <v>y</v>
      </c>
      <c r="J429" s="3" t="str">
        <f t="shared" si="2"/>
        <v>y</v>
      </c>
      <c r="K429" s="3" t="str">
        <f t="shared" si="3"/>
        <v/>
      </c>
      <c r="L429" s="3" t="str">
        <f t="shared" si="4"/>
        <v/>
      </c>
      <c r="N429" s="3">
        <f t="shared" si="5"/>
        <v>1</v>
      </c>
      <c r="O429" s="3" t="str">
        <f t="shared" si="6"/>
        <v/>
      </c>
      <c r="Q429" s="3">
        <f t="shared" si="7"/>
        <v>1</v>
      </c>
      <c r="U429" s="3">
        <f t="shared" si="8"/>
        <v>1</v>
      </c>
      <c r="V429" s="3" t="str">
        <f t="shared" si="9"/>
        <v>Överlapp</v>
      </c>
      <c r="W429" s="3" t="str">
        <f t="shared" si="10"/>
        <v>Överlapp</v>
      </c>
      <c r="X429" s="3" t="str">
        <f t="shared" si="11"/>
        <v/>
      </c>
    </row>
    <row r="430">
      <c r="A430" s="1" t="s">
        <v>435</v>
      </c>
      <c r="B430" s="3" t="str">
        <f>IFERROR(__xludf.DUMMYFUNCTION("SPLIT(A430, "","")"),"78-96")</f>
        <v>78-96</v>
      </c>
      <c r="C430" s="3" t="str">
        <f>IFERROR(__xludf.DUMMYFUNCTION("""COMPUTED_VALUE"""),"46-91")</f>
        <v>46-91</v>
      </c>
      <c r="D430" s="3">
        <f>IFERROR(__xludf.DUMMYFUNCTION("SPLIT(B430, ""-"")"),78.0)</f>
        <v>78</v>
      </c>
      <c r="E430" s="3">
        <f>IFERROR(__xludf.DUMMYFUNCTION("""COMPUTED_VALUE"""),96.0)</f>
        <v>96</v>
      </c>
      <c r="F430" s="3">
        <f>IFERROR(__xludf.DUMMYFUNCTION("SPLIT(C430, ""-"")"),46.0)</f>
        <v>46</v>
      </c>
      <c r="G430" s="3">
        <f>IFERROR(__xludf.DUMMYFUNCTION("""COMPUTED_VALUE"""),91.0)</f>
        <v>91</v>
      </c>
      <c r="I430" s="3" t="str">
        <f t="shared" si="1"/>
        <v/>
      </c>
      <c r="J430" s="3" t="str">
        <f t="shared" si="2"/>
        <v>y</v>
      </c>
      <c r="K430" s="3" t="str">
        <f t="shared" si="3"/>
        <v>y</v>
      </c>
      <c r="L430" s="3" t="str">
        <f t="shared" si="4"/>
        <v/>
      </c>
      <c r="N430" s="3" t="str">
        <f t="shared" si="5"/>
        <v/>
      </c>
      <c r="O430" s="3" t="str">
        <f t="shared" si="6"/>
        <v/>
      </c>
      <c r="Q430" s="3" t="str">
        <f t="shared" si="7"/>
        <v/>
      </c>
      <c r="U430" s="3">
        <f t="shared" si="8"/>
        <v>1</v>
      </c>
      <c r="V430" s="3" t="str">
        <f t="shared" si="9"/>
        <v>Överlapp</v>
      </c>
      <c r="W430" s="3" t="str">
        <f t="shared" si="10"/>
        <v>Överlapp</v>
      </c>
      <c r="X430" s="3" t="str">
        <f t="shared" si="11"/>
        <v/>
      </c>
    </row>
    <row r="431">
      <c r="A431" s="1" t="s">
        <v>436</v>
      </c>
      <c r="B431" s="3" t="str">
        <f>IFERROR(__xludf.DUMMYFUNCTION("SPLIT(A431, "","")"),"12-39")</f>
        <v>12-39</v>
      </c>
      <c r="C431" s="3" t="str">
        <f>IFERROR(__xludf.DUMMYFUNCTION("""COMPUTED_VALUE"""),"11-98")</f>
        <v>11-98</v>
      </c>
      <c r="D431" s="3">
        <f>IFERROR(__xludf.DUMMYFUNCTION("SPLIT(B431, ""-"")"),12.0)</f>
        <v>12</v>
      </c>
      <c r="E431" s="3">
        <f>IFERROR(__xludf.DUMMYFUNCTION("""COMPUTED_VALUE"""),39.0)</f>
        <v>39</v>
      </c>
      <c r="F431" s="3">
        <f>IFERROR(__xludf.DUMMYFUNCTION("SPLIT(C431, ""-"")"),11.0)</f>
        <v>11</v>
      </c>
      <c r="G431" s="3">
        <f>IFERROR(__xludf.DUMMYFUNCTION("""COMPUTED_VALUE"""),98.0)</f>
        <v>98</v>
      </c>
      <c r="I431" s="3" t="str">
        <f t="shared" si="1"/>
        <v/>
      </c>
      <c r="J431" s="3" t="str">
        <f t="shared" si="2"/>
        <v/>
      </c>
      <c r="K431" s="3" t="str">
        <f t="shared" si="3"/>
        <v>y</v>
      </c>
      <c r="L431" s="3" t="str">
        <f t="shared" si="4"/>
        <v>y</v>
      </c>
      <c r="N431" s="3" t="str">
        <f t="shared" si="5"/>
        <v/>
      </c>
      <c r="O431" s="3">
        <f t="shared" si="6"/>
        <v>1</v>
      </c>
      <c r="Q431" s="3">
        <f t="shared" si="7"/>
        <v>1</v>
      </c>
      <c r="U431" s="3">
        <f t="shared" si="8"/>
        <v>1</v>
      </c>
      <c r="V431" s="3" t="str">
        <f t="shared" si="9"/>
        <v>Överlapp</v>
      </c>
      <c r="W431" s="3" t="str">
        <f t="shared" si="10"/>
        <v>Överlapp</v>
      </c>
      <c r="X431" s="3" t="str">
        <f t="shared" si="11"/>
        <v/>
      </c>
    </row>
    <row r="432">
      <c r="A432" s="1" t="s">
        <v>437</v>
      </c>
      <c r="B432" s="3" t="str">
        <f>IFERROR(__xludf.DUMMYFUNCTION("SPLIT(A432, "","")"),"12-82")</f>
        <v>12-82</v>
      </c>
      <c r="C432" s="3" t="str">
        <f>IFERROR(__xludf.DUMMYFUNCTION("""COMPUTED_VALUE"""),"12-81")</f>
        <v>12-81</v>
      </c>
      <c r="D432" s="3">
        <f>IFERROR(__xludf.DUMMYFUNCTION("SPLIT(B432, ""-"")"),12.0)</f>
        <v>12</v>
      </c>
      <c r="E432" s="3">
        <f>IFERROR(__xludf.DUMMYFUNCTION("""COMPUTED_VALUE"""),82.0)</f>
        <v>82</v>
      </c>
      <c r="F432" s="3">
        <f>IFERROR(__xludf.DUMMYFUNCTION("SPLIT(C432, ""-"")"),12.0)</f>
        <v>12</v>
      </c>
      <c r="G432" s="3">
        <f>IFERROR(__xludf.DUMMYFUNCTION("""COMPUTED_VALUE"""),81.0)</f>
        <v>81</v>
      </c>
      <c r="I432" s="3" t="str">
        <f t="shared" si="1"/>
        <v>y</v>
      </c>
      <c r="J432" s="3" t="str">
        <f t="shared" si="2"/>
        <v>y</v>
      </c>
      <c r="K432" s="3" t="str">
        <f t="shared" si="3"/>
        <v>y</v>
      </c>
      <c r="L432" s="3" t="str">
        <f t="shared" si="4"/>
        <v/>
      </c>
      <c r="N432" s="3">
        <f t="shared" si="5"/>
        <v>1</v>
      </c>
      <c r="O432" s="3" t="str">
        <f t="shared" si="6"/>
        <v/>
      </c>
      <c r="Q432" s="3">
        <f t="shared" si="7"/>
        <v>1</v>
      </c>
      <c r="U432" s="3" t="str">
        <f t="shared" si="8"/>
        <v>Överlapp</v>
      </c>
      <c r="V432" s="3" t="str">
        <f t="shared" si="9"/>
        <v>Överlapp</v>
      </c>
      <c r="W432" s="3" t="str">
        <f t="shared" si="10"/>
        <v>Överlapp</v>
      </c>
      <c r="X432" s="3" t="str">
        <f t="shared" si="11"/>
        <v/>
      </c>
    </row>
    <row r="433">
      <c r="A433" s="1" t="s">
        <v>438</v>
      </c>
      <c r="B433" s="3" t="str">
        <f>IFERROR(__xludf.DUMMYFUNCTION("SPLIT(A433, "","")"),"4-71")</f>
        <v>4-71</v>
      </c>
      <c r="C433" s="3" t="str">
        <f>IFERROR(__xludf.DUMMYFUNCTION("""COMPUTED_VALUE"""),"10-83")</f>
        <v>10-83</v>
      </c>
      <c r="D433" s="3">
        <f>IFERROR(__xludf.DUMMYFUNCTION("SPLIT(B433, ""-"")"),4.0)</f>
        <v>4</v>
      </c>
      <c r="E433" s="3">
        <f>IFERROR(__xludf.DUMMYFUNCTION("""COMPUTED_VALUE"""),71.0)</f>
        <v>71</v>
      </c>
      <c r="F433" s="3">
        <f>IFERROR(__xludf.DUMMYFUNCTION("SPLIT(C433, ""-"")"),10.0)</f>
        <v>10</v>
      </c>
      <c r="G433" s="3">
        <f>IFERROR(__xludf.DUMMYFUNCTION("""COMPUTED_VALUE"""),83.0)</f>
        <v>83</v>
      </c>
      <c r="I433" s="3" t="str">
        <f t="shared" si="1"/>
        <v>y</v>
      </c>
      <c r="J433" s="3" t="str">
        <f t="shared" si="2"/>
        <v/>
      </c>
      <c r="K433" s="3" t="str">
        <f t="shared" si="3"/>
        <v/>
      </c>
      <c r="L433" s="3" t="str">
        <f t="shared" si="4"/>
        <v>y</v>
      </c>
      <c r="N433" s="3" t="str">
        <f t="shared" si="5"/>
        <v/>
      </c>
      <c r="O433" s="3" t="str">
        <f t="shared" si="6"/>
        <v/>
      </c>
      <c r="Q433" s="3" t="str">
        <f t="shared" si="7"/>
        <v/>
      </c>
      <c r="U433" s="3">
        <f t="shared" si="8"/>
        <v>1</v>
      </c>
      <c r="V433" s="3" t="str">
        <f t="shared" si="9"/>
        <v>Överlapp</v>
      </c>
      <c r="W433" s="3" t="str">
        <f t="shared" si="10"/>
        <v>Överlapp</v>
      </c>
      <c r="X433" s="3" t="str">
        <f t="shared" si="11"/>
        <v/>
      </c>
    </row>
    <row r="434">
      <c r="A434" s="1" t="s">
        <v>439</v>
      </c>
      <c r="B434" s="3" t="str">
        <f>IFERROR(__xludf.DUMMYFUNCTION("SPLIT(A434, "","")"),"22-22")</f>
        <v>22-22</v>
      </c>
      <c r="C434" s="3" t="str">
        <f>IFERROR(__xludf.DUMMYFUNCTION("""COMPUTED_VALUE"""),"22-71")</f>
        <v>22-71</v>
      </c>
      <c r="D434" s="3">
        <f>IFERROR(__xludf.DUMMYFUNCTION("SPLIT(B434, ""-"")"),22.0)</f>
        <v>22</v>
      </c>
      <c r="E434" s="3">
        <f>IFERROR(__xludf.DUMMYFUNCTION("""COMPUTED_VALUE"""),22.0)</f>
        <v>22</v>
      </c>
      <c r="F434" s="3">
        <f>IFERROR(__xludf.DUMMYFUNCTION("SPLIT(C434, ""-"")"),22.0)</f>
        <v>22</v>
      </c>
      <c r="G434" s="3">
        <f>IFERROR(__xludf.DUMMYFUNCTION("""COMPUTED_VALUE"""),71.0)</f>
        <v>71</v>
      </c>
      <c r="I434" s="3" t="str">
        <f t="shared" si="1"/>
        <v>y</v>
      </c>
      <c r="J434" s="3" t="str">
        <f t="shared" si="2"/>
        <v/>
      </c>
      <c r="K434" s="3" t="str">
        <f t="shared" si="3"/>
        <v>y</v>
      </c>
      <c r="L434" s="3" t="str">
        <f t="shared" si="4"/>
        <v>y</v>
      </c>
      <c r="N434" s="3" t="str">
        <f t="shared" si="5"/>
        <v/>
      </c>
      <c r="O434" s="3">
        <f t="shared" si="6"/>
        <v>1</v>
      </c>
      <c r="Q434" s="3">
        <f t="shared" si="7"/>
        <v>1</v>
      </c>
      <c r="U434" s="3" t="str">
        <f t="shared" si="8"/>
        <v>Överlapp</v>
      </c>
      <c r="V434" s="3" t="str">
        <f t="shared" si="9"/>
        <v>Överlapp</v>
      </c>
      <c r="W434" s="3" t="str">
        <f t="shared" si="10"/>
        <v>Överlapp</v>
      </c>
      <c r="X434" s="3" t="str">
        <f t="shared" si="11"/>
        <v/>
      </c>
    </row>
    <row r="435">
      <c r="A435" s="1" t="s">
        <v>440</v>
      </c>
      <c r="B435" s="3" t="str">
        <f>IFERROR(__xludf.DUMMYFUNCTION("SPLIT(A435, "","")"),"24-66")</f>
        <v>24-66</v>
      </c>
      <c r="C435" s="3" t="str">
        <f>IFERROR(__xludf.DUMMYFUNCTION("""COMPUTED_VALUE"""),"66-73")</f>
        <v>66-73</v>
      </c>
      <c r="D435" s="3">
        <f>IFERROR(__xludf.DUMMYFUNCTION("SPLIT(B435, ""-"")"),24.0)</f>
        <v>24</v>
      </c>
      <c r="E435" s="3">
        <f>IFERROR(__xludf.DUMMYFUNCTION("""COMPUTED_VALUE"""),66.0)</f>
        <v>66</v>
      </c>
      <c r="F435" s="3">
        <f>IFERROR(__xludf.DUMMYFUNCTION("SPLIT(C435, ""-"")"),66.0)</f>
        <v>66</v>
      </c>
      <c r="G435" s="3">
        <f>IFERROR(__xludf.DUMMYFUNCTION("""COMPUTED_VALUE"""),73.0)</f>
        <v>73</v>
      </c>
      <c r="I435" s="3" t="str">
        <f t="shared" si="1"/>
        <v>y</v>
      </c>
      <c r="J435" s="3" t="str">
        <f t="shared" si="2"/>
        <v/>
      </c>
      <c r="K435" s="3" t="str">
        <f t="shared" si="3"/>
        <v/>
      </c>
      <c r="L435" s="3" t="str">
        <f t="shared" si="4"/>
        <v>y</v>
      </c>
      <c r="N435" s="3" t="str">
        <f t="shared" si="5"/>
        <v/>
      </c>
      <c r="O435" s="3" t="str">
        <f t="shared" si="6"/>
        <v/>
      </c>
      <c r="Q435" s="3" t="str">
        <f t="shared" si="7"/>
        <v/>
      </c>
      <c r="U435" s="3" t="str">
        <f t="shared" si="8"/>
        <v>Överlapp</v>
      </c>
      <c r="V435" s="3" t="str">
        <f t="shared" si="9"/>
        <v>Överlapp</v>
      </c>
      <c r="W435" s="3" t="str">
        <f t="shared" si="10"/>
        <v>Överlapp</v>
      </c>
      <c r="X435" s="3" t="str">
        <f t="shared" si="11"/>
        <v/>
      </c>
    </row>
    <row r="436">
      <c r="A436" s="1" t="s">
        <v>441</v>
      </c>
      <c r="B436" s="3" t="str">
        <f>IFERROR(__xludf.DUMMYFUNCTION("SPLIT(A436, "","")"),"18-77")</f>
        <v>18-77</v>
      </c>
      <c r="C436" s="3" t="str">
        <f>IFERROR(__xludf.DUMMYFUNCTION("""COMPUTED_VALUE"""),"18-79")</f>
        <v>18-79</v>
      </c>
      <c r="D436" s="3">
        <f>IFERROR(__xludf.DUMMYFUNCTION("SPLIT(B436, ""-"")"),18.0)</f>
        <v>18</v>
      </c>
      <c r="E436" s="3">
        <f>IFERROR(__xludf.DUMMYFUNCTION("""COMPUTED_VALUE"""),77.0)</f>
        <v>77</v>
      </c>
      <c r="F436" s="3">
        <f>IFERROR(__xludf.DUMMYFUNCTION("SPLIT(C436, ""-"")"),18.0)</f>
        <v>18</v>
      </c>
      <c r="G436" s="3">
        <f>IFERROR(__xludf.DUMMYFUNCTION("""COMPUTED_VALUE"""),79.0)</f>
        <v>79</v>
      </c>
      <c r="I436" s="3" t="str">
        <f t="shared" si="1"/>
        <v>y</v>
      </c>
      <c r="J436" s="3" t="str">
        <f t="shared" si="2"/>
        <v/>
      </c>
      <c r="K436" s="3" t="str">
        <f t="shared" si="3"/>
        <v>y</v>
      </c>
      <c r="L436" s="3" t="str">
        <f t="shared" si="4"/>
        <v>y</v>
      </c>
      <c r="N436" s="3" t="str">
        <f t="shared" si="5"/>
        <v/>
      </c>
      <c r="O436" s="3">
        <f t="shared" si="6"/>
        <v>1</v>
      </c>
      <c r="Q436" s="3">
        <f t="shared" si="7"/>
        <v>1</v>
      </c>
      <c r="U436" s="3" t="str">
        <f t="shared" si="8"/>
        <v>Överlapp</v>
      </c>
      <c r="V436" s="3" t="str">
        <f t="shared" si="9"/>
        <v>Överlapp</v>
      </c>
      <c r="W436" s="3" t="str">
        <f t="shared" si="10"/>
        <v>Överlapp</v>
      </c>
      <c r="X436" s="3" t="str">
        <f t="shared" si="11"/>
        <v/>
      </c>
    </row>
    <row r="437">
      <c r="A437" s="1" t="s">
        <v>442</v>
      </c>
      <c r="B437" s="3" t="str">
        <f>IFERROR(__xludf.DUMMYFUNCTION("SPLIT(A437, "","")"),"57-57")</f>
        <v>57-57</v>
      </c>
      <c r="C437" s="3" t="str">
        <f>IFERROR(__xludf.DUMMYFUNCTION("""COMPUTED_VALUE"""),"58-58")</f>
        <v>58-58</v>
      </c>
      <c r="D437" s="3">
        <f>IFERROR(__xludf.DUMMYFUNCTION("SPLIT(B437, ""-"")"),57.0)</f>
        <v>57</v>
      </c>
      <c r="E437" s="3">
        <f>IFERROR(__xludf.DUMMYFUNCTION("""COMPUTED_VALUE"""),57.0)</f>
        <v>57</v>
      </c>
      <c r="F437" s="3">
        <f>IFERROR(__xludf.DUMMYFUNCTION("SPLIT(C437, ""-"")"),58.0)</f>
        <v>58</v>
      </c>
      <c r="G437" s="3">
        <f>IFERROR(__xludf.DUMMYFUNCTION("""COMPUTED_VALUE"""),58.0)</f>
        <v>58</v>
      </c>
      <c r="I437" s="3" t="str">
        <f t="shared" si="1"/>
        <v>y</v>
      </c>
      <c r="J437" s="3" t="str">
        <f t="shared" si="2"/>
        <v/>
      </c>
      <c r="K437" s="3" t="str">
        <f t="shared" si="3"/>
        <v/>
      </c>
      <c r="L437" s="3" t="str">
        <f t="shared" si="4"/>
        <v>y</v>
      </c>
      <c r="N437" s="3" t="str">
        <f t="shared" si="5"/>
        <v/>
      </c>
      <c r="O437" s="3" t="str">
        <f t="shared" si="6"/>
        <v/>
      </c>
      <c r="Q437" s="3" t="str">
        <f t="shared" si="7"/>
        <v/>
      </c>
      <c r="U437" s="3">
        <f t="shared" si="8"/>
        <v>1</v>
      </c>
      <c r="V437" s="3">
        <f t="shared" si="9"/>
        <v>1</v>
      </c>
      <c r="W437" s="3" t="str">
        <f t="shared" si="10"/>
        <v>Överlapp</v>
      </c>
      <c r="X437" s="3">
        <f t="shared" si="11"/>
        <v>1</v>
      </c>
    </row>
    <row r="438">
      <c r="A438" s="1" t="s">
        <v>443</v>
      </c>
      <c r="B438" s="3" t="str">
        <f>IFERROR(__xludf.DUMMYFUNCTION("SPLIT(A438, "","")"),"66-98")</f>
        <v>66-98</v>
      </c>
      <c r="C438" s="3" t="str">
        <f>IFERROR(__xludf.DUMMYFUNCTION("""COMPUTED_VALUE"""),"66-86")</f>
        <v>66-86</v>
      </c>
      <c r="D438" s="3">
        <f>IFERROR(__xludf.DUMMYFUNCTION("SPLIT(B438, ""-"")"),66.0)</f>
        <v>66</v>
      </c>
      <c r="E438" s="3">
        <f>IFERROR(__xludf.DUMMYFUNCTION("""COMPUTED_VALUE"""),98.0)</f>
        <v>98</v>
      </c>
      <c r="F438" s="3">
        <f>IFERROR(__xludf.DUMMYFUNCTION("SPLIT(C438, ""-"")"),66.0)</f>
        <v>66</v>
      </c>
      <c r="G438" s="3">
        <f>IFERROR(__xludf.DUMMYFUNCTION("""COMPUTED_VALUE"""),86.0)</f>
        <v>86</v>
      </c>
      <c r="I438" s="3" t="str">
        <f t="shared" si="1"/>
        <v>y</v>
      </c>
      <c r="J438" s="3" t="str">
        <f t="shared" si="2"/>
        <v>y</v>
      </c>
      <c r="K438" s="3" t="str">
        <f t="shared" si="3"/>
        <v>y</v>
      </c>
      <c r="L438" s="3" t="str">
        <f t="shared" si="4"/>
        <v/>
      </c>
      <c r="N438" s="3">
        <f t="shared" si="5"/>
        <v>1</v>
      </c>
      <c r="O438" s="3" t="str">
        <f t="shared" si="6"/>
        <v/>
      </c>
      <c r="Q438" s="3">
        <f t="shared" si="7"/>
        <v>1</v>
      </c>
      <c r="U438" s="3" t="str">
        <f t="shared" si="8"/>
        <v>Överlapp</v>
      </c>
      <c r="V438" s="3" t="str">
        <f t="shared" si="9"/>
        <v>Överlapp</v>
      </c>
      <c r="W438" s="3" t="str">
        <f t="shared" si="10"/>
        <v>Överlapp</v>
      </c>
      <c r="X438" s="3" t="str">
        <f t="shared" si="11"/>
        <v/>
      </c>
    </row>
    <row r="439">
      <c r="A439" s="1" t="s">
        <v>444</v>
      </c>
      <c r="B439" s="3" t="str">
        <f>IFERROR(__xludf.DUMMYFUNCTION("SPLIT(A439, "","")"),"26-26")</f>
        <v>26-26</v>
      </c>
      <c r="C439" s="3" t="str">
        <f>IFERROR(__xludf.DUMMYFUNCTION("""COMPUTED_VALUE"""),"26-96")</f>
        <v>26-96</v>
      </c>
      <c r="D439" s="3">
        <f>IFERROR(__xludf.DUMMYFUNCTION("SPLIT(B439, ""-"")"),26.0)</f>
        <v>26</v>
      </c>
      <c r="E439" s="3">
        <f>IFERROR(__xludf.DUMMYFUNCTION("""COMPUTED_VALUE"""),26.0)</f>
        <v>26</v>
      </c>
      <c r="F439" s="3">
        <f>IFERROR(__xludf.DUMMYFUNCTION("SPLIT(C439, ""-"")"),26.0)</f>
        <v>26</v>
      </c>
      <c r="G439" s="3">
        <f>IFERROR(__xludf.DUMMYFUNCTION("""COMPUTED_VALUE"""),96.0)</f>
        <v>96</v>
      </c>
      <c r="I439" s="3" t="str">
        <f t="shared" si="1"/>
        <v>y</v>
      </c>
      <c r="J439" s="3" t="str">
        <f t="shared" si="2"/>
        <v/>
      </c>
      <c r="K439" s="3" t="str">
        <f t="shared" si="3"/>
        <v>y</v>
      </c>
      <c r="L439" s="3" t="str">
        <f t="shared" si="4"/>
        <v>y</v>
      </c>
      <c r="N439" s="3" t="str">
        <f t="shared" si="5"/>
        <v/>
      </c>
      <c r="O439" s="3">
        <f t="shared" si="6"/>
        <v>1</v>
      </c>
      <c r="Q439" s="3">
        <f t="shared" si="7"/>
        <v>1</v>
      </c>
      <c r="U439" s="3" t="str">
        <f t="shared" si="8"/>
        <v>Överlapp</v>
      </c>
      <c r="V439" s="3" t="str">
        <f t="shared" si="9"/>
        <v>Överlapp</v>
      </c>
      <c r="W439" s="3" t="str">
        <f t="shared" si="10"/>
        <v>Överlapp</v>
      </c>
      <c r="X439" s="3" t="str">
        <f t="shared" si="11"/>
        <v/>
      </c>
    </row>
    <row r="440">
      <c r="A440" s="1" t="s">
        <v>445</v>
      </c>
      <c r="B440" s="3" t="str">
        <f>IFERROR(__xludf.DUMMYFUNCTION("SPLIT(A440, "","")"),"44-48")</f>
        <v>44-48</v>
      </c>
      <c r="C440" s="3" t="str">
        <f>IFERROR(__xludf.DUMMYFUNCTION("""COMPUTED_VALUE"""),"43-49")</f>
        <v>43-49</v>
      </c>
      <c r="D440" s="3">
        <f>IFERROR(__xludf.DUMMYFUNCTION("SPLIT(B440, ""-"")"),44.0)</f>
        <v>44</v>
      </c>
      <c r="E440" s="3">
        <f>IFERROR(__xludf.DUMMYFUNCTION("""COMPUTED_VALUE"""),48.0)</f>
        <v>48</v>
      </c>
      <c r="F440" s="3">
        <f>IFERROR(__xludf.DUMMYFUNCTION("SPLIT(C440, ""-"")"),43.0)</f>
        <v>43</v>
      </c>
      <c r="G440" s="3">
        <f>IFERROR(__xludf.DUMMYFUNCTION("""COMPUTED_VALUE"""),49.0)</f>
        <v>49</v>
      </c>
      <c r="I440" s="3" t="str">
        <f t="shared" si="1"/>
        <v/>
      </c>
      <c r="J440" s="3" t="str">
        <f t="shared" si="2"/>
        <v/>
      </c>
      <c r="K440" s="3" t="str">
        <f t="shared" si="3"/>
        <v>y</v>
      </c>
      <c r="L440" s="3" t="str">
        <f t="shared" si="4"/>
        <v>y</v>
      </c>
      <c r="N440" s="3" t="str">
        <f t="shared" si="5"/>
        <v/>
      </c>
      <c r="O440" s="3">
        <f t="shared" si="6"/>
        <v>1</v>
      </c>
      <c r="Q440" s="3">
        <f t="shared" si="7"/>
        <v>1</v>
      </c>
      <c r="U440" s="3">
        <f t="shared" si="8"/>
        <v>1</v>
      </c>
      <c r="V440" s="3" t="str">
        <f t="shared" si="9"/>
        <v>Överlapp</v>
      </c>
      <c r="W440" s="3" t="str">
        <f t="shared" si="10"/>
        <v>Överlapp</v>
      </c>
      <c r="X440" s="3" t="str">
        <f t="shared" si="11"/>
        <v/>
      </c>
    </row>
    <row r="441">
      <c r="A441" s="1" t="s">
        <v>446</v>
      </c>
      <c r="B441" s="3" t="str">
        <f>IFERROR(__xludf.DUMMYFUNCTION("SPLIT(A441, "","")"),"5-21")</f>
        <v>5-21</v>
      </c>
      <c r="C441" s="3" t="str">
        <f>IFERROR(__xludf.DUMMYFUNCTION("""COMPUTED_VALUE"""),"12-68")</f>
        <v>12-68</v>
      </c>
      <c r="D441" s="3">
        <f>IFERROR(__xludf.DUMMYFUNCTION("SPLIT(B441, ""-"")"),5.0)</f>
        <v>5</v>
      </c>
      <c r="E441" s="3">
        <f>IFERROR(__xludf.DUMMYFUNCTION("""COMPUTED_VALUE"""),21.0)</f>
        <v>21</v>
      </c>
      <c r="F441" s="3">
        <f>IFERROR(__xludf.DUMMYFUNCTION("SPLIT(C441, ""-"")"),12.0)</f>
        <v>12</v>
      </c>
      <c r="G441" s="3">
        <f>IFERROR(__xludf.DUMMYFUNCTION("""COMPUTED_VALUE"""),68.0)</f>
        <v>68</v>
      </c>
      <c r="I441" s="3" t="str">
        <f t="shared" si="1"/>
        <v>y</v>
      </c>
      <c r="J441" s="3" t="str">
        <f t="shared" si="2"/>
        <v/>
      </c>
      <c r="K441" s="3" t="str">
        <f t="shared" si="3"/>
        <v/>
      </c>
      <c r="L441" s="3" t="str">
        <f t="shared" si="4"/>
        <v>y</v>
      </c>
      <c r="N441" s="3" t="str">
        <f t="shared" si="5"/>
        <v/>
      </c>
      <c r="O441" s="3" t="str">
        <f t="shared" si="6"/>
        <v/>
      </c>
      <c r="Q441" s="3" t="str">
        <f t="shared" si="7"/>
        <v/>
      </c>
      <c r="U441" s="3">
        <f t="shared" si="8"/>
        <v>1</v>
      </c>
      <c r="V441" s="3" t="str">
        <f t="shared" si="9"/>
        <v>Överlapp</v>
      </c>
      <c r="W441" s="3" t="str">
        <f t="shared" si="10"/>
        <v>Överlapp</v>
      </c>
      <c r="X441" s="3" t="str">
        <f t="shared" si="11"/>
        <v/>
      </c>
    </row>
    <row r="442">
      <c r="A442" s="1" t="s">
        <v>447</v>
      </c>
      <c r="B442" s="3" t="str">
        <f>IFERROR(__xludf.DUMMYFUNCTION("SPLIT(A442, "","")"),"1-99")</f>
        <v>1-99</v>
      </c>
      <c r="C442" s="3" t="str">
        <f>IFERROR(__xludf.DUMMYFUNCTION("""COMPUTED_VALUE"""),"99-99")</f>
        <v>99-99</v>
      </c>
      <c r="D442" s="3">
        <f>IFERROR(__xludf.DUMMYFUNCTION("SPLIT(B442, ""-"")"),1.0)</f>
        <v>1</v>
      </c>
      <c r="E442" s="3">
        <f>IFERROR(__xludf.DUMMYFUNCTION("""COMPUTED_VALUE"""),99.0)</f>
        <v>99</v>
      </c>
      <c r="F442" s="3">
        <f>IFERROR(__xludf.DUMMYFUNCTION("SPLIT(C442, ""-"")"),99.0)</f>
        <v>99</v>
      </c>
      <c r="G442" s="3">
        <f>IFERROR(__xludf.DUMMYFUNCTION("""COMPUTED_VALUE"""),99.0)</f>
        <v>99</v>
      </c>
      <c r="I442" s="3" t="str">
        <f t="shared" si="1"/>
        <v>y</v>
      </c>
      <c r="J442" s="3" t="str">
        <f t="shared" si="2"/>
        <v>y</v>
      </c>
      <c r="K442" s="3" t="str">
        <f t="shared" si="3"/>
        <v/>
      </c>
      <c r="L442" s="3" t="str">
        <f t="shared" si="4"/>
        <v>y</v>
      </c>
      <c r="N442" s="3">
        <f t="shared" si="5"/>
        <v>1</v>
      </c>
      <c r="O442" s="3" t="str">
        <f t="shared" si="6"/>
        <v/>
      </c>
      <c r="Q442" s="3">
        <f t="shared" si="7"/>
        <v>1</v>
      </c>
      <c r="U442" s="3" t="str">
        <f t="shared" si="8"/>
        <v>Överlapp</v>
      </c>
      <c r="V442" s="3" t="str">
        <f t="shared" si="9"/>
        <v>Överlapp</v>
      </c>
      <c r="W442" s="3" t="str">
        <f t="shared" si="10"/>
        <v>Överlapp</v>
      </c>
      <c r="X442" s="3" t="str">
        <f t="shared" si="11"/>
        <v/>
      </c>
    </row>
    <row r="443">
      <c r="A443" s="1" t="s">
        <v>448</v>
      </c>
      <c r="B443" s="3" t="str">
        <f>IFERROR(__xludf.DUMMYFUNCTION("SPLIT(A443, "","")"),"91-91")</f>
        <v>91-91</v>
      </c>
      <c r="C443" s="3" t="str">
        <f>IFERROR(__xludf.DUMMYFUNCTION("""COMPUTED_VALUE"""),"31-92")</f>
        <v>31-92</v>
      </c>
      <c r="D443" s="3">
        <f>IFERROR(__xludf.DUMMYFUNCTION("SPLIT(B443, ""-"")"),91.0)</f>
        <v>91</v>
      </c>
      <c r="E443" s="3">
        <f>IFERROR(__xludf.DUMMYFUNCTION("""COMPUTED_VALUE"""),91.0)</f>
        <v>91</v>
      </c>
      <c r="F443" s="3">
        <f>IFERROR(__xludf.DUMMYFUNCTION("SPLIT(C443, ""-"")"),31.0)</f>
        <v>31</v>
      </c>
      <c r="G443" s="3">
        <f>IFERROR(__xludf.DUMMYFUNCTION("""COMPUTED_VALUE"""),92.0)</f>
        <v>92</v>
      </c>
      <c r="I443" s="3" t="str">
        <f t="shared" si="1"/>
        <v/>
      </c>
      <c r="J443" s="3" t="str">
        <f t="shared" si="2"/>
        <v/>
      </c>
      <c r="K443" s="3" t="str">
        <f t="shared" si="3"/>
        <v>y</v>
      </c>
      <c r="L443" s="3" t="str">
        <f t="shared" si="4"/>
        <v>y</v>
      </c>
      <c r="N443" s="3" t="str">
        <f t="shared" si="5"/>
        <v/>
      </c>
      <c r="O443" s="3">
        <f t="shared" si="6"/>
        <v>1</v>
      </c>
      <c r="Q443" s="3">
        <f t="shared" si="7"/>
        <v>1</v>
      </c>
      <c r="U443" s="3">
        <f t="shared" si="8"/>
        <v>1</v>
      </c>
      <c r="V443" s="3" t="str">
        <f t="shared" si="9"/>
        <v>Överlapp</v>
      </c>
      <c r="W443" s="3" t="str">
        <f t="shared" si="10"/>
        <v>Överlapp</v>
      </c>
      <c r="X443" s="3" t="str">
        <f t="shared" si="11"/>
        <v/>
      </c>
    </row>
    <row r="444">
      <c r="A444" s="1" t="s">
        <v>449</v>
      </c>
      <c r="B444" s="3" t="str">
        <f>IFERROR(__xludf.DUMMYFUNCTION("SPLIT(A444, "","")"),"6-97")</f>
        <v>6-97</v>
      </c>
      <c r="C444" s="3" t="str">
        <f>IFERROR(__xludf.DUMMYFUNCTION("""COMPUTED_VALUE"""),"3-98")</f>
        <v>3-98</v>
      </c>
      <c r="D444" s="3">
        <f>IFERROR(__xludf.DUMMYFUNCTION("SPLIT(B444, ""-"")"),6.0)</f>
        <v>6</v>
      </c>
      <c r="E444" s="3">
        <f>IFERROR(__xludf.DUMMYFUNCTION("""COMPUTED_VALUE"""),97.0)</f>
        <v>97</v>
      </c>
      <c r="F444" s="3">
        <f>IFERROR(__xludf.DUMMYFUNCTION("SPLIT(C444, ""-"")"),3.0)</f>
        <v>3</v>
      </c>
      <c r="G444" s="3">
        <f>IFERROR(__xludf.DUMMYFUNCTION("""COMPUTED_VALUE"""),98.0)</f>
        <v>98</v>
      </c>
      <c r="I444" s="3" t="str">
        <f t="shared" si="1"/>
        <v/>
      </c>
      <c r="J444" s="3" t="str">
        <f t="shared" si="2"/>
        <v/>
      </c>
      <c r="K444" s="3" t="str">
        <f t="shared" si="3"/>
        <v>y</v>
      </c>
      <c r="L444" s="3" t="str">
        <f t="shared" si="4"/>
        <v>y</v>
      </c>
      <c r="N444" s="3" t="str">
        <f t="shared" si="5"/>
        <v/>
      </c>
      <c r="O444" s="3">
        <f t="shared" si="6"/>
        <v>1</v>
      </c>
      <c r="Q444" s="3">
        <f t="shared" si="7"/>
        <v>1</v>
      </c>
      <c r="U444" s="3">
        <f t="shared" si="8"/>
        <v>1</v>
      </c>
      <c r="V444" s="3" t="str">
        <f t="shared" si="9"/>
        <v>Överlapp</v>
      </c>
      <c r="W444" s="3" t="str">
        <f t="shared" si="10"/>
        <v>Överlapp</v>
      </c>
      <c r="X444" s="3" t="str">
        <f t="shared" si="11"/>
        <v/>
      </c>
    </row>
    <row r="445">
      <c r="A445" s="1" t="s">
        <v>450</v>
      </c>
      <c r="B445" s="3" t="str">
        <f>IFERROR(__xludf.DUMMYFUNCTION("SPLIT(A445, "","")"),"6-94")</f>
        <v>6-94</v>
      </c>
      <c r="C445" s="4">
        <f>IFERROR(__xludf.DUMMYFUNCTION("""COMPUTED_VALUE"""),44718.0)</f>
        <v>44718</v>
      </c>
      <c r="D445" s="3">
        <f>IFERROR(__xludf.DUMMYFUNCTION("SPLIT(B445, ""-"")"),6.0)</f>
        <v>6</v>
      </c>
      <c r="E445" s="3">
        <f>IFERROR(__xludf.DUMMYFUNCTION("""COMPUTED_VALUE"""),94.0)</f>
        <v>94</v>
      </c>
      <c r="F445" s="3">
        <f>IFERROR(__xludf.DUMMYFUNCTION("SPLIT(C445, ""-"")"),6.0)</f>
        <v>6</v>
      </c>
      <c r="G445" s="3">
        <f>IFERROR(__xludf.DUMMYFUNCTION("""COMPUTED_VALUE"""),6.0)</f>
        <v>6</v>
      </c>
      <c r="I445" s="3" t="str">
        <f t="shared" si="1"/>
        <v>y</v>
      </c>
      <c r="J445" s="3" t="str">
        <f t="shared" si="2"/>
        <v>y</v>
      </c>
      <c r="K445" s="3" t="str">
        <f t="shared" si="3"/>
        <v>y</v>
      </c>
      <c r="L445" s="3" t="str">
        <f t="shared" si="4"/>
        <v/>
      </c>
      <c r="N445" s="3">
        <f t="shared" si="5"/>
        <v>1</v>
      </c>
      <c r="O445" s="3" t="str">
        <f t="shared" si="6"/>
        <v/>
      </c>
      <c r="Q445" s="3">
        <f t="shared" si="7"/>
        <v>1</v>
      </c>
      <c r="U445" s="3" t="str">
        <f t="shared" si="8"/>
        <v>Överlapp</v>
      </c>
      <c r="V445" s="3" t="str">
        <f t="shared" si="9"/>
        <v>Överlapp</v>
      </c>
      <c r="W445" s="3" t="str">
        <f t="shared" si="10"/>
        <v>Överlapp</v>
      </c>
      <c r="X445" s="3" t="str">
        <f t="shared" si="11"/>
        <v/>
      </c>
    </row>
    <row r="446">
      <c r="A446" s="1" t="s">
        <v>451</v>
      </c>
      <c r="B446" s="3" t="str">
        <f>IFERROR(__xludf.DUMMYFUNCTION("SPLIT(A446, "","")"),"8-89")</f>
        <v>8-89</v>
      </c>
      <c r="C446" s="3" t="str">
        <f>IFERROR(__xludf.DUMMYFUNCTION("""COMPUTED_VALUE"""),"8-49")</f>
        <v>8-49</v>
      </c>
      <c r="D446" s="3">
        <f>IFERROR(__xludf.DUMMYFUNCTION("SPLIT(B446, ""-"")"),8.0)</f>
        <v>8</v>
      </c>
      <c r="E446" s="3">
        <f>IFERROR(__xludf.DUMMYFUNCTION("""COMPUTED_VALUE"""),89.0)</f>
        <v>89</v>
      </c>
      <c r="F446" s="3">
        <f>IFERROR(__xludf.DUMMYFUNCTION("SPLIT(C446, ""-"")"),8.0)</f>
        <v>8</v>
      </c>
      <c r="G446" s="3">
        <f>IFERROR(__xludf.DUMMYFUNCTION("""COMPUTED_VALUE"""),49.0)</f>
        <v>49</v>
      </c>
      <c r="I446" s="3" t="str">
        <f t="shared" si="1"/>
        <v>y</v>
      </c>
      <c r="J446" s="3" t="str">
        <f t="shared" si="2"/>
        <v>y</v>
      </c>
      <c r="K446" s="3" t="str">
        <f t="shared" si="3"/>
        <v>y</v>
      </c>
      <c r="L446" s="3" t="str">
        <f t="shared" si="4"/>
        <v/>
      </c>
      <c r="N446" s="3">
        <f t="shared" si="5"/>
        <v>1</v>
      </c>
      <c r="O446" s="3" t="str">
        <f t="shared" si="6"/>
        <v/>
      </c>
      <c r="Q446" s="3">
        <f t="shared" si="7"/>
        <v>1</v>
      </c>
      <c r="U446" s="3" t="str">
        <f t="shared" si="8"/>
        <v>Överlapp</v>
      </c>
      <c r="V446" s="3" t="str">
        <f t="shared" si="9"/>
        <v>Överlapp</v>
      </c>
      <c r="W446" s="3" t="str">
        <f t="shared" si="10"/>
        <v>Överlapp</v>
      </c>
      <c r="X446" s="3" t="str">
        <f t="shared" si="11"/>
        <v/>
      </c>
    </row>
    <row r="447">
      <c r="A447" s="1" t="s">
        <v>452</v>
      </c>
      <c r="B447" s="3" t="str">
        <f>IFERROR(__xludf.DUMMYFUNCTION("SPLIT(A447, "","")"),"5-94")</f>
        <v>5-94</v>
      </c>
      <c r="C447" s="3" t="str">
        <f>IFERROR(__xludf.DUMMYFUNCTION("""COMPUTED_VALUE"""),"4-95")</f>
        <v>4-95</v>
      </c>
      <c r="D447" s="3">
        <f>IFERROR(__xludf.DUMMYFUNCTION("SPLIT(B447, ""-"")"),5.0)</f>
        <v>5</v>
      </c>
      <c r="E447" s="3">
        <f>IFERROR(__xludf.DUMMYFUNCTION("""COMPUTED_VALUE"""),94.0)</f>
        <v>94</v>
      </c>
      <c r="F447" s="3">
        <f>IFERROR(__xludf.DUMMYFUNCTION("SPLIT(C447, ""-"")"),4.0)</f>
        <v>4</v>
      </c>
      <c r="G447" s="3">
        <f>IFERROR(__xludf.DUMMYFUNCTION("""COMPUTED_VALUE"""),95.0)</f>
        <v>95</v>
      </c>
      <c r="I447" s="3" t="str">
        <f t="shared" si="1"/>
        <v/>
      </c>
      <c r="J447" s="3" t="str">
        <f t="shared" si="2"/>
        <v/>
      </c>
      <c r="K447" s="3" t="str">
        <f t="shared" si="3"/>
        <v>y</v>
      </c>
      <c r="L447" s="3" t="str">
        <f t="shared" si="4"/>
        <v>y</v>
      </c>
      <c r="N447" s="3" t="str">
        <f t="shared" si="5"/>
        <v/>
      </c>
      <c r="O447" s="3">
        <f t="shared" si="6"/>
        <v>1</v>
      </c>
      <c r="Q447" s="3">
        <f t="shared" si="7"/>
        <v>1</v>
      </c>
      <c r="U447" s="3">
        <f t="shared" si="8"/>
        <v>1</v>
      </c>
      <c r="V447" s="3" t="str">
        <f t="shared" si="9"/>
        <v>Överlapp</v>
      </c>
      <c r="W447" s="3" t="str">
        <f t="shared" si="10"/>
        <v>Överlapp</v>
      </c>
      <c r="X447" s="3" t="str">
        <f t="shared" si="11"/>
        <v/>
      </c>
    </row>
    <row r="448">
      <c r="A448" s="1" t="s">
        <v>453</v>
      </c>
      <c r="B448" s="3" t="str">
        <f>IFERROR(__xludf.DUMMYFUNCTION("SPLIT(A448, "","")"),"33-42")</f>
        <v>33-42</v>
      </c>
      <c r="C448" s="3" t="str">
        <f>IFERROR(__xludf.DUMMYFUNCTION("""COMPUTED_VALUE"""),"34-41")</f>
        <v>34-41</v>
      </c>
      <c r="D448" s="3">
        <f>IFERROR(__xludf.DUMMYFUNCTION("SPLIT(B448, ""-"")"),33.0)</f>
        <v>33</v>
      </c>
      <c r="E448" s="3">
        <f>IFERROR(__xludf.DUMMYFUNCTION("""COMPUTED_VALUE"""),42.0)</f>
        <v>42</v>
      </c>
      <c r="F448" s="3">
        <f>IFERROR(__xludf.DUMMYFUNCTION("SPLIT(C448, ""-"")"),34.0)</f>
        <v>34</v>
      </c>
      <c r="G448" s="3">
        <f>IFERROR(__xludf.DUMMYFUNCTION("""COMPUTED_VALUE"""),41.0)</f>
        <v>41</v>
      </c>
      <c r="I448" s="3" t="str">
        <f t="shared" si="1"/>
        <v>y</v>
      </c>
      <c r="J448" s="3" t="str">
        <f t="shared" si="2"/>
        <v>y</v>
      </c>
      <c r="K448" s="3" t="str">
        <f t="shared" si="3"/>
        <v/>
      </c>
      <c r="L448" s="3" t="str">
        <f t="shared" si="4"/>
        <v/>
      </c>
      <c r="N448" s="3">
        <f t="shared" si="5"/>
        <v>1</v>
      </c>
      <c r="O448" s="3" t="str">
        <f t="shared" si="6"/>
        <v/>
      </c>
      <c r="Q448" s="3">
        <f t="shared" si="7"/>
        <v>1</v>
      </c>
      <c r="U448" s="3">
        <f t="shared" si="8"/>
        <v>1</v>
      </c>
      <c r="V448" s="3" t="str">
        <f t="shared" si="9"/>
        <v>Överlapp</v>
      </c>
      <c r="W448" s="3" t="str">
        <f t="shared" si="10"/>
        <v>Överlapp</v>
      </c>
      <c r="X448" s="3" t="str">
        <f t="shared" si="11"/>
        <v/>
      </c>
    </row>
    <row r="449">
      <c r="A449" s="1" t="s">
        <v>454</v>
      </c>
      <c r="B449" s="3" t="str">
        <f>IFERROR(__xludf.DUMMYFUNCTION("SPLIT(A449, "","")"),"79-80")</f>
        <v>79-80</v>
      </c>
      <c r="C449" s="3" t="str">
        <f>IFERROR(__xludf.DUMMYFUNCTION("""COMPUTED_VALUE"""),"78-80")</f>
        <v>78-80</v>
      </c>
      <c r="D449" s="3">
        <f>IFERROR(__xludf.DUMMYFUNCTION("SPLIT(B449, ""-"")"),79.0)</f>
        <v>79</v>
      </c>
      <c r="E449" s="3">
        <f>IFERROR(__xludf.DUMMYFUNCTION("""COMPUTED_VALUE"""),80.0)</f>
        <v>80</v>
      </c>
      <c r="F449" s="3">
        <f>IFERROR(__xludf.DUMMYFUNCTION("SPLIT(C449, ""-"")"),78.0)</f>
        <v>78</v>
      </c>
      <c r="G449" s="3">
        <f>IFERROR(__xludf.DUMMYFUNCTION("""COMPUTED_VALUE"""),80.0)</f>
        <v>80</v>
      </c>
      <c r="I449" s="3" t="str">
        <f t="shared" si="1"/>
        <v/>
      </c>
      <c r="J449" s="3" t="str">
        <f t="shared" si="2"/>
        <v>y</v>
      </c>
      <c r="K449" s="3" t="str">
        <f t="shared" si="3"/>
        <v>y</v>
      </c>
      <c r="L449" s="3" t="str">
        <f t="shared" si="4"/>
        <v>y</v>
      </c>
      <c r="N449" s="3" t="str">
        <f t="shared" si="5"/>
        <v/>
      </c>
      <c r="O449" s="3">
        <f t="shared" si="6"/>
        <v>1</v>
      </c>
      <c r="Q449" s="3">
        <f t="shared" si="7"/>
        <v>1</v>
      </c>
      <c r="U449" s="3" t="str">
        <f t="shared" si="8"/>
        <v>Överlapp</v>
      </c>
      <c r="V449" s="3" t="str">
        <f t="shared" si="9"/>
        <v>Överlapp</v>
      </c>
      <c r="W449" s="3" t="str">
        <f t="shared" si="10"/>
        <v>Överlapp</v>
      </c>
      <c r="X449" s="3" t="str">
        <f t="shared" si="11"/>
        <v/>
      </c>
    </row>
    <row r="450">
      <c r="A450" s="1" t="s">
        <v>455</v>
      </c>
      <c r="B450" s="3" t="str">
        <f>IFERROR(__xludf.DUMMYFUNCTION("SPLIT(A450, "","")"),"12-95")</f>
        <v>12-95</v>
      </c>
      <c r="C450" s="3" t="str">
        <f>IFERROR(__xludf.DUMMYFUNCTION("""COMPUTED_VALUE"""),"99-99")</f>
        <v>99-99</v>
      </c>
      <c r="D450" s="3">
        <f>IFERROR(__xludf.DUMMYFUNCTION("SPLIT(B450, ""-"")"),12.0)</f>
        <v>12</v>
      </c>
      <c r="E450" s="3">
        <f>IFERROR(__xludf.DUMMYFUNCTION("""COMPUTED_VALUE"""),95.0)</f>
        <v>95</v>
      </c>
      <c r="F450" s="3">
        <f>IFERROR(__xludf.DUMMYFUNCTION("SPLIT(C450, ""-"")"),99.0)</f>
        <v>99</v>
      </c>
      <c r="G450" s="3">
        <f>IFERROR(__xludf.DUMMYFUNCTION("""COMPUTED_VALUE"""),99.0)</f>
        <v>99</v>
      </c>
      <c r="I450" s="3" t="str">
        <f t="shared" si="1"/>
        <v>y</v>
      </c>
      <c r="J450" s="3" t="str">
        <f t="shared" si="2"/>
        <v/>
      </c>
      <c r="K450" s="3" t="str">
        <f t="shared" si="3"/>
        <v/>
      </c>
      <c r="L450" s="3" t="str">
        <f t="shared" si="4"/>
        <v>y</v>
      </c>
      <c r="N450" s="3" t="str">
        <f t="shared" si="5"/>
        <v/>
      </c>
      <c r="O450" s="3" t="str">
        <f t="shared" si="6"/>
        <v/>
      </c>
      <c r="Q450" s="3" t="str">
        <f t="shared" si="7"/>
        <v/>
      </c>
      <c r="U450" s="3">
        <f t="shared" si="8"/>
        <v>1</v>
      </c>
      <c r="V450" s="3">
        <f t="shared" si="9"/>
        <v>1</v>
      </c>
      <c r="W450" s="3" t="str">
        <f t="shared" si="10"/>
        <v>Överlapp</v>
      </c>
      <c r="X450" s="3">
        <f t="shared" si="11"/>
        <v>1</v>
      </c>
    </row>
    <row r="451">
      <c r="A451" s="1" t="s">
        <v>456</v>
      </c>
      <c r="B451" s="3" t="str">
        <f>IFERROR(__xludf.DUMMYFUNCTION("SPLIT(A451, "","")"),"66-66")</f>
        <v>66-66</v>
      </c>
      <c r="C451" s="3" t="str">
        <f>IFERROR(__xludf.DUMMYFUNCTION("""COMPUTED_VALUE"""),"53-66")</f>
        <v>53-66</v>
      </c>
      <c r="D451" s="3">
        <f>IFERROR(__xludf.DUMMYFUNCTION("SPLIT(B451, ""-"")"),66.0)</f>
        <v>66</v>
      </c>
      <c r="E451" s="3">
        <f>IFERROR(__xludf.DUMMYFUNCTION("""COMPUTED_VALUE"""),66.0)</f>
        <v>66</v>
      </c>
      <c r="F451" s="3">
        <f>IFERROR(__xludf.DUMMYFUNCTION("SPLIT(C451, ""-"")"),53.0)</f>
        <v>53</v>
      </c>
      <c r="G451" s="3">
        <f>IFERROR(__xludf.DUMMYFUNCTION("""COMPUTED_VALUE"""),66.0)</f>
        <v>66</v>
      </c>
      <c r="I451" s="3" t="str">
        <f t="shared" si="1"/>
        <v/>
      </c>
      <c r="J451" s="3" t="str">
        <f t="shared" si="2"/>
        <v>y</v>
      </c>
      <c r="K451" s="3" t="str">
        <f t="shared" si="3"/>
        <v>y</v>
      </c>
      <c r="L451" s="3" t="str">
        <f t="shared" si="4"/>
        <v>y</v>
      </c>
      <c r="N451" s="3" t="str">
        <f t="shared" si="5"/>
        <v/>
      </c>
      <c r="O451" s="3">
        <f t="shared" si="6"/>
        <v>1</v>
      </c>
      <c r="Q451" s="3">
        <f t="shared" si="7"/>
        <v>1</v>
      </c>
      <c r="U451" s="3" t="str">
        <f t="shared" si="8"/>
        <v>Överlapp</v>
      </c>
      <c r="V451" s="3" t="str">
        <f t="shared" si="9"/>
        <v>Överlapp</v>
      </c>
      <c r="W451" s="3" t="str">
        <f t="shared" si="10"/>
        <v>Överlapp</v>
      </c>
      <c r="X451" s="3" t="str">
        <f t="shared" si="11"/>
        <v/>
      </c>
    </row>
    <row r="452">
      <c r="A452" s="1" t="s">
        <v>457</v>
      </c>
      <c r="B452" s="3" t="str">
        <f>IFERROR(__xludf.DUMMYFUNCTION("SPLIT(A452, "","")"),"19-98")</f>
        <v>19-98</v>
      </c>
      <c r="C452" s="3" t="str">
        <f>IFERROR(__xludf.DUMMYFUNCTION("""COMPUTED_VALUE"""),"9-99")</f>
        <v>9-99</v>
      </c>
      <c r="D452" s="3">
        <f>IFERROR(__xludf.DUMMYFUNCTION("SPLIT(B452, ""-"")"),19.0)</f>
        <v>19</v>
      </c>
      <c r="E452" s="3">
        <f>IFERROR(__xludf.DUMMYFUNCTION("""COMPUTED_VALUE"""),98.0)</f>
        <v>98</v>
      </c>
      <c r="F452" s="3">
        <f>IFERROR(__xludf.DUMMYFUNCTION("SPLIT(C452, ""-"")"),9.0)</f>
        <v>9</v>
      </c>
      <c r="G452" s="3">
        <f>IFERROR(__xludf.DUMMYFUNCTION("""COMPUTED_VALUE"""),99.0)</f>
        <v>99</v>
      </c>
      <c r="I452" s="3" t="str">
        <f t="shared" si="1"/>
        <v/>
      </c>
      <c r="J452" s="3" t="str">
        <f t="shared" si="2"/>
        <v/>
      </c>
      <c r="K452" s="3" t="str">
        <f t="shared" si="3"/>
        <v>y</v>
      </c>
      <c r="L452" s="3" t="str">
        <f t="shared" si="4"/>
        <v>y</v>
      </c>
      <c r="N452" s="3" t="str">
        <f t="shared" si="5"/>
        <v/>
      </c>
      <c r="O452" s="3">
        <f t="shared" si="6"/>
        <v>1</v>
      </c>
      <c r="Q452" s="3">
        <f t="shared" si="7"/>
        <v>1</v>
      </c>
      <c r="U452" s="3">
        <f t="shared" si="8"/>
        <v>1</v>
      </c>
      <c r="V452" s="3" t="str">
        <f t="shared" si="9"/>
        <v>Överlapp</v>
      </c>
      <c r="W452" s="3" t="str">
        <f t="shared" si="10"/>
        <v>Överlapp</v>
      </c>
      <c r="X452" s="3" t="str">
        <f t="shared" si="11"/>
        <v/>
      </c>
    </row>
    <row r="453">
      <c r="A453" s="1" t="s">
        <v>458</v>
      </c>
      <c r="B453" s="3" t="str">
        <f>IFERROR(__xludf.DUMMYFUNCTION("SPLIT(A453, "","")"),"39-39")</f>
        <v>39-39</v>
      </c>
      <c r="C453" s="3" t="str">
        <f>IFERROR(__xludf.DUMMYFUNCTION("""COMPUTED_VALUE"""),"40-62")</f>
        <v>40-62</v>
      </c>
      <c r="D453" s="3">
        <f>IFERROR(__xludf.DUMMYFUNCTION("SPLIT(B453, ""-"")"),39.0)</f>
        <v>39</v>
      </c>
      <c r="E453" s="3">
        <f>IFERROR(__xludf.DUMMYFUNCTION("""COMPUTED_VALUE"""),39.0)</f>
        <v>39</v>
      </c>
      <c r="F453" s="3">
        <f>IFERROR(__xludf.DUMMYFUNCTION("SPLIT(C453, ""-"")"),40.0)</f>
        <v>40</v>
      </c>
      <c r="G453" s="3">
        <f>IFERROR(__xludf.DUMMYFUNCTION("""COMPUTED_VALUE"""),62.0)</f>
        <v>62</v>
      </c>
      <c r="I453" s="3" t="str">
        <f t="shared" si="1"/>
        <v>y</v>
      </c>
      <c r="J453" s="3" t="str">
        <f t="shared" si="2"/>
        <v/>
      </c>
      <c r="K453" s="3" t="str">
        <f t="shared" si="3"/>
        <v/>
      </c>
      <c r="L453" s="3" t="str">
        <f t="shared" si="4"/>
        <v>y</v>
      </c>
      <c r="N453" s="3" t="str">
        <f t="shared" si="5"/>
        <v/>
      </c>
      <c r="O453" s="3" t="str">
        <f t="shared" si="6"/>
        <v/>
      </c>
      <c r="Q453" s="3" t="str">
        <f t="shared" si="7"/>
        <v/>
      </c>
      <c r="U453" s="3">
        <f t="shared" si="8"/>
        <v>1</v>
      </c>
      <c r="V453" s="3">
        <f t="shared" si="9"/>
        <v>1</v>
      </c>
      <c r="W453" s="3" t="str">
        <f t="shared" si="10"/>
        <v>Överlapp</v>
      </c>
      <c r="X453" s="3">
        <f t="shared" si="11"/>
        <v>1</v>
      </c>
    </row>
    <row r="454">
      <c r="A454" s="1" t="s">
        <v>459</v>
      </c>
      <c r="B454" s="3" t="str">
        <f>IFERROR(__xludf.DUMMYFUNCTION("SPLIT(A454, "","")"),"29-71")</f>
        <v>29-71</v>
      </c>
      <c r="C454" s="3" t="str">
        <f>IFERROR(__xludf.DUMMYFUNCTION("""COMPUTED_VALUE"""),"4-83")</f>
        <v>4-83</v>
      </c>
      <c r="D454" s="3">
        <f>IFERROR(__xludf.DUMMYFUNCTION("SPLIT(B454, ""-"")"),29.0)</f>
        <v>29</v>
      </c>
      <c r="E454" s="3">
        <f>IFERROR(__xludf.DUMMYFUNCTION("""COMPUTED_VALUE"""),71.0)</f>
        <v>71</v>
      </c>
      <c r="F454" s="3">
        <f>IFERROR(__xludf.DUMMYFUNCTION("SPLIT(C454, ""-"")"),4.0)</f>
        <v>4</v>
      </c>
      <c r="G454" s="3">
        <f>IFERROR(__xludf.DUMMYFUNCTION("""COMPUTED_VALUE"""),83.0)</f>
        <v>83</v>
      </c>
      <c r="I454" s="3" t="str">
        <f t="shared" si="1"/>
        <v/>
      </c>
      <c r="J454" s="3" t="str">
        <f t="shared" si="2"/>
        <v/>
      </c>
      <c r="K454" s="3" t="str">
        <f t="shared" si="3"/>
        <v>y</v>
      </c>
      <c r="L454" s="3" t="str">
        <f t="shared" si="4"/>
        <v>y</v>
      </c>
      <c r="N454" s="3" t="str">
        <f t="shared" si="5"/>
        <v/>
      </c>
      <c r="O454" s="3">
        <f t="shared" si="6"/>
        <v>1</v>
      </c>
      <c r="Q454" s="3">
        <f t="shared" si="7"/>
        <v>1</v>
      </c>
      <c r="U454" s="3">
        <f t="shared" si="8"/>
        <v>1</v>
      </c>
      <c r="V454" s="3" t="str">
        <f t="shared" si="9"/>
        <v>Överlapp</v>
      </c>
      <c r="W454" s="3" t="str">
        <f t="shared" si="10"/>
        <v>Överlapp</v>
      </c>
      <c r="X454" s="3" t="str">
        <f t="shared" si="11"/>
        <v/>
      </c>
    </row>
    <row r="455">
      <c r="A455" s="1" t="s">
        <v>460</v>
      </c>
      <c r="B455" s="3" t="str">
        <f>IFERROR(__xludf.DUMMYFUNCTION("SPLIT(A455, "","")"),"24-59")</f>
        <v>24-59</v>
      </c>
      <c r="C455" s="3" t="str">
        <f>IFERROR(__xludf.DUMMYFUNCTION("""COMPUTED_VALUE"""),"24-57")</f>
        <v>24-57</v>
      </c>
      <c r="D455" s="3">
        <f>IFERROR(__xludf.DUMMYFUNCTION("SPLIT(B455, ""-"")"),24.0)</f>
        <v>24</v>
      </c>
      <c r="E455" s="3">
        <f>IFERROR(__xludf.DUMMYFUNCTION("""COMPUTED_VALUE"""),59.0)</f>
        <v>59</v>
      </c>
      <c r="F455" s="3">
        <f>IFERROR(__xludf.DUMMYFUNCTION("SPLIT(C455, ""-"")"),24.0)</f>
        <v>24</v>
      </c>
      <c r="G455" s="3">
        <f>IFERROR(__xludf.DUMMYFUNCTION("""COMPUTED_VALUE"""),57.0)</f>
        <v>57</v>
      </c>
      <c r="I455" s="3" t="str">
        <f t="shared" si="1"/>
        <v>y</v>
      </c>
      <c r="J455" s="3" t="str">
        <f t="shared" si="2"/>
        <v>y</v>
      </c>
      <c r="K455" s="3" t="str">
        <f t="shared" si="3"/>
        <v>y</v>
      </c>
      <c r="L455" s="3" t="str">
        <f t="shared" si="4"/>
        <v/>
      </c>
      <c r="N455" s="3">
        <f t="shared" si="5"/>
        <v>1</v>
      </c>
      <c r="O455" s="3" t="str">
        <f t="shared" si="6"/>
        <v/>
      </c>
      <c r="Q455" s="3">
        <f t="shared" si="7"/>
        <v>1</v>
      </c>
      <c r="U455" s="3" t="str">
        <f t="shared" si="8"/>
        <v>Överlapp</v>
      </c>
      <c r="V455" s="3" t="str">
        <f t="shared" si="9"/>
        <v>Överlapp</v>
      </c>
      <c r="W455" s="3" t="str">
        <f t="shared" si="10"/>
        <v>Överlapp</v>
      </c>
      <c r="X455" s="3" t="str">
        <f t="shared" si="11"/>
        <v/>
      </c>
    </row>
    <row r="456">
      <c r="A456" s="1" t="s">
        <v>461</v>
      </c>
      <c r="B456" s="3" t="str">
        <f>IFERROR(__xludf.DUMMYFUNCTION("SPLIT(A456, "","")"),"81-98")</f>
        <v>81-98</v>
      </c>
      <c r="C456" s="3" t="str">
        <f>IFERROR(__xludf.DUMMYFUNCTION("""COMPUTED_VALUE"""),"42-81")</f>
        <v>42-81</v>
      </c>
      <c r="D456" s="3">
        <f>IFERROR(__xludf.DUMMYFUNCTION("SPLIT(B456, ""-"")"),81.0)</f>
        <v>81</v>
      </c>
      <c r="E456" s="3">
        <f>IFERROR(__xludf.DUMMYFUNCTION("""COMPUTED_VALUE"""),98.0)</f>
        <v>98</v>
      </c>
      <c r="F456" s="3">
        <f>IFERROR(__xludf.DUMMYFUNCTION("SPLIT(C456, ""-"")"),42.0)</f>
        <v>42</v>
      </c>
      <c r="G456" s="3">
        <f>IFERROR(__xludf.DUMMYFUNCTION("""COMPUTED_VALUE"""),81.0)</f>
        <v>81</v>
      </c>
      <c r="I456" s="3" t="str">
        <f t="shared" si="1"/>
        <v/>
      </c>
      <c r="J456" s="3" t="str">
        <f t="shared" si="2"/>
        <v>y</v>
      </c>
      <c r="K456" s="3" t="str">
        <f t="shared" si="3"/>
        <v>y</v>
      </c>
      <c r="L456" s="3" t="str">
        <f t="shared" si="4"/>
        <v/>
      </c>
      <c r="N456" s="3" t="str">
        <f t="shared" si="5"/>
        <v/>
      </c>
      <c r="O456" s="3" t="str">
        <f t="shared" si="6"/>
        <v/>
      </c>
      <c r="Q456" s="3" t="str">
        <f t="shared" si="7"/>
        <v/>
      </c>
      <c r="U456" s="3" t="str">
        <f t="shared" si="8"/>
        <v>Överlapp</v>
      </c>
      <c r="V456" s="3" t="str">
        <f t="shared" si="9"/>
        <v>Överlapp</v>
      </c>
      <c r="W456" s="3" t="str">
        <f t="shared" si="10"/>
        <v>Överlapp</v>
      </c>
      <c r="X456" s="3" t="str">
        <f t="shared" si="11"/>
        <v/>
      </c>
    </row>
    <row r="457">
      <c r="A457" s="1" t="s">
        <v>462</v>
      </c>
      <c r="B457" s="3" t="str">
        <f>IFERROR(__xludf.DUMMYFUNCTION("SPLIT(A457, "","")"),"44-45")</f>
        <v>44-45</v>
      </c>
      <c r="C457" s="3" t="str">
        <f>IFERROR(__xludf.DUMMYFUNCTION("""COMPUTED_VALUE"""),"12-44")</f>
        <v>12-44</v>
      </c>
      <c r="D457" s="3">
        <f>IFERROR(__xludf.DUMMYFUNCTION("SPLIT(B457, ""-"")"),44.0)</f>
        <v>44</v>
      </c>
      <c r="E457" s="3">
        <f>IFERROR(__xludf.DUMMYFUNCTION("""COMPUTED_VALUE"""),45.0)</f>
        <v>45</v>
      </c>
      <c r="F457" s="3">
        <f>IFERROR(__xludf.DUMMYFUNCTION("SPLIT(C457, ""-"")"),12.0)</f>
        <v>12</v>
      </c>
      <c r="G457" s="3">
        <f>IFERROR(__xludf.DUMMYFUNCTION("""COMPUTED_VALUE"""),44.0)</f>
        <v>44</v>
      </c>
      <c r="I457" s="3" t="str">
        <f t="shared" si="1"/>
        <v/>
      </c>
      <c r="J457" s="3" t="str">
        <f t="shared" si="2"/>
        <v>y</v>
      </c>
      <c r="K457" s="3" t="str">
        <f t="shared" si="3"/>
        <v>y</v>
      </c>
      <c r="L457" s="3" t="str">
        <f t="shared" si="4"/>
        <v/>
      </c>
      <c r="N457" s="3" t="str">
        <f t="shared" si="5"/>
        <v/>
      </c>
      <c r="O457" s="3" t="str">
        <f t="shared" si="6"/>
        <v/>
      </c>
      <c r="Q457" s="3" t="str">
        <f t="shared" si="7"/>
        <v/>
      </c>
      <c r="U457" s="3" t="str">
        <f t="shared" si="8"/>
        <v>Överlapp</v>
      </c>
      <c r="V457" s="3" t="str">
        <f t="shared" si="9"/>
        <v>Överlapp</v>
      </c>
      <c r="W457" s="3" t="str">
        <f t="shared" si="10"/>
        <v>Överlapp</v>
      </c>
      <c r="X457" s="3" t="str">
        <f t="shared" si="11"/>
        <v/>
      </c>
    </row>
    <row r="458">
      <c r="A458" s="1" t="s">
        <v>463</v>
      </c>
      <c r="B458" s="3" t="str">
        <f>IFERROR(__xludf.DUMMYFUNCTION("SPLIT(A458, "","")"),"2-97")</f>
        <v>2-97</v>
      </c>
      <c r="C458" s="3" t="str">
        <f>IFERROR(__xludf.DUMMYFUNCTION("""COMPUTED_VALUE"""),"97-97")</f>
        <v>97-97</v>
      </c>
      <c r="D458" s="3">
        <f>IFERROR(__xludf.DUMMYFUNCTION("SPLIT(B458, ""-"")"),2.0)</f>
        <v>2</v>
      </c>
      <c r="E458" s="3">
        <f>IFERROR(__xludf.DUMMYFUNCTION("""COMPUTED_VALUE"""),97.0)</f>
        <v>97</v>
      </c>
      <c r="F458" s="3">
        <f>IFERROR(__xludf.DUMMYFUNCTION("SPLIT(C458, ""-"")"),97.0)</f>
        <v>97</v>
      </c>
      <c r="G458" s="3">
        <f>IFERROR(__xludf.DUMMYFUNCTION("""COMPUTED_VALUE"""),97.0)</f>
        <v>97</v>
      </c>
      <c r="I458" s="3" t="str">
        <f t="shared" si="1"/>
        <v>y</v>
      </c>
      <c r="J458" s="3" t="str">
        <f t="shared" si="2"/>
        <v>y</v>
      </c>
      <c r="K458" s="3" t="str">
        <f t="shared" si="3"/>
        <v/>
      </c>
      <c r="L458" s="3" t="str">
        <f t="shared" si="4"/>
        <v>y</v>
      </c>
      <c r="N458" s="3">
        <f t="shared" si="5"/>
        <v>1</v>
      </c>
      <c r="O458" s="3" t="str">
        <f t="shared" si="6"/>
        <v/>
      </c>
      <c r="Q458" s="3">
        <f t="shared" si="7"/>
        <v>1</v>
      </c>
      <c r="U458" s="3" t="str">
        <f t="shared" si="8"/>
        <v>Överlapp</v>
      </c>
      <c r="V458" s="3" t="str">
        <f t="shared" si="9"/>
        <v>Överlapp</v>
      </c>
      <c r="W458" s="3" t="str">
        <f t="shared" si="10"/>
        <v>Överlapp</v>
      </c>
      <c r="X458" s="3" t="str">
        <f t="shared" si="11"/>
        <v/>
      </c>
    </row>
    <row r="459">
      <c r="A459" s="1" t="s">
        <v>464</v>
      </c>
      <c r="B459" s="3" t="str">
        <f>IFERROR(__xludf.DUMMYFUNCTION("SPLIT(A459, "","")"),"5-80")</f>
        <v>5-80</v>
      </c>
      <c r="C459" s="3" t="str">
        <f>IFERROR(__xludf.DUMMYFUNCTION("""COMPUTED_VALUE"""),"4-47")</f>
        <v>4-47</v>
      </c>
      <c r="D459" s="3">
        <f>IFERROR(__xludf.DUMMYFUNCTION("SPLIT(B459, ""-"")"),5.0)</f>
        <v>5</v>
      </c>
      <c r="E459" s="3">
        <f>IFERROR(__xludf.DUMMYFUNCTION("""COMPUTED_VALUE"""),80.0)</f>
        <v>80</v>
      </c>
      <c r="F459" s="3">
        <f>IFERROR(__xludf.DUMMYFUNCTION("SPLIT(C459, ""-"")"),4.0)</f>
        <v>4</v>
      </c>
      <c r="G459" s="3">
        <f>IFERROR(__xludf.DUMMYFUNCTION("""COMPUTED_VALUE"""),47.0)</f>
        <v>47</v>
      </c>
      <c r="I459" s="3" t="str">
        <f t="shared" si="1"/>
        <v/>
      </c>
      <c r="J459" s="3" t="str">
        <f t="shared" si="2"/>
        <v>y</v>
      </c>
      <c r="K459" s="3" t="str">
        <f t="shared" si="3"/>
        <v>y</v>
      </c>
      <c r="L459" s="3" t="str">
        <f t="shared" si="4"/>
        <v/>
      </c>
      <c r="N459" s="3" t="str">
        <f t="shared" si="5"/>
        <v/>
      </c>
      <c r="O459" s="3" t="str">
        <f t="shared" si="6"/>
        <v/>
      </c>
      <c r="Q459" s="3" t="str">
        <f t="shared" si="7"/>
        <v/>
      </c>
      <c r="U459" s="3">
        <f t="shared" si="8"/>
        <v>1</v>
      </c>
      <c r="V459" s="3" t="str">
        <f t="shared" si="9"/>
        <v>Överlapp</v>
      </c>
      <c r="W459" s="3" t="str">
        <f t="shared" si="10"/>
        <v>Överlapp</v>
      </c>
      <c r="X459" s="3" t="str">
        <f t="shared" si="11"/>
        <v/>
      </c>
    </row>
    <row r="460">
      <c r="A460" s="1" t="s">
        <v>465</v>
      </c>
      <c r="B460" s="3" t="str">
        <f>IFERROR(__xludf.DUMMYFUNCTION("SPLIT(A460, "","")"),"14-81")</f>
        <v>14-81</v>
      </c>
      <c r="C460" s="3" t="str">
        <f>IFERROR(__xludf.DUMMYFUNCTION("""COMPUTED_VALUE"""),"14-81")</f>
        <v>14-81</v>
      </c>
      <c r="D460" s="3">
        <f>IFERROR(__xludf.DUMMYFUNCTION("SPLIT(B460, ""-"")"),14.0)</f>
        <v>14</v>
      </c>
      <c r="E460" s="3">
        <f>IFERROR(__xludf.DUMMYFUNCTION("""COMPUTED_VALUE"""),81.0)</f>
        <v>81</v>
      </c>
      <c r="F460" s="3">
        <f>IFERROR(__xludf.DUMMYFUNCTION("SPLIT(C460, ""-"")"),14.0)</f>
        <v>14</v>
      </c>
      <c r="G460" s="3">
        <f>IFERROR(__xludf.DUMMYFUNCTION("""COMPUTED_VALUE"""),81.0)</f>
        <v>81</v>
      </c>
      <c r="I460" s="3" t="str">
        <f t="shared" si="1"/>
        <v>y</v>
      </c>
      <c r="J460" s="3" t="str">
        <f t="shared" si="2"/>
        <v>y</v>
      </c>
      <c r="K460" s="3" t="str">
        <f t="shared" si="3"/>
        <v>y</v>
      </c>
      <c r="L460" s="3" t="str">
        <f t="shared" si="4"/>
        <v>y</v>
      </c>
      <c r="N460" s="3">
        <f t="shared" si="5"/>
        <v>1</v>
      </c>
      <c r="O460" s="3">
        <f t="shared" si="6"/>
        <v>1</v>
      </c>
      <c r="Q460" s="3">
        <f t="shared" si="7"/>
        <v>1</v>
      </c>
      <c r="U460" s="3" t="str">
        <f t="shared" si="8"/>
        <v>Överlapp</v>
      </c>
      <c r="V460" s="3" t="str">
        <f t="shared" si="9"/>
        <v>Överlapp</v>
      </c>
      <c r="W460" s="3" t="str">
        <f t="shared" si="10"/>
        <v>Överlapp</v>
      </c>
      <c r="X460" s="3" t="str">
        <f t="shared" si="11"/>
        <v/>
      </c>
    </row>
    <row r="461">
      <c r="A461" s="1" t="s">
        <v>466</v>
      </c>
      <c r="B461" s="3" t="str">
        <f>IFERROR(__xludf.DUMMYFUNCTION("SPLIT(A461, "","")"),"3-56")</f>
        <v>3-56</v>
      </c>
      <c r="C461" s="3" t="str">
        <f>IFERROR(__xludf.DUMMYFUNCTION("""COMPUTED_VALUE"""),"22-32")</f>
        <v>22-32</v>
      </c>
      <c r="D461" s="3">
        <f>IFERROR(__xludf.DUMMYFUNCTION("SPLIT(B461, ""-"")"),3.0)</f>
        <v>3</v>
      </c>
      <c r="E461" s="3">
        <f>IFERROR(__xludf.DUMMYFUNCTION("""COMPUTED_VALUE"""),56.0)</f>
        <v>56</v>
      </c>
      <c r="F461" s="3">
        <f>IFERROR(__xludf.DUMMYFUNCTION("SPLIT(C461, ""-"")"),22.0)</f>
        <v>22</v>
      </c>
      <c r="G461" s="3">
        <f>IFERROR(__xludf.DUMMYFUNCTION("""COMPUTED_VALUE"""),32.0)</f>
        <v>32</v>
      </c>
      <c r="I461" s="3" t="str">
        <f t="shared" si="1"/>
        <v>y</v>
      </c>
      <c r="J461" s="3" t="str">
        <f t="shared" si="2"/>
        <v>y</v>
      </c>
      <c r="K461" s="3" t="str">
        <f t="shared" si="3"/>
        <v/>
      </c>
      <c r="L461" s="3" t="str">
        <f t="shared" si="4"/>
        <v/>
      </c>
      <c r="N461" s="3">
        <f t="shared" si="5"/>
        <v>1</v>
      </c>
      <c r="O461" s="3" t="str">
        <f t="shared" si="6"/>
        <v/>
      </c>
      <c r="Q461" s="3">
        <f t="shared" si="7"/>
        <v>1</v>
      </c>
      <c r="U461" s="3">
        <f t="shared" si="8"/>
        <v>1</v>
      </c>
      <c r="V461" s="3" t="str">
        <f t="shared" si="9"/>
        <v>Överlapp</v>
      </c>
      <c r="W461" s="3" t="str">
        <f t="shared" si="10"/>
        <v>Överlapp</v>
      </c>
      <c r="X461" s="3" t="str">
        <f t="shared" si="11"/>
        <v/>
      </c>
    </row>
    <row r="462">
      <c r="A462" s="1" t="s">
        <v>467</v>
      </c>
      <c r="B462" s="3" t="str">
        <f>IFERROR(__xludf.DUMMYFUNCTION("SPLIT(A462, "","")"),"73-83")</f>
        <v>73-83</v>
      </c>
      <c r="C462" s="3" t="str">
        <f>IFERROR(__xludf.DUMMYFUNCTION("""COMPUTED_VALUE"""),"72-72")</f>
        <v>72-72</v>
      </c>
      <c r="D462" s="3">
        <f>IFERROR(__xludf.DUMMYFUNCTION("SPLIT(B462, ""-"")"),73.0)</f>
        <v>73</v>
      </c>
      <c r="E462" s="3">
        <f>IFERROR(__xludf.DUMMYFUNCTION("""COMPUTED_VALUE"""),83.0)</f>
        <v>83</v>
      </c>
      <c r="F462" s="3">
        <f>IFERROR(__xludf.DUMMYFUNCTION("SPLIT(C462, ""-"")"),72.0)</f>
        <v>72</v>
      </c>
      <c r="G462" s="3">
        <f>IFERROR(__xludf.DUMMYFUNCTION("""COMPUTED_VALUE"""),72.0)</f>
        <v>72</v>
      </c>
      <c r="I462" s="3" t="str">
        <f t="shared" si="1"/>
        <v/>
      </c>
      <c r="J462" s="3" t="str">
        <f t="shared" si="2"/>
        <v>y</v>
      </c>
      <c r="K462" s="3" t="str">
        <f t="shared" si="3"/>
        <v>y</v>
      </c>
      <c r="L462" s="3" t="str">
        <f t="shared" si="4"/>
        <v/>
      </c>
      <c r="N462" s="3" t="str">
        <f t="shared" si="5"/>
        <v/>
      </c>
      <c r="O462" s="3" t="str">
        <f t="shared" si="6"/>
        <v/>
      </c>
      <c r="Q462" s="3" t="str">
        <f t="shared" si="7"/>
        <v/>
      </c>
      <c r="U462" s="3">
        <f t="shared" si="8"/>
        <v>1</v>
      </c>
      <c r="V462" s="3" t="str">
        <f t="shared" si="9"/>
        <v>Överlapp</v>
      </c>
      <c r="W462" s="3">
        <f t="shared" si="10"/>
        <v>1</v>
      </c>
      <c r="X462" s="3">
        <f t="shared" si="11"/>
        <v>1</v>
      </c>
    </row>
    <row r="463">
      <c r="A463" s="1" t="s">
        <v>468</v>
      </c>
      <c r="B463" s="3" t="str">
        <f>IFERROR(__xludf.DUMMYFUNCTION("SPLIT(A463, "","")"),"7-26")</f>
        <v>7-26</v>
      </c>
      <c r="C463" s="3" t="str">
        <f>IFERROR(__xludf.DUMMYFUNCTION("""COMPUTED_VALUE"""),"26-27")</f>
        <v>26-27</v>
      </c>
      <c r="D463" s="3">
        <f>IFERROR(__xludf.DUMMYFUNCTION("SPLIT(B463, ""-"")"),7.0)</f>
        <v>7</v>
      </c>
      <c r="E463" s="3">
        <f>IFERROR(__xludf.DUMMYFUNCTION("""COMPUTED_VALUE"""),26.0)</f>
        <v>26</v>
      </c>
      <c r="F463" s="3">
        <f>IFERROR(__xludf.DUMMYFUNCTION("SPLIT(C463, ""-"")"),26.0)</f>
        <v>26</v>
      </c>
      <c r="G463" s="3">
        <f>IFERROR(__xludf.DUMMYFUNCTION("""COMPUTED_VALUE"""),27.0)</f>
        <v>27</v>
      </c>
      <c r="I463" s="3" t="str">
        <f t="shared" si="1"/>
        <v>y</v>
      </c>
      <c r="J463" s="3" t="str">
        <f t="shared" si="2"/>
        <v/>
      </c>
      <c r="K463" s="3" t="str">
        <f t="shared" si="3"/>
        <v/>
      </c>
      <c r="L463" s="3" t="str">
        <f t="shared" si="4"/>
        <v>y</v>
      </c>
      <c r="N463" s="3" t="str">
        <f t="shared" si="5"/>
        <v/>
      </c>
      <c r="O463" s="3" t="str">
        <f t="shared" si="6"/>
        <v/>
      </c>
      <c r="Q463" s="3" t="str">
        <f t="shared" si="7"/>
        <v/>
      </c>
      <c r="U463" s="3" t="str">
        <f t="shared" si="8"/>
        <v>Överlapp</v>
      </c>
      <c r="V463" s="3" t="str">
        <f t="shared" si="9"/>
        <v>Överlapp</v>
      </c>
      <c r="W463" s="3" t="str">
        <f t="shared" si="10"/>
        <v>Överlapp</v>
      </c>
      <c r="X463" s="3" t="str">
        <f t="shared" si="11"/>
        <v/>
      </c>
    </row>
    <row r="464">
      <c r="A464" s="1" t="s">
        <v>469</v>
      </c>
      <c r="B464" s="3" t="str">
        <f>IFERROR(__xludf.DUMMYFUNCTION("SPLIT(A464, "","")"),"92-96")</f>
        <v>92-96</v>
      </c>
      <c r="C464" s="3" t="str">
        <f>IFERROR(__xludf.DUMMYFUNCTION("""COMPUTED_VALUE"""),"58-93")</f>
        <v>58-93</v>
      </c>
      <c r="D464" s="3">
        <f>IFERROR(__xludf.DUMMYFUNCTION("SPLIT(B464, ""-"")"),92.0)</f>
        <v>92</v>
      </c>
      <c r="E464" s="3">
        <f>IFERROR(__xludf.DUMMYFUNCTION("""COMPUTED_VALUE"""),96.0)</f>
        <v>96</v>
      </c>
      <c r="F464" s="3">
        <f>IFERROR(__xludf.DUMMYFUNCTION("SPLIT(C464, ""-"")"),58.0)</f>
        <v>58</v>
      </c>
      <c r="G464" s="3">
        <f>IFERROR(__xludf.DUMMYFUNCTION("""COMPUTED_VALUE"""),93.0)</f>
        <v>93</v>
      </c>
      <c r="I464" s="3" t="str">
        <f t="shared" si="1"/>
        <v/>
      </c>
      <c r="J464" s="3" t="str">
        <f t="shared" si="2"/>
        <v>y</v>
      </c>
      <c r="K464" s="3" t="str">
        <f t="shared" si="3"/>
        <v>y</v>
      </c>
      <c r="L464" s="3" t="str">
        <f t="shared" si="4"/>
        <v/>
      </c>
      <c r="N464" s="3" t="str">
        <f t="shared" si="5"/>
        <v/>
      </c>
      <c r="O464" s="3" t="str">
        <f t="shared" si="6"/>
        <v/>
      </c>
      <c r="Q464" s="3" t="str">
        <f t="shared" si="7"/>
        <v/>
      </c>
      <c r="U464" s="3">
        <f t="shared" si="8"/>
        <v>1</v>
      </c>
      <c r="V464" s="3" t="str">
        <f t="shared" si="9"/>
        <v>Överlapp</v>
      </c>
      <c r="W464" s="3" t="str">
        <f t="shared" si="10"/>
        <v>Överlapp</v>
      </c>
      <c r="X464" s="3" t="str">
        <f t="shared" si="11"/>
        <v/>
      </c>
    </row>
    <row r="465">
      <c r="A465" s="1" t="s">
        <v>470</v>
      </c>
      <c r="B465" s="3" t="str">
        <f>IFERROR(__xludf.DUMMYFUNCTION("SPLIT(A465, "","")"),"10-90")</f>
        <v>10-90</v>
      </c>
      <c r="C465" s="3" t="str">
        <f>IFERROR(__xludf.DUMMYFUNCTION("""COMPUTED_VALUE"""),"42-91")</f>
        <v>42-91</v>
      </c>
      <c r="D465" s="3">
        <f>IFERROR(__xludf.DUMMYFUNCTION("SPLIT(B465, ""-"")"),10.0)</f>
        <v>10</v>
      </c>
      <c r="E465" s="3">
        <f>IFERROR(__xludf.DUMMYFUNCTION("""COMPUTED_VALUE"""),90.0)</f>
        <v>90</v>
      </c>
      <c r="F465" s="3">
        <f>IFERROR(__xludf.DUMMYFUNCTION("SPLIT(C465, ""-"")"),42.0)</f>
        <v>42</v>
      </c>
      <c r="G465" s="3">
        <f>IFERROR(__xludf.DUMMYFUNCTION("""COMPUTED_VALUE"""),91.0)</f>
        <v>91</v>
      </c>
      <c r="I465" s="3" t="str">
        <f t="shared" si="1"/>
        <v>y</v>
      </c>
      <c r="J465" s="3" t="str">
        <f t="shared" si="2"/>
        <v/>
      </c>
      <c r="K465" s="3" t="str">
        <f t="shared" si="3"/>
        <v/>
      </c>
      <c r="L465" s="3" t="str">
        <f t="shared" si="4"/>
        <v>y</v>
      </c>
      <c r="N465" s="3" t="str">
        <f t="shared" si="5"/>
        <v/>
      </c>
      <c r="O465" s="3" t="str">
        <f t="shared" si="6"/>
        <v/>
      </c>
      <c r="Q465" s="3" t="str">
        <f t="shared" si="7"/>
        <v/>
      </c>
      <c r="U465" s="3">
        <f t="shared" si="8"/>
        <v>1</v>
      </c>
      <c r="V465" s="3" t="str">
        <f t="shared" si="9"/>
        <v>Överlapp</v>
      </c>
      <c r="W465" s="3" t="str">
        <f t="shared" si="10"/>
        <v>Överlapp</v>
      </c>
      <c r="X465" s="3" t="str">
        <f t="shared" si="11"/>
        <v/>
      </c>
    </row>
    <row r="466">
      <c r="A466" s="1" t="s">
        <v>471</v>
      </c>
      <c r="B466" s="3" t="str">
        <f>IFERROR(__xludf.DUMMYFUNCTION("SPLIT(A466, "","")"),"22-32")</f>
        <v>22-32</v>
      </c>
      <c r="C466" s="3" t="str">
        <f>IFERROR(__xludf.DUMMYFUNCTION("""COMPUTED_VALUE"""),"22-33")</f>
        <v>22-33</v>
      </c>
      <c r="D466" s="3">
        <f>IFERROR(__xludf.DUMMYFUNCTION("SPLIT(B466, ""-"")"),22.0)</f>
        <v>22</v>
      </c>
      <c r="E466" s="3">
        <f>IFERROR(__xludf.DUMMYFUNCTION("""COMPUTED_VALUE"""),32.0)</f>
        <v>32</v>
      </c>
      <c r="F466" s="3">
        <f>IFERROR(__xludf.DUMMYFUNCTION("SPLIT(C466, ""-"")"),22.0)</f>
        <v>22</v>
      </c>
      <c r="G466" s="3">
        <f>IFERROR(__xludf.DUMMYFUNCTION("""COMPUTED_VALUE"""),33.0)</f>
        <v>33</v>
      </c>
      <c r="I466" s="3" t="str">
        <f t="shared" si="1"/>
        <v>y</v>
      </c>
      <c r="J466" s="3" t="str">
        <f t="shared" si="2"/>
        <v/>
      </c>
      <c r="K466" s="3" t="str">
        <f t="shared" si="3"/>
        <v>y</v>
      </c>
      <c r="L466" s="3" t="str">
        <f t="shared" si="4"/>
        <v>y</v>
      </c>
      <c r="N466" s="3" t="str">
        <f t="shared" si="5"/>
        <v/>
      </c>
      <c r="O466" s="3">
        <f t="shared" si="6"/>
        <v>1</v>
      </c>
      <c r="Q466" s="3">
        <f t="shared" si="7"/>
        <v>1</v>
      </c>
      <c r="U466" s="3" t="str">
        <f t="shared" si="8"/>
        <v>Överlapp</v>
      </c>
      <c r="V466" s="3" t="str">
        <f t="shared" si="9"/>
        <v>Överlapp</v>
      </c>
      <c r="W466" s="3" t="str">
        <f t="shared" si="10"/>
        <v>Överlapp</v>
      </c>
      <c r="X466" s="3" t="str">
        <f t="shared" si="11"/>
        <v/>
      </c>
    </row>
    <row r="467">
      <c r="A467" s="1" t="s">
        <v>472</v>
      </c>
      <c r="B467" s="3" t="str">
        <f>IFERROR(__xludf.DUMMYFUNCTION("SPLIT(A467, "","")"),"1-74")</f>
        <v>1-74</v>
      </c>
      <c r="C467" s="3" t="str">
        <f>IFERROR(__xludf.DUMMYFUNCTION("""COMPUTED_VALUE"""),"52-74")</f>
        <v>52-74</v>
      </c>
      <c r="D467" s="3">
        <f>IFERROR(__xludf.DUMMYFUNCTION("SPLIT(B467, ""-"")"),1.0)</f>
        <v>1</v>
      </c>
      <c r="E467" s="3">
        <f>IFERROR(__xludf.DUMMYFUNCTION("""COMPUTED_VALUE"""),74.0)</f>
        <v>74</v>
      </c>
      <c r="F467" s="3">
        <f>IFERROR(__xludf.DUMMYFUNCTION("SPLIT(C467, ""-"")"),52.0)</f>
        <v>52</v>
      </c>
      <c r="G467" s="3">
        <f>IFERROR(__xludf.DUMMYFUNCTION("""COMPUTED_VALUE"""),74.0)</f>
        <v>74</v>
      </c>
      <c r="I467" s="3" t="str">
        <f t="shared" si="1"/>
        <v>y</v>
      </c>
      <c r="J467" s="3" t="str">
        <f t="shared" si="2"/>
        <v>y</v>
      </c>
      <c r="K467" s="3" t="str">
        <f t="shared" si="3"/>
        <v/>
      </c>
      <c r="L467" s="3" t="str">
        <f t="shared" si="4"/>
        <v>y</v>
      </c>
      <c r="N467" s="3">
        <f t="shared" si="5"/>
        <v>1</v>
      </c>
      <c r="O467" s="3" t="str">
        <f t="shared" si="6"/>
        <v/>
      </c>
      <c r="Q467" s="3">
        <f t="shared" si="7"/>
        <v>1</v>
      </c>
      <c r="U467" s="3" t="str">
        <f t="shared" si="8"/>
        <v>Överlapp</v>
      </c>
      <c r="V467" s="3" t="str">
        <f t="shared" si="9"/>
        <v>Överlapp</v>
      </c>
      <c r="W467" s="3" t="str">
        <f t="shared" si="10"/>
        <v>Överlapp</v>
      </c>
      <c r="X467" s="3" t="str">
        <f t="shared" si="11"/>
        <v/>
      </c>
    </row>
    <row r="468">
      <c r="A468" s="1" t="s">
        <v>473</v>
      </c>
      <c r="B468" s="3" t="str">
        <f>IFERROR(__xludf.DUMMYFUNCTION("SPLIT(A468, "","")"),"40-91")</f>
        <v>40-91</v>
      </c>
      <c r="C468" s="3" t="str">
        <f>IFERROR(__xludf.DUMMYFUNCTION("""COMPUTED_VALUE"""),"40-92")</f>
        <v>40-92</v>
      </c>
      <c r="D468" s="3">
        <f>IFERROR(__xludf.DUMMYFUNCTION("SPLIT(B468, ""-"")"),40.0)</f>
        <v>40</v>
      </c>
      <c r="E468" s="3">
        <f>IFERROR(__xludf.DUMMYFUNCTION("""COMPUTED_VALUE"""),91.0)</f>
        <v>91</v>
      </c>
      <c r="F468" s="3">
        <f>IFERROR(__xludf.DUMMYFUNCTION("SPLIT(C468, ""-"")"),40.0)</f>
        <v>40</v>
      </c>
      <c r="G468" s="3">
        <f>IFERROR(__xludf.DUMMYFUNCTION("""COMPUTED_VALUE"""),92.0)</f>
        <v>92</v>
      </c>
      <c r="I468" s="3" t="str">
        <f t="shared" si="1"/>
        <v>y</v>
      </c>
      <c r="J468" s="3" t="str">
        <f t="shared" si="2"/>
        <v/>
      </c>
      <c r="K468" s="3" t="str">
        <f t="shared" si="3"/>
        <v>y</v>
      </c>
      <c r="L468" s="3" t="str">
        <f t="shared" si="4"/>
        <v>y</v>
      </c>
      <c r="N468" s="3" t="str">
        <f t="shared" si="5"/>
        <v/>
      </c>
      <c r="O468" s="3">
        <f t="shared" si="6"/>
        <v>1</v>
      </c>
      <c r="Q468" s="3">
        <f t="shared" si="7"/>
        <v>1</v>
      </c>
      <c r="U468" s="3" t="str">
        <f t="shared" si="8"/>
        <v>Överlapp</v>
      </c>
      <c r="V468" s="3" t="str">
        <f t="shared" si="9"/>
        <v>Överlapp</v>
      </c>
      <c r="W468" s="3" t="str">
        <f t="shared" si="10"/>
        <v>Överlapp</v>
      </c>
      <c r="X468" s="3" t="str">
        <f t="shared" si="11"/>
        <v/>
      </c>
    </row>
    <row r="469">
      <c r="A469" s="1" t="s">
        <v>474</v>
      </c>
      <c r="B469" s="3" t="str">
        <f>IFERROR(__xludf.DUMMYFUNCTION("SPLIT(A469, "","")"),"6-95")</f>
        <v>6-95</v>
      </c>
      <c r="C469" s="3" t="str">
        <f>IFERROR(__xludf.DUMMYFUNCTION("""COMPUTED_VALUE"""),"7-95")</f>
        <v>7-95</v>
      </c>
      <c r="D469" s="3">
        <f>IFERROR(__xludf.DUMMYFUNCTION("SPLIT(B469, ""-"")"),6.0)</f>
        <v>6</v>
      </c>
      <c r="E469" s="3">
        <f>IFERROR(__xludf.DUMMYFUNCTION("""COMPUTED_VALUE"""),95.0)</f>
        <v>95</v>
      </c>
      <c r="F469" s="3">
        <f>IFERROR(__xludf.DUMMYFUNCTION("SPLIT(C469, ""-"")"),7.0)</f>
        <v>7</v>
      </c>
      <c r="G469" s="3">
        <f>IFERROR(__xludf.DUMMYFUNCTION("""COMPUTED_VALUE"""),95.0)</f>
        <v>95</v>
      </c>
      <c r="I469" s="3" t="str">
        <f t="shared" si="1"/>
        <v>y</v>
      </c>
      <c r="J469" s="3" t="str">
        <f t="shared" si="2"/>
        <v>y</v>
      </c>
      <c r="K469" s="3" t="str">
        <f t="shared" si="3"/>
        <v/>
      </c>
      <c r="L469" s="3" t="str">
        <f t="shared" si="4"/>
        <v>y</v>
      </c>
      <c r="N469" s="3">
        <f t="shared" si="5"/>
        <v>1</v>
      </c>
      <c r="O469" s="3" t="str">
        <f t="shared" si="6"/>
        <v/>
      </c>
      <c r="Q469" s="3">
        <f t="shared" si="7"/>
        <v>1</v>
      </c>
      <c r="U469" s="3" t="str">
        <f t="shared" si="8"/>
        <v>Överlapp</v>
      </c>
      <c r="V469" s="3" t="str">
        <f t="shared" si="9"/>
        <v>Överlapp</v>
      </c>
      <c r="W469" s="3" t="str">
        <f t="shared" si="10"/>
        <v>Överlapp</v>
      </c>
      <c r="X469" s="3" t="str">
        <f t="shared" si="11"/>
        <v/>
      </c>
    </row>
    <row r="470">
      <c r="A470" s="1" t="s">
        <v>475</v>
      </c>
      <c r="B470" s="4">
        <f>IFERROR(__xludf.DUMMYFUNCTION("SPLIT(A470, "","")"),44718.0)</f>
        <v>44718</v>
      </c>
      <c r="C470" s="4">
        <f>IFERROR(__xludf.DUMMYFUNCTION("""COMPUTED_VALUE"""),44747.0)</f>
        <v>44747</v>
      </c>
      <c r="D470" s="3">
        <f>IFERROR(__xludf.DUMMYFUNCTION("SPLIT(B470, ""-"")"),6.0)</f>
        <v>6</v>
      </c>
      <c r="E470" s="3">
        <f>IFERROR(__xludf.DUMMYFUNCTION("""COMPUTED_VALUE"""),6.0)</f>
        <v>6</v>
      </c>
      <c r="F470" s="3">
        <f>IFERROR(__xludf.DUMMYFUNCTION("SPLIT(C470, ""-"")"),5.0)</f>
        <v>5</v>
      </c>
      <c r="G470" s="3">
        <f>IFERROR(__xludf.DUMMYFUNCTION("""COMPUTED_VALUE"""),7.0)</f>
        <v>7</v>
      </c>
      <c r="I470" s="3" t="str">
        <f t="shared" si="1"/>
        <v/>
      </c>
      <c r="J470" s="3" t="str">
        <f t="shared" si="2"/>
        <v/>
      </c>
      <c r="K470" s="3" t="str">
        <f t="shared" si="3"/>
        <v>y</v>
      </c>
      <c r="L470" s="3" t="str">
        <f t="shared" si="4"/>
        <v>y</v>
      </c>
      <c r="N470" s="3" t="str">
        <f t="shared" si="5"/>
        <v/>
      </c>
      <c r="O470" s="3">
        <f t="shared" si="6"/>
        <v>1</v>
      </c>
      <c r="Q470" s="3">
        <f t="shared" si="7"/>
        <v>1</v>
      </c>
      <c r="U470" s="3">
        <f t="shared" si="8"/>
        <v>1</v>
      </c>
      <c r="V470" s="3" t="str">
        <f t="shared" si="9"/>
        <v>Överlapp</v>
      </c>
      <c r="W470" s="3" t="str">
        <f t="shared" si="10"/>
        <v>Överlapp</v>
      </c>
      <c r="X470" s="3" t="str">
        <f t="shared" si="11"/>
        <v/>
      </c>
    </row>
    <row r="471">
      <c r="A471" s="1" t="s">
        <v>476</v>
      </c>
      <c r="B471" s="3" t="str">
        <f>IFERROR(__xludf.DUMMYFUNCTION("SPLIT(A471, "","")"),"3-92")</f>
        <v>3-92</v>
      </c>
      <c r="C471" s="3" t="str">
        <f>IFERROR(__xludf.DUMMYFUNCTION("""COMPUTED_VALUE"""),"94-98")</f>
        <v>94-98</v>
      </c>
      <c r="D471" s="3">
        <f>IFERROR(__xludf.DUMMYFUNCTION("SPLIT(B471, ""-"")"),3.0)</f>
        <v>3</v>
      </c>
      <c r="E471" s="3">
        <f>IFERROR(__xludf.DUMMYFUNCTION("""COMPUTED_VALUE"""),92.0)</f>
        <v>92</v>
      </c>
      <c r="F471" s="3">
        <f>IFERROR(__xludf.DUMMYFUNCTION("SPLIT(C471, ""-"")"),94.0)</f>
        <v>94</v>
      </c>
      <c r="G471" s="3">
        <f>IFERROR(__xludf.DUMMYFUNCTION("""COMPUTED_VALUE"""),98.0)</f>
        <v>98</v>
      </c>
      <c r="I471" s="3" t="str">
        <f t="shared" si="1"/>
        <v>y</v>
      </c>
      <c r="J471" s="3" t="str">
        <f t="shared" si="2"/>
        <v/>
      </c>
      <c r="K471" s="3" t="str">
        <f t="shared" si="3"/>
        <v/>
      </c>
      <c r="L471" s="3" t="str">
        <f t="shared" si="4"/>
        <v>y</v>
      </c>
      <c r="N471" s="3" t="str">
        <f t="shared" si="5"/>
        <v/>
      </c>
      <c r="O471" s="3" t="str">
        <f t="shared" si="6"/>
        <v/>
      </c>
      <c r="Q471" s="3" t="str">
        <f t="shared" si="7"/>
        <v/>
      </c>
      <c r="U471" s="3">
        <f t="shared" si="8"/>
        <v>1</v>
      </c>
      <c r="V471" s="3">
        <f t="shared" si="9"/>
        <v>1</v>
      </c>
      <c r="W471" s="3" t="str">
        <f t="shared" si="10"/>
        <v>Överlapp</v>
      </c>
      <c r="X471" s="3">
        <f t="shared" si="11"/>
        <v>1</v>
      </c>
    </row>
    <row r="472">
      <c r="A472" s="1" t="s">
        <v>477</v>
      </c>
      <c r="B472" s="3" t="str">
        <f>IFERROR(__xludf.DUMMYFUNCTION("SPLIT(A472, "","")"),"1-85")</f>
        <v>1-85</v>
      </c>
      <c r="C472" s="3" t="str">
        <f>IFERROR(__xludf.DUMMYFUNCTION("""COMPUTED_VALUE"""),"84-89")</f>
        <v>84-89</v>
      </c>
      <c r="D472" s="3">
        <f>IFERROR(__xludf.DUMMYFUNCTION("SPLIT(B472, ""-"")"),1.0)</f>
        <v>1</v>
      </c>
      <c r="E472" s="3">
        <f>IFERROR(__xludf.DUMMYFUNCTION("""COMPUTED_VALUE"""),85.0)</f>
        <v>85</v>
      </c>
      <c r="F472" s="3">
        <f>IFERROR(__xludf.DUMMYFUNCTION("SPLIT(C472, ""-"")"),84.0)</f>
        <v>84</v>
      </c>
      <c r="G472" s="3">
        <f>IFERROR(__xludf.DUMMYFUNCTION("""COMPUTED_VALUE"""),89.0)</f>
        <v>89</v>
      </c>
      <c r="I472" s="3" t="str">
        <f t="shared" si="1"/>
        <v>y</v>
      </c>
      <c r="J472" s="3" t="str">
        <f t="shared" si="2"/>
        <v/>
      </c>
      <c r="K472" s="3" t="str">
        <f t="shared" si="3"/>
        <v/>
      </c>
      <c r="L472" s="3" t="str">
        <f t="shared" si="4"/>
        <v>y</v>
      </c>
      <c r="N472" s="3" t="str">
        <f t="shared" si="5"/>
        <v/>
      </c>
      <c r="O472" s="3" t="str">
        <f t="shared" si="6"/>
        <v/>
      </c>
      <c r="Q472" s="3" t="str">
        <f t="shared" si="7"/>
        <v/>
      </c>
      <c r="U472" s="3">
        <f t="shared" si="8"/>
        <v>1</v>
      </c>
      <c r="V472" s="3" t="str">
        <f t="shared" si="9"/>
        <v>Överlapp</v>
      </c>
      <c r="W472" s="3" t="str">
        <f t="shared" si="10"/>
        <v>Överlapp</v>
      </c>
      <c r="X472" s="3" t="str">
        <f t="shared" si="11"/>
        <v/>
      </c>
    </row>
    <row r="473">
      <c r="A473" s="1" t="s">
        <v>478</v>
      </c>
      <c r="B473" s="3" t="str">
        <f>IFERROR(__xludf.DUMMYFUNCTION("SPLIT(A473, "","")"),"25-73")</f>
        <v>25-73</v>
      </c>
      <c r="C473" s="3" t="str">
        <f>IFERROR(__xludf.DUMMYFUNCTION("""COMPUTED_VALUE"""),"29-82")</f>
        <v>29-82</v>
      </c>
      <c r="D473" s="3">
        <f>IFERROR(__xludf.DUMMYFUNCTION("SPLIT(B473, ""-"")"),25.0)</f>
        <v>25</v>
      </c>
      <c r="E473" s="3">
        <f>IFERROR(__xludf.DUMMYFUNCTION("""COMPUTED_VALUE"""),73.0)</f>
        <v>73</v>
      </c>
      <c r="F473" s="3">
        <f>IFERROR(__xludf.DUMMYFUNCTION("SPLIT(C473, ""-"")"),29.0)</f>
        <v>29</v>
      </c>
      <c r="G473" s="3">
        <f>IFERROR(__xludf.DUMMYFUNCTION("""COMPUTED_VALUE"""),82.0)</f>
        <v>82</v>
      </c>
      <c r="I473" s="3" t="str">
        <f t="shared" si="1"/>
        <v>y</v>
      </c>
      <c r="J473" s="3" t="str">
        <f t="shared" si="2"/>
        <v/>
      </c>
      <c r="K473" s="3" t="str">
        <f t="shared" si="3"/>
        <v/>
      </c>
      <c r="L473" s="3" t="str">
        <f t="shared" si="4"/>
        <v>y</v>
      </c>
      <c r="N473" s="3" t="str">
        <f t="shared" si="5"/>
        <v/>
      </c>
      <c r="O473" s="3" t="str">
        <f t="shared" si="6"/>
        <v/>
      </c>
      <c r="Q473" s="3" t="str">
        <f t="shared" si="7"/>
        <v/>
      </c>
      <c r="U473" s="3">
        <f t="shared" si="8"/>
        <v>1</v>
      </c>
      <c r="V473" s="3" t="str">
        <f t="shared" si="9"/>
        <v>Överlapp</v>
      </c>
      <c r="W473" s="3" t="str">
        <f t="shared" si="10"/>
        <v>Överlapp</v>
      </c>
      <c r="X473" s="3" t="str">
        <f t="shared" si="11"/>
        <v/>
      </c>
    </row>
    <row r="474">
      <c r="A474" s="1" t="s">
        <v>479</v>
      </c>
      <c r="B474" s="3" t="str">
        <f>IFERROR(__xludf.DUMMYFUNCTION("SPLIT(A474, "","")"),"3-37")</f>
        <v>3-37</v>
      </c>
      <c r="C474" s="4">
        <f>IFERROR(__xludf.DUMMYFUNCTION("""COMPUTED_VALUE"""),44655.0)</f>
        <v>44655</v>
      </c>
      <c r="D474" s="3">
        <f>IFERROR(__xludf.DUMMYFUNCTION("SPLIT(B474, ""-"")"),3.0)</f>
        <v>3</v>
      </c>
      <c r="E474" s="3">
        <f>IFERROR(__xludf.DUMMYFUNCTION("""COMPUTED_VALUE"""),37.0)</f>
        <v>37</v>
      </c>
      <c r="F474" s="3">
        <f>IFERROR(__xludf.DUMMYFUNCTION("SPLIT(C474, ""-"")"),4.0)</f>
        <v>4</v>
      </c>
      <c r="G474" s="3">
        <f>IFERROR(__xludf.DUMMYFUNCTION("""COMPUTED_VALUE"""),4.0)</f>
        <v>4</v>
      </c>
      <c r="I474" s="3" t="str">
        <f t="shared" si="1"/>
        <v>y</v>
      </c>
      <c r="J474" s="3" t="str">
        <f t="shared" si="2"/>
        <v>y</v>
      </c>
      <c r="K474" s="3" t="str">
        <f t="shared" si="3"/>
        <v/>
      </c>
      <c r="L474" s="3" t="str">
        <f t="shared" si="4"/>
        <v/>
      </c>
      <c r="N474" s="3">
        <f t="shared" si="5"/>
        <v>1</v>
      </c>
      <c r="O474" s="3" t="str">
        <f t="shared" si="6"/>
        <v/>
      </c>
      <c r="Q474" s="3">
        <f t="shared" si="7"/>
        <v>1</v>
      </c>
      <c r="U474" s="3">
        <f t="shared" si="8"/>
        <v>1</v>
      </c>
      <c r="V474" s="3" t="str">
        <f t="shared" si="9"/>
        <v>Överlapp</v>
      </c>
      <c r="W474" s="3" t="str">
        <f t="shared" si="10"/>
        <v>Överlapp</v>
      </c>
      <c r="X474" s="3" t="str">
        <f t="shared" si="11"/>
        <v/>
      </c>
    </row>
    <row r="475">
      <c r="A475" s="1" t="s">
        <v>480</v>
      </c>
      <c r="B475" s="3" t="str">
        <f>IFERROR(__xludf.DUMMYFUNCTION("SPLIT(A475, "","")"),"67-89")</f>
        <v>67-89</v>
      </c>
      <c r="C475" s="3" t="str">
        <f>IFERROR(__xludf.DUMMYFUNCTION("""COMPUTED_VALUE"""),"40-65")</f>
        <v>40-65</v>
      </c>
      <c r="D475" s="3">
        <f>IFERROR(__xludf.DUMMYFUNCTION("SPLIT(B475, ""-"")"),67.0)</f>
        <v>67</v>
      </c>
      <c r="E475" s="3">
        <f>IFERROR(__xludf.DUMMYFUNCTION("""COMPUTED_VALUE"""),89.0)</f>
        <v>89</v>
      </c>
      <c r="F475" s="3">
        <f>IFERROR(__xludf.DUMMYFUNCTION("SPLIT(C475, ""-"")"),40.0)</f>
        <v>40</v>
      </c>
      <c r="G475" s="3">
        <f>IFERROR(__xludf.DUMMYFUNCTION("""COMPUTED_VALUE"""),65.0)</f>
        <v>65</v>
      </c>
      <c r="I475" s="3" t="str">
        <f t="shared" si="1"/>
        <v/>
      </c>
      <c r="J475" s="3" t="str">
        <f t="shared" si="2"/>
        <v>y</v>
      </c>
      <c r="K475" s="3" t="str">
        <f t="shared" si="3"/>
        <v>y</v>
      </c>
      <c r="L475" s="3" t="str">
        <f t="shared" si="4"/>
        <v/>
      </c>
      <c r="N475" s="3" t="str">
        <f t="shared" si="5"/>
        <v/>
      </c>
      <c r="O475" s="3" t="str">
        <f t="shared" si="6"/>
        <v/>
      </c>
      <c r="Q475" s="3" t="str">
        <f t="shared" si="7"/>
        <v/>
      </c>
      <c r="U475" s="3">
        <f t="shared" si="8"/>
        <v>1</v>
      </c>
      <c r="V475" s="3" t="str">
        <f t="shared" si="9"/>
        <v>Överlapp</v>
      </c>
      <c r="W475" s="3">
        <f t="shared" si="10"/>
        <v>1</v>
      </c>
      <c r="X475" s="3">
        <f t="shared" si="11"/>
        <v>1</v>
      </c>
    </row>
    <row r="476">
      <c r="A476" s="1" t="s">
        <v>481</v>
      </c>
      <c r="B476" s="3" t="str">
        <f>IFERROR(__xludf.DUMMYFUNCTION("SPLIT(A476, "","")"),"28-79")</f>
        <v>28-79</v>
      </c>
      <c r="C476" s="3" t="str">
        <f>IFERROR(__xludf.DUMMYFUNCTION("""COMPUTED_VALUE"""),"27-63")</f>
        <v>27-63</v>
      </c>
      <c r="D476" s="3">
        <f>IFERROR(__xludf.DUMMYFUNCTION("SPLIT(B476, ""-"")"),28.0)</f>
        <v>28</v>
      </c>
      <c r="E476" s="3">
        <f>IFERROR(__xludf.DUMMYFUNCTION("""COMPUTED_VALUE"""),79.0)</f>
        <v>79</v>
      </c>
      <c r="F476" s="3">
        <f>IFERROR(__xludf.DUMMYFUNCTION("SPLIT(C476, ""-"")"),27.0)</f>
        <v>27</v>
      </c>
      <c r="G476" s="3">
        <f>IFERROR(__xludf.DUMMYFUNCTION("""COMPUTED_VALUE"""),63.0)</f>
        <v>63</v>
      </c>
      <c r="I476" s="3" t="str">
        <f t="shared" si="1"/>
        <v/>
      </c>
      <c r="J476" s="3" t="str">
        <f t="shared" si="2"/>
        <v>y</v>
      </c>
      <c r="K476" s="3" t="str">
        <f t="shared" si="3"/>
        <v>y</v>
      </c>
      <c r="L476" s="3" t="str">
        <f t="shared" si="4"/>
        <v/>
      </c>
      <c r="N476" s="3" t="str">
        <f t="shared" si="5"/>
        <v/>
      </c>
      <c r="O476" s="3" t="str">
        <f t="shared" si="6"/>
        <v/>
      </c>
      <c r="Q476" s="3" t="str">
        <f t="shared" si="7"/>
        <v/>
      </c>
      <c r="U476" s="3">
        <f t="shared" si="8"/>
        <v>1</v>
      </c>
      <c r="V476" s="3" t="str">
        <f t="shared" si="9"/>
        <v>Överlapp</v>
      </c>
      <c r="W476" s="3" t="str">
        <f t="shared" si="10"/>
        <v>Överlapp</v>
      </c>
      <c r="X476" s="3" t="str">
        <f t="shared" si="11"/>
        <v/>
      </c>
    </row>
    <row r="477">
      <c r="A477" s="1" t="s">
        <v>482</v>
      </c>
      <c r="B477" s="3" t="str">
        <f>IFERROR(__xludf.DUMMYFUNCTION("SPLIT(A477, "","")"),"15-57")</f>
        <v>15-57</v>
      </c>
      <c r="C477" s="3" t="str">
        <f>IFERROR(__xludf.DUMMYFUNCTION("""COMPUTED_VALUE"""),"9-56")</f>
        <v>9-56</v>
      </c>
      <c r="D477" s="3">
        <f>IFERROR(__xludf.DUMMYFUNCTION("SPLIT(B477, ""-"")"),15.0)</f>
        <v>15</v>
      </c>
      <c r="E477" s="3">
        <f>IFERROR(__xludf.DUMMYFUNCTION("""COMPUTED_VALUE"""),57.0)</f>
        <v>57</v>
      </c>
      <c r="F477" s="3">
        <f>IFERROR(__xludf.DUMMYFUNCTION("SPLIT(C477, ""-"")"),9.0)</f>
        <v>9</v>
      </c>
      <c r="G477" s="3">
        <f>IFERROR(__xludf.DUMMYFUNCTION("""COMPUTED_VALUE"""),56.0)</f>
        <v>56</v>
      </c>
      <c r="I477" s="3" t="str">
        <f t="shared" si="1"/>
        <v/>
      </c>
      <c r="J477" s="3" t="str">
        <f t="shared" si="2"/>
        <v>y</v>
      </c>
      <c r="K477" s="3" t="str">
        <f t="shared" si="3"/>
        <v>y</v>
      </c>
      <c r="L477" s="3" t="str">
        <f t="shared" si="4"/>
        <v/>
      </c>
      <c r="N477" s="3" t="str">
        <f t="shared" si="5"/>
        <v/>
      </c>
      <c r="O477" s="3" t="str">
        <f t="shared" si="6"/>
        <v/>
      </c>
      <c r="Q477" s="3" t="str">
        <f t="shared" si="7"/>
        <v/>
      </c>
      <c r="U477" s="3">
        <f t="shared" si="8"/>
        <v>1</v>
      </c>
      <c r="V477" s="3" t="str">
        <f t="shared" si="9"/>
        <v>Överlapp</v>
      </c>
      <c r="W477" s="3" t="str">
        <f t="shared" si="10"/>
        <v>Överlapp</v>
      </c>
      <c r="X477" s="3" t="str">
        <f t="shared" si="11"/>
        <v/>
      </c>
    </row>
    <row r="478">
      <c r="A478" s="1" t="s">
        <v>483</v>
      </c>
      <c r="B478" s="3" t="str">
        <f>IFERROR(__xludf.DUMMYFUNCTION("SPLIT(A478, "","")"),"18-51")</f>
        <v>18-51</v>
      </c>
      <c r="C478" s="3" t="str">
        <f>IFERROR(__xludf.DUMMYFUNCTION("""COMPUTED_VALUE"""),"19-51")</f>
        <v>19-51</v>
      </c>
      <c r="D478" s="3">
        <f>IFERROR(__xludf.DUMMYFUNCTION("SPLIT(B478, ""-"")"),18.0)</f>
        <v>18</v>
      </c>
      <c r="E478" s="3">
        <f>IFERROR(__xludf.DUMMYFUNCTION("""COMPUTED_VALUE"""),51.0)</f>
        <v>51</v>
      </c>
      <c r="F478" s="3">
        <f>IFERROR(__xludf.DUMMYFUNCTION("SPLIT(C478, ""-"")"),19.0)</f>
        <v>19</v>
      </c>
      <c r="G478" s="3">
        <f>IFERROR(__xludf.DUMMYFUNCTION("""COMPUTED_VALUE"""),51.0)</f>
        <v>51</v>
      </c>
      <c r="I478" s="3" t="str">
        <f t="shared" si="1"/>
        <v>y</v>
      </c>
      <c r="J478" s="3" t="str">
        <f t="shared" si="2"/>
        <v>y</v>
      </c>
      <c r="K478" s="3" t="str">
        <f t="shared" si="3"/>
        <v/>
      </c>
      <c r="L478" s="3" t="str">
        <f t="shared" si="4"/>
        <v>y</v>
      </c>
      <c r="N478" s="3">
        <f t="shared" si="5"/>
        <v>1</v>
      </c>
      <c r="O478" s="3" t="str">
        <f t="shared" si="6"/>
        <v/>
      </c>
      <c r="Q478" s="3">
        <f t="shared" si="7"/>
        <v>1</v>
      </c>
      <c r="U478" s="3" t="str">
        <f t="shared" si="8"/>
        <v>Överlapp</v>
      </c>
      <c r="V478" s="3" t="str">
        <f t="shared" si="9"/>
        <v>Överlapp</v>
      </c>
      <c r="W478" s="3" t="str">
        <f t="shared" si="10"/>
        <v>Överlapp</v>
      </c>
      <c r="X478" s="3" t="str">
        <f t="shared" si="11"/>
        <v/>
      </c>
    </row>
    <row r="479">
      <c r="A479" s="1" t="s">
        <v>484</v>
      </c>
      <c r="B479" s="3" t="str">
        <f>IFERROR(__xludf.DUMMYFUNCTION("SPLIT(A479, "","")"),"50-99")</f>
        <v>50-99</v>
      </c>
      <c r="C479" s="3" t="str">
        <f>IFERROR(__xludf.DUMMYFUNCTION("""COMPUTED_VALUE"""),"36-50")</f>
        <v>36-50</v>
      </c>
      <c r="D479" s="3">
        <f>IFERROR(__xludf.DUMMYFUNCTION("SPLIT(B479, ""-"")"),50.0)</f>
        <v>50</v>
      </c>
      <c r="E479" s="3">
        <f>IFERROR(__xludf.DUMMYFUNCTION("""COMPUTED_VALUE"""),99.0)</f>
        <v>99</v>
      </c>
      <c r="F479" s="3">
        <f>IFERROR(__xludf.DUMMYFUNCTION("SPLIT(C479, ""-"")"),36.0)</f>
        <v>36</v>
      </c>
      <c r="G479" s="3">
        <f>IFERROR(__xludf.DUMMYFUNCTION("""COMPUTED_VALUE"""),50.0)</f>
        <v>50</v>
      </c>
      <c r="I479" s="3" t="str">
        <f t="shared" si="1"/>
        <v/>
      </c>
      <c r="J479" s="3" t="str">
        <f t="shared" si="2"/>
        <v>y</v>
      </c>
      <c r="K479" s="3" t="str">
        <f t="shared" si="3"/>
        <v>y</v>
      </c>
      <c r="L479" s="3" t="str">
        <f t="shared" si="4"/>
        <v/>
      </c>
      <c r="N479" s="3" t="str">
        <f t="shared" si="5"/>
        <v/>
      </c>
      <c r="O479" s="3" t="str">
        <f t="shared" si="6"/>
        <v/>
      </c>
      <c r="Q479" s="3" t="str">
        <f t="shared" si="7"/>
        <v/>
      </c>
      <c r="U479" s="3" t="str">
        <f t="shared" si="8"/>
        <v>Överlapp</v>
      </c>
      <c r="V479" s="3" t="str">
        <f t="shared" si="9"/>
        <v>Överlapp</v>
      </c>
      <c r="W479" s="3" t="str">
        <f t="shared" si="10"/>
        <v>Överlapp</v>
      </c>
      <c r="X479" s="3" t="str">
        <f t="shared" si="11"/>
        <v/>
      </c>
    </row>
    <row r="480">
      <c r="A480" s="1" t="s">
        <v>485</v>
      </c>
      <c r="B480" s="3" t="str">
        <f>IFERROR(__xludf.DUMMYFUNCTION("SPLIT(A480, "","")"),"29-79")</f>
        <v>29-79</v>
      </c>
      <c r="C480" s="3" t="str">
        <f>IFERROR(__xludf.DUMMYFUNCTION("""COMPUTED_VALUE"""),"30-93")</f>
        <v>30-93</v>
      </c>
      <c r="D480" s="3">
        <f>IFERROR(__xludf.DUMMYFUNCTION("SPLIT(B480, ""-"")"),29.0)</f>
        <v>29</v>
      </c>
      <c r="E480" s="3">
        <f>IFERROR(__xludf.DUMMYFUNCTION("""COMPUTED_VALUE"""),79.0)</f>
        <v>79</v>
      </c>
      <c r="F480" s="3">
        <f>IFERROR(__xludf.DUMMYFUNCTION("SPLIT(C480, ""-"")"),30.0)</f>
        <v>30</v>
      </c>
      <c r="G480" s="3">
        <f>IFERROR(__xludf.DUMMYFUNCTION("""COMPUTED_VALUE"""),93.0)</f>
        <v>93</v>
      </c>
      <c r="I480" s="3" t="str">
        <f t="shared" si="1"/>
        <v>y</v>
      </c>
      <c r="J480" s="3" t="str">
        <f t="shared" si="2"/>
        <v/>
      </c>
      <c r="K480" s="3" t="str">
        <f t="shared" si="3"/>
        <v/>
      </c>
      <c r="L480" s="3" t="str">
        <f t="shared" si="4"/>
        <v>y</v>
      </c>
      <c r="N480" s="3" t="str">
        <f t="shared" si="5"/>
        <v/>
      </c>
      <c r="O480" s="3" t="str">
        <f t="shared" si="6"/>
        <v/>
      </c>
      <c r="Q480" s="3" t="str">
        <f t="shared" si="7"/>
        <v/>
      </c>
      <c r="U480" s="3">
        <f t="shared" si="8"/>
        <v>1</v>
      </c>
      <c r="V480" s="3" t="str">
        <f t="shared" si="9"/>
        <v>Överlapp</v>
      </c>
      <c r="W480" s="3" t="str">
        <f t="shared" si="10"/>
        <v>Överlapp</v>
      </c>
      <c r="X480" s="3" t="str">
        <f t="shared" si="11"/>
        <v/>
      </c>
    </row>
    <row r="481">
      <c r="A481" s="1" t="s">
        <v>486</v>
      </c>
      <c r="B481" s="3" t="str">
        <f>IFERROR(__xludf.DUMMYFUNCTION("SPLIT(A481, "","")"),"27-27")</f>
        <v>27-27</v>
      </c>
      <c r="C481" s="3" t="str">
        <f>IFERROR(__xludf.DUMMYFUNCTION("""COMPUTED_VALUE"""),"24-28")</f>
        <v>24-28</v>
      </c>
      <c r="D481" s="3">
        <f>IFERROR(__xludf.DUMMYFUNCTION("SPLIT(B481, ""-"")"),27.0)</f>
        <v>27</v>
      </c>
      <c r="E481" s="3">
        <f>IFERROR(__xludf.DUMMYFUNCTION("""COMPUTED_VALUE"""),27.0)</f>
        <v>27</v>
      </c>
      <c r="F481" s="3">
        <f>IFERROR(__xludf.DUMMYFUNCTION("SPLIT(C481, ""-"")"),24.0)</f>
        <v>24</v>
      </c>
      <c r="G481" s="3">
        <f>IFERROR(__xludf.DUMMYFUNCTION("""COMPUTED_VALUE"""),28.0)</f>
        <v>28</v>
      </c>
      <c r="I481" s="3" t="str">
        <f t="shared" si="1"/>
        <v/>
      </c>
      <c r="J481" s="3" t="str">
        <f t="shared" si="2"/>
        <v/>
      </c>
      <c r="K481" s="3" t="str">
        <f t="shared" si="3"/>
        <v>y</v>
      </c>
      <c r="L481" s="3" t="str">
        <f t="shared" si="4"/>
        <v>y</v>
      </c>
      <c r="N481" s="3" t="str">
        <f t="shared" si="5"/>
        <v/>
      </c>
      <c r="O481" s="3">
        <f t="shared" si="6"/>
        <v>1</v>
      </c>
      <c r="Q481" s="3">
        <f t="shared" si="7"/>
        <v>1</v>
      </c>
      <c r="U481" s="3">
        <f t="shared" si="8"/>
        <v>1</v>
      </c>
      <c r="V481" s="3" t="str">
        <f t="shared" si="9"/>
        <v>Överlapp</v>
      </c>
      <c r="W481" s="3" t="str">
        <f t="shared" si="10"/>
        <v>Överlapp</v>
      </c>
      <c r="X481" s="3" t="str">
        <f t="shared" si="11"/>
        <v/>
      </c>
    </row>
    <row r="482">
      <c r="A482" s="1" t="s">
        <v>487</v>
      </c>
      <c r="B482" s="3" t="str">
        <f>IFERROR(__xludf.DUMMYFUNCTION("SPLIT(A482, "","")"),"33-89")</f>
        <v>33-89</v>
      </c>
      <c r="C482" s="3" t="str">
        <f>IFERROR(__xludf.DUMMYFUNCTION("""COMPUTED_VALUE"""),"32-90")</f>
        <v>32-90</v>
      </c>
      <c r="D482" s="3">
        <f>IFERROR(__xludf.DUMMYFUNCTION("SPLIT(B482, ""-"")"),33.0)</f>
        <v>33</v>
      </c>
      <c r="E482" s="3">
        <f>IFERROR(__xludf.DUMMYFUNCTION("""COMPUTED_VALUE"""),89.0)</f>
        <v>89</v>
      </c>
      <c r="F482" s="3">
        <f>IFERROR(__xludf.DUMMYFUNCTION("SPLIT(C482, ""-"")"),32.0)</f>
        <v>32</v>
      </c>
      <c r="G482" s="3">
        <f>IFERROR(__xludf.DUMMYFUNCTION("""COMPUTED_VALUE"""),90.0)</f>
        <v>90</v>
      </c>
      <c r="I482" s="3" t="str">
        <f t="shared" si="1"/>
        <v/>
      </c>
      <c r="J482" s="3" t="str">
        <f t="shared" si="2"/>
        <v/>
      </c>
      <c r="K482" s="3" t="str">
        <f t="shared" si="3"/>
        <v>y</v>
      </c>
      <c r="L482" s="3" t="str">
        <f t="shared" si="4"/>
        <v>y</v>
      </c>
      <c r="N482" s="3" t="str">
        <f t="shared" si="5"/>
        <v/>
      </c>
      <c r="O482" s="3">
        <f t="shared" si="6"/>
        <v>1</v>
      </c>
      <c r="Q482" s="3">
        <f t="shared" si="7"/>
        <v>1</v>
      </c>
      <c r="U482" s="3">
        <f t="shared" si="8"/>
        <v>1</v>
      </c>
      <c r="V482" s="3" t="str">
        <f t="shared" si="9"/>
        <v>Överlapp</v>
      </c>
      <c r="W482" s="3" t="str">
        <f t="shared" si="10"/>
        <v>Överlapp</v>
      </c>
      <c r="X482" s="3" t="str">
        <f t="shared" si="11"/>
        <v/>
      </c>
    </row>
    <row r="483">
      <c r="A483" s="1" t="s">
        <v>488</v>
      </c>
      <c r="B483" s="3" t="str">
        <f>IFERROR(__xludf.DUMMYFUNCTION("SPLIT(A483, "","")"),"22-93")</f>
        <v>22-93</v>
      </c>
      <c r="C483" s="3" t="str">
        <f>IFERROR(__xludf.DUMMYFUNCTION("""COMPUTED_VALUE"""),"21-81")</f>
        <v>21-81</v>
      </c>
      <c r="D483" s="3">
        <f>IFERROR(__xludf.DUMMYFUNCTION("SPLIT(B483, ""-"")"),22.0)</f>
        <v>22</v>
      </c>
      <c r="E483" s="3">
        <f>IFERROR(__xludf.DUMMYFUNCTION("""COMPUTED_VALUE"""),93.0)</f>
        <v>93</v>
      </c>
      <c r="F483" s="3">
        <f>IFERROR(__xludf.DUMMYFUNCTION("SPLIT(C483, ""-"")"),21.0)</f>
        <v>21</v>
      </c>
      <c r="G483" s="3">
        <f>IFERROR(__xludf.DUMMYFUNCTION("""COMPUTED_VALUE"""),81.0)</f>
        <v>81</v>
      </c>
      <c r="I483" s="3" t="str">
        <f t="shared" si="1"/>
        <v/>
      </c>
      <c r="J483" s="3" t="str">
        <f t="shared" si="2"/>
        <v>y</v>
      </c>
      <c r="K483" s="3" t="str">
        <f t="shared" si="3"/>
        <v>y</v>
      </c>
      <c r="L483" s="3" t="str">
        <f t="shared" si="4"/>
        <v/>
      </c>
      <c r="N483" s="3" t="str">
        <f t="shared" si="5"/>
        <v/>
      </c>
      <c r="O483" s="3" t="str">
        <f t="shared" si="6"/>
        <v/>
      </c>
      <c r="Q483" s="3" t="str">
        <f t="shared" si="7"/>
        <v/>
      </c>
      <c r="U483" s="3">
        <f t="shared" si="8"/>
        <v>1</v>
      </c>
      <c r="V483" s="3" t="str">
        <f t="shared" si="9"/>
        <v>Överlapp</v>
      </c>
      <c r="W483" s="3" t="str">
        <f t="shared" si="10"/>
        <v>Överlapp</v>
      </c>
      <c r="X483" s="3" t="str">
        <f t="shared" si="11"/>
        <v/>
      </c>
    </row>
    <row r="484">
      <c r="A484" s="1" t="s">
        <v>489</v>
      </c>
      <c r="B484" s="3" t="str">
        <f>IFERROR(__xludf.DUMMYFUNCTION("SPLIT(A484, "","")"),"51-79")</f>
        <v>51-79</v>
      </c>
      <c r="C484" s="3" t="str">
        <f>IFERROR(__xludf.DUMMYFUNCTION("""COMPUTED_VALUE"""),"78-79")</f>
        <v>78-79</v>
      </c>
      <c r="D484" s="3">
        <f>IFERROR(__xludf.DUMMYFUNCTION("SPLIT(B484, ""-"")"),51.0)</f>
        <v>51</v>
      </c>
      <c r="E484" s="3">
        <f>IFERROR(__xludf.DUMMYFUNCTION("""COMPUTED_VALUE"""),79.0)</f>
        <v>79</v>
      </c>
      <c r="F484" s="3">
        <f>IFERROR(__xludf.DUMMYFUNCTION("SPLIT(C484, ""-"")"),78.0)</f>
        <v>78</v>
      </c>
      <c r="G484" s="3">
        <f>IFERROR(__xludf.DUMMYFUNCTION("""COMPUTED_VALUE"""),79.0)</f>
        <v>79</v>
      </c>
      <c r="I484" s="3" t="str">
        <f t="shared" si="1"/>
        <v>y</v>
      </c>
      <c r="J484" s="3" t="str">
        <f t="shared" si="2"/>
        <v>y</v>
      </c>
      <c r="K484" s="3" t="str">
        <f t="shared" si="3"/>
        <v/>
      </c>
      <c r="L484" s="3" t="str">
        <f t="shared" si="4"/>
        <v>y</v>
      </c>
      <c r="N484" s="3">
        <f t="shared" si="5"/>
        <v>1</v>
      </c>
      <c r="O484" s="3" t="str">
        <f t="shared" si="6"/>
        <v/>
      </c>
      <c r="Q484" s="3">
        <f t="shared" si="7"/>
        <v>1</v>
      </c>
      <c r="U484" s="3" t="str">
        <f t="shared" si="8"/>
        <v>Överlapp</v>
      </c>
      <c r="V484" s="3" t="str">
        <f t="shared" si="9"/>
        <v>Överlapp</v>
      </c>
      <c r="W484" s="3" t="str">
        <f t="shared" si="10"/>
        <v>Överlapp</v>
      </c>
      <c r="X484" s="3" t="str">
        <f t="shared" si="11"/>
        <v/>
      </c>
    </row>
    <row r="485">
      <c r="A485" s="1" t="s">
        <v>490</v>
      </c>
      <c r="B485" s="3" t="str">
        <f>IFERROR(__xludf.DUMMYFUNCTION("SPLIT(A485, "","")"),"20-68")</f>
        <v>20-68</v>
      </c>
      <c r="C485" s="3" t="str">
        <f>IFERROR(__xludf.DUMMYFUNCTION("""COMPUTED_VALUE"""),"67-79")</f>
        <v>67-79</v>
      </c>
      <c r="D485" s="3">
        <f>IFERROR(__xludf.DUMMYFUNCTION("SPLIT(B485, ""-"")"),20.0)</f>
        <v>20</v>
      </c>
      <c r="E485" s="3">
        <f>IFERROR(__xludf.DUMMYFUNCTION("""COMPUTED_VALUE"""),68.0)</f>
        <v>68</v>
      </c>
      <c r="F485" s="3">
        <f>IFERROR(__xludf.DUMMYFUNCTION("SPLIT(C485, ""-"")"),67.0)</f>
        <v>67</v>
      </c>
      <c r="G485" s="3">
        <f>IFERROR(__xludf.DUMMYFUNCTION("""COMPUTED_VALUE"""),79.0)</f>
        <v>79</v>
      </c>
      <c r="I485" s="3" t="str">
        <f t="shared" si="1"/>
        <v>y</v>
      </c>
      <c r="J485" s="3" t="str">
        <f t="shared" si="2"/>
        <v/>
      </c>
      <c r="K485" s="3" t="str">
        <f t="shared" si="3"/>
        <v/>
      </c>
      <c r="L485" s="3" t="str">
        <f t="shared" si="4"/>
        <v>y</v>
      </c>
      <c r="N485" s="3" t="str">
        <f t="shared" si="5"/>
        <v/>
      </c>
      <c r="O485" s="3" t="str">
        <f t="shared" si="6"/>
        <v/>
      </c>
      <c r="Q485" s="3" t="str">
        <f t="shared" si="7"/>
        <v/>
      </c>
      <c r="U485" s="3">
        <f t="shared" si="8"/>
        <v>1</v>
      </c>
      <c r="V485" s="3" t="str">
        <f t="shared" si="9"/>
        <v>Överlapp</v>
      </c>
      <c r="W485" s="3" t="str">
        <f t="shared" si="10"/>
        <v>Överlapp</v>
      </c>
      <c r="X485" s="3" t="str">
        <f t="shared" si="11"/>
        <v/>
      </c>
    </row>
    <row r="486">
      <c r="A486" s="1" t="s">
        <v>491</v>
      </c>
      <c r="B486" s="3" t="str">
        <f>IFERROR(__xludf.DUMMYFUNCTION("SPLIT(A486, "","")"),"3-95")</f>
        <v>3-95</v>
      </c>
      <c r="C486" s="3" t="str">
        <f>IFERROR(__xludf.DUMMYFUNCTION("""COMPUTED_VALUE"""),"3-94")</f>
        <v>3-94</v>
      </c>
      <c r="D486" s="3">
        <f>IFERROR(__xludf.DUMMYFUNCTION("SPLIT(B486, ""-"")"),3.0)</f>
        <v>3</v>
      </c>
      <c r="E486" s="3">
        <f>IFERROR(__xludf.DUMMYFUNCTION("""COMPUTED_VALUE"""),95.0)</f>
        <v>95</v>
      </c>
      <c r="F486" s="3">
        <f>IFERROR(__xludf.DUMMYFUNCTION("SPLIT(C486, ""-"")"),3.0)</f>
        <v>3</v>
      </c>
      <c r="G486" s="3">
        <f>IFERROR(__xludf.DUMMYFUNCTION("""COMPUTED_VALUE"""),94.0)</f>
        <v>94</v>
      </c>
      <c r="I486" s="3" t="str">
        <f t="shared" si="1"/>
        <v>y</v>
      </c>
      <c r="J486" s="3" t="str">
        <f t="shared" si="2"/>
        <v>y</v>
      </c>
      <c r="K486" s="3" t="str">
        <f t="shared" si="3"/>
        <v>y</v>
      </c>
      <c r="L486" s="3" t="str">
        <f t="shared" si="4"/>
        <v/>
      </c>
      <c r="N486" s="3">
        <f t="shared" si="5"/>
        <v>1</v>
      </c>
      <c r="O486" s="3" t="str">
        <f t="shared" si="6"/>
        <v/>
      </c>
      <c r="Q486" s="3">
        <f t="shared" si="7"/>
        <v>1</v>
      </c>
      <c r="U486" s="3" t="str">
        <f t="shared" si="8"/>
        <v>Överlapp</v>
      </c>
      <c r="V486" s="3" t="str">
        <f t="shared" si="9"/>
        <v>Överlapp</v>
      </c>
      <c r="W486" s="3" t="str">
        <f t="shared" si="10"/>
        <v>Överlapp</v>
      </c>
      <c r="X486" s="3" t="str">
        <f t="shared" si="11"/>
        <v/>
      </c>
    </row>
    <row r="487">
      <c r="A487" s="1" t="s">
        <v>492</v>
      </c>
      <c r="B487" s="3" t="str">
        <f>IFERROR(__xludf.DUMMYFUNCTION("SPLIT(A487, "","")"),"43-44")</f>
        <v>43-44</v>
      </c>
      <c r="C487" s="3" t="str">
        <f>IFERROR(__xludf.DUMMYFUNCTION("""COMPUTED_VALUE"""),"42-45")</f>
        <v>42-45</v>
      </c>
      <c r="D487" s="3">
        <f>IFERROR(__xludf.DUMMYFUNCTION("SPLIT(B487, ""-"")"),43.0)</f>
        <v>43</v>
      </c>
      <c r="E487" s="3">
        <f>IFERROR(__xludf.DUMMYFUNCTION("""COMPUTED_VALUE"""),44.0)</f>
        <v>44</v>
      </c>
      <c r="F487" s="3">
        <f>IFERROR(__xludf.DUMMYFUNCTION("SPLIT(C487, ""-"")"),42.0)</f>
        <v>42</v>
      </c>
      <c r="G487" s="3">
        <f>IFERROR(__xludf.DUMMYFUNCTION("""COMPUTED_VALUE"""),45.0)</f>
        <v>45</v>
      </c>
      <c r="I487" s="3" t="str">
        <f t="shared" si="1"/>
        <v/>
      </c>
      <c r="J487" s="3" t="str">
        <f t="shared" si="2"/>
        <v/>
      </c>
      <c r="K487" s="3" t="str">
        <f t="shared" si="3"/>
        <v>y</v>
      </c>
      <c r="L487" s="3" t="str">
        <f t="shared" si="4"/>
        <v>y</v>
      </c>
      <c r="N487" s="3" t="str">
        <f t="shared" si="5"/>
        <v/>
      </c>
      <c r="O487" s="3">
        <f t="shared" si="6"/>
        <v>1</v>
      </c>
      <c r="Q487" s="3">
        <f t="shared" si="7"/>
        <v>1</v>
      </c>
      <c r="U487" s="3">
        <f t="shared" si="8"/>
        <v>1</v>
      </c>
      <c r="V487" s="3" t="str">
        <f t="shared" si="9"/>
        <v>Överlapp</v>
      </c>
      <c r="W487" s="3" t="str">
        <f t="shared" si="10"/>
        <v>Överlapp</v>
      </c>
      <c r="X487" s="3" t="str">
        <f t="shared" si="11"/>
        <v/>
      </c>
    </row>
    <row r="488">
      <c r="A488" s="1" t="s">
        <v>493</v>
      </c>
      <c r="B488" s="3" t="str">
        <f>IFERROR(__xludf.DUMMYFUNCTION("SPLIT(A488, "","")"),"4-79")</f>
        <v>4-79</v>
      </c>
      <c r="C488" s="3" t="str">
        <f>IFERROR(__xludf.DUMMYFUNCTION("""COMPUTED_VALUE"""),"3-80")</f>
        <v>3-80</v>
      </c>
      <c r="D488" s="3">
        <f>IFERROR(__xludf.DUMMYFUNCTION("SPLIT(B488, ""-"")"),4.0)</f>
        <v>4</v>
      </c>
      <c r="E488" s="3">
        <f>IFERROR(__xludf.DUMMYFUNCTION("""COMPUTED_VALUE"""),79.0)</f>
        <v>79</v>
      </c>
      <c r="F488" s="3">
        <f>IFERROR(__xludf.DUMMYFUNCTION("SPLIT(C488, ""-"")"),3.0)</f>
        <v>3</v>
      </c>
      <c r="G488" s="3">
        <f>IFERROR(__xludf.DUMMYFUNCTION("""COMPUTED_VALUE"""),80.0)</f>
        <v>80</v>
      </c>
      <c r="I488" s="3" t="str">
        <f t="shared" si="1"/>
        <v/>
      </c>
      <c r="J488" s="3" t="str">
        <f t="shared" si="2"/>
        <v/>
      </c>
      <c r="K488" s="3" t="str">
        <f t="shared" si="3"/>
        <v>y</v>
      </c>
      <c r="L488" s="3" t="str">
        <f t="shared" si="4"/>
        <v>y</v>
      </c>
      <c r="N488" s="3" t="str">
        <f t="shared" si="5"/>
        <v/>
      </c>
      <c r="O488" s="3">
        <f t="shared" si="6"/>
        <v>1</v>
      </c>
      <c r="Q488" s="3">
        <f t="shared" si="7"/>
        <v>1</v>
      </c>
      <c r="U488" s="3">
        <f t="shared" si="8"/>
        <v>1</v>
      </c>
      <c r="V488" s="3" t="str">
        <f t="shared" si="9"/>
        <v>Överlapp</v>
      </c>
      <c r="W488" s="3" t="str">
        <f t="shared" si="10"/>
        <v>Överlapp</v>
      </c>
      <c r="X488" s="3" t="str">
        <f t="shared" si="11"/>
        <v/>
      </c>
    </row>
    <row r="489">
      <c r="A489" s="1" t="s">
        <v>494</v>
      </c>
      <c r="B489" s="3" t="str">
        <f>IFERROR(__xludf.DUMMYFUNCTION("SPLIT(A489, "","")"),"4-95")</f>
        <v>4-95</v>
      </c>
      <c r="C489" s="3" t="str">
        <f>IFERROR(__xludf.DUMMYFUNCTION("""COMPUTED_VALUE"""),"14-94")</f>
        <v>14-94</v>
      </c>
      <c r="D489" s="3">
        <f>IFERROR(__xludf.DUMMYFUNCTION("SPLIT(B489, ""-"")"),4.0)</f>
        <v>4</v>
      </c>
      <c r="E489" s="3">
        <f>IFERROR(__xludf.DUMMYFUNCTION("""COMPUTED_VALUE"""),95.0)</f>
        <v>95</v>
      </c>
      <c r="F489" s="3">
        <f>IFERROR(__xludf.DUMMYFUNCTION("SPLIT(C489, ""-"")"),14.0)</f>
        <v>14</v>
      </c>
      <c r="G489" s="3">
        <f>IFERROR(__xludf.DUMMYFUNCTION("""COMPUTED_VALUE"""),94.0)</f>
        <v>94</v>
      </c>
      <c r="I489" s="3" t="str">
        <f t="shared" si="1"/>
        <v>y</v>
      </c>
      <c r="J489" s="3" t="str">
        <f t="shared" si="2"/>
        <v>y</v>
      </c>
      <c r="K489" s="3" t="str">
        <f t="shared" si="3"/>
        <v/>
      </c>
      <c r="L489" s="3" t="str">
        <f t="shared" si="4"/>
        <v/>
      </c>
      <c r="N489" s="3">
        <f t="shared" si="5"/>
        <v>1</v>
      </c>
      <c r="O489" s="3" t="str">
        <f t="shared" si="6"/>
        <v/>
      </c>
      <c r="Q489" s="3">
        <f t="shared" si="7"/>
        <v>1</v>
      </c>
      <c r="U489" s="3">
        <f t="shared" si="8"/>
        <v>1</v>
      </c>
      <c r="V489" s="3" t="str">
        <f t="shared" si="9"/>
        <v>Överlapp</v>
      </c>
      <c r="W489" s="3" t="str">
        <f t="shared" si="10"/>
        <v>Överlapp</v>
      </c>
      <c r="X489" s="3" t="str">
        <f t="shared" si="11"/>
        <v/>
      </c>
    </row>
    <row r="490">
      <c r="A490" s="1" t="s">
        <v>495</v>
      </c>
      <c r="B490" s="3" t="str">
        <f>IFERROR(__xludf.DUMMYFUNCTION("SPLIT(A490, "","")"),"57-60")</f>
        <v>57-60</v>
      </c>
      <c r="C490" s="3" t="str">
        <f>IFERROR(__xludf.DUMMYFUNCTION("""COMPUTED_VALUE"""),"26-57")</f>
        <v>26-57</v>
      </c>
      <c r="D490" s="3">
        <f>IFERROR(__xludf.DUMMYFUNCTION("SPLIT(B490, ""-"")"),57.0)</f>
        <v>57</v>
      </c>
      <c r="E490" s="3">
        <f>IFERROR(__xludf.DUMMYFUNCTION("""COMPUTED_VALUE"""),60.0)</f>
        <v>60</v>
      </c>
      <c r="F490" s="3">
        <f>IFERROR(__xludf.DUMMYFUNCTION("SPLIT(C490, ""-"")"),26.0)</f>
        <v>26</v>
      </c>
      <c r="G490" s="3">
        <f>IFERROR(__xludf.DUMMYFUNCTION("""COMPUTED_VALUE"""),57.0)</f>
        <v>57</v>
      </c>
      <c r="I490" s="3" t="str">
        <f t="shared" si="1"/>
        <v/>
      </c>
      <c r="J490" s="3" t="str">
        <f t="shared" si="2"/>
        <v>y</v>
      </c>
      <c r="K490" s="3" t="str">
        <f t="shared" si="3"/>
        <v>y</v>
      </c>
      <c r="L490" s="3" t="str">
        <f t="shared" si="4"/>
        <v/>
      </c>
      <c r="N490" s="3" t="str">
        <f t="shared" si="5"/>
        <v/>
      </c>
      <c r="O490" s="3" t="str">
        <f t="shared" si="6"/>
        <v/>
      </c>
      <c r="Q490" s="3" t="str">
        <f t="shared" si="7"/>
        <v/>
      </c>
      <c r="U490" s="3" t="str">
        <f t="shared" si="8"/>
        <v>Överlapp</v>
      </c>
      <c r="V490" s="3" t="str">
        <f t="shared" si="9"/>
        <v>Överlapp</v>
      </c>
      <c r="W490" s="3" t="str">
        <f t="shared" si="10"/>
        <v>Överlapp</v>
      </c>
      <c r="X490" s="3" t="str">
        <f t="shared" si="11"/>
        <v/>
      </c>
    </row>
    <row r="491">
      <c r="A491" s="1" t="s">
        <v>496</v>
      </c>
      <c r="B491" s="3" t="str">
        <f>IFERROR(__xludf.DUMMYFUNCTION("SPLIT(A491, "","")"),"23-86")</f>
        <v>23-86</v>
      </c>
      <c r="C491" s="3" t="str">
        <f>IFERROR(__xludf.DUMMYFUNCTION("""COMPUTED_VALUE"""),"23-85")</f>
        <v>23-85</v>
      </c>
      <c r="D491" s="3">
        <f>IFERROR(__xludf.DUMMYFUNCTION("SPLIT(B491, ""-"")"),23.0)</f>
        <v>23</v>
      </c>
      <c r="E491" s="3">
        <f>IFERROR(__xludf.DUMMYFUNCTION("""COMPUTED_VALUE"""),86.0)</f>
        <v>86</v>
      </c>
      <c r="F491" s="3">
        <f>IFERROR(__xludf.DUMMYFUNCTION("SPLIT(C491, ""-"")"),23.0)</f>
        <v>23</v>
      </c>
      <c r="G491" s="3">
        <f>IFERROR(__xludf.DUMMYFUNCTION("""COMPUTED_VALUE"""),85.0)</f>
        <v>85</v>
      </c>
      <c r="I491" s="3" t="str">
        <f t="shared" si="1"/>
        <v>y</v>
      </c>
      <c r="J491" s="3" t="str">
        <f t="shared" si="2"/>
        <v>y</v>
      </c>
      <c r="K491" s="3" t="str">
        <f t="shared" si="3"/>
        <v>y</v>
      </c>
      <c r="L491" s="3" t="str">
        <f t="shared" si="4"/>
        <v/>
      </c>
      <c r="N491" s="3">
        <f t="shared" si="5"/>
        <v>1</v>
      </c>
      <c r="O491" s="3" t="str">
        <f t="shared" si="6"/>
        <v/>
      </c>
      <c r="Q491" s="3">
        <f t="shared" si="7"/>
        <v>1</v>
      </c>
      <c r="U491" s="3" t="str">
        <f t="shared" si="8"/>
        <v>Överlapp</v>
      </c>
      <c r="V491" s="3" t="str">
        <f t="shared" si="9"/>
        <v>Överlapp</v>
      </c>
      <c r="W491" s="3" t="str">
        <f t="shared" si="10"/>
        <v>Överlapp</v>
      </c>
      <c r="X491" s="3" t="str">
        <f t="shared" si="11"/>
        <v/>
      </c>
    </row>
    <row r="492">
      <c r="A492" s="1" t="s">
        <v>497</v>
      </c>
      <c r="B492" s="3" t="str">
        <f>IFERROR(__xludf.DUMMYFUNCTION("SPLIT(A492, "","")"),"28-82")</f>
        <v>28-82</v>
      </c>
      <c r="C492" s="3" t="str">
        <f>IFERROR(__xludf.DUMMYFUNCTION("""COMPUTED_VALUE"""),"32-83")</f>
        <v>32-83</v>
      </c>
      <c r="D492" s="3">
        <f>IFERROR(__xludf.DUMMYFUNCTION("SPLIT(B492, ""-"")"),28.0)</f>
        <v>28</v>
      </c>
      <c r="E492" s="3">
        <f>IFERROR(__xludf.DUMMYFUNCTION("""COMPUTED_VALUE"""),82.0)</f>
        <v>82</v>
      </c>
      <c r="F492" s="3">
        <f>IFERROR(__xludf.DUMMYFUNCTION("SPLIT(C492, ""-"")"),32.0)</f>
        <v>32</v>
      </c>
      <c r="G492" s="3">
        <f>IFERROR(__xludf.DUMMYFUNCTION("""COMPUTED_VALUE"""),83.0)</f>
        <v>83</v>
      </c>
      <c r="I492" s="3" t="str">
        <f t="shared" si="1"/>
        <v>y</v>
      </c>
      <c r="J492" s="3" t="str">
        <f t="shared" si="2"/>
        <v/>
      </c>
      <c r="K492" s="3" t="str">
        <f t="shared" si="3"/>
        <v/>
      </c>
      <c r="L492" s="3" t="str">
        <f t="shared" si="4"/>
        <v>y</v>
      </c>
      <c r="N492" s="3" t="str">
        <f t="shared" si="5"/>
        <v/>
      </c>
      <c r="O492" s="3" t="str">
        <f t="shared" si="6"/>
        <v/>
      </c>
      <c r="Q492" s="3" t="str">
        <f t="shared" si="7"/>
        <v/>
      </c>
      <c r="U492" s="3">
        <f t="shared" si="8"/>
        <v>1</v>
      </c>
      <c r="V492" s="3" t="str">
        <f t="shared" si="9"/>
        <v>Överlapp</v>
      </c>
      <c r="W492" s="3" t="str">
        <f t="shared" si="10"/>
        <v>Överlapp</v>
      </c>
      <c r="X492" s="3" t="str">
        <f t="shared" si="11"/>
        <v/>
      </c>
    </row>
    <row r="493">
      <c r="A493" s="1" t="s">
        <v>498</v>
      </c>
      <c r="B493" s="3" t="str">
        <f>IFERROR(__xludf.DUMMYFUNCTION("SPLIT(A493, "","")"),"28-53")</f>
        <v>28-53</v>
      </c>
      <c r="C493" s="3" t="str">
        <f>IFERROR(__xludf.DUMMYFUNCTION("""COMPUTED_VALUE"""),"29-29")</f>
        <v>29-29</v>
      </c>
      <c r="D493" s="3">
        <f>IFERROR(__xludf.DUMMYFUNCTION("SPLIT(B493, ""-"")"),28.0)</f>
        <v>28</v>
      </c>
      <c r="E493" s="3">
        <f>IFERROR(__xludf.DUMMYFUNCTION("""COMPUTED_VALUE"""),53.0)</f>
        <v>53</v>
      </c>
      <c r="F493" s="3">
        <f>IFERROR(__xludf.DUMMYFUNCTION("SPLIT(C493, ""-"")"),29.0)</f>
        <v>29</v>
      </c>
      <c r="G493" s="3">
        <f>IFERROR(__xludf.DUMMYFUNCTION("""COMPUTED_VALUE"""),29.0)</f>
        <v>29</v>
      </c>
      <c r="I493" s="3" t="str">
        <f t="shared" si="1"/>
        <v>y</v>
      </c>
      <c r="J493" s="3" t="str">
        <f t="shared" si="2"/>
        <v>y</v>
      </c>
      <c r="K493" s="3" t="str">
        <f t="shared" si="3"/>
        <v/>
      </c>
      <c r="L493" s="3" t="str">
        <f t="shared" si="4"/>
        <v/>
      </c>
      <c r="N493" s="3">
        <f t="shared" si="5"/>
        <v>1</v>
      </c>
      <c r="O493" s="3" t="str">
        <f t="shared" si="6"/>
        <v/>
      </c>
      <c r="Q493" s="3">
        <f t="shared" si="7"/>
        <v>1</v>
      </c>
      <c r="U493" s="3">
        <f t="shared" si="8"/>
        <v>1</v>
      </c>
      <c r="V493" s="3" t="str">
        <f t="shared" si="9"/>
        <v>Överlapp</v>
      </c>
      <c r="W493" s="3" t="str">
        <f t="shared" si="10"/>
        <v>Överlapp</v>
      </c>
      <c r="X493" s="3" t="str">
        <f t="shared" si="11"/>
        <v/>
      </c>
    </row>
    <row r="494">
      <c r="A494" s="1" t="s">
        <v>499</v>
      </c>
      <c r="B494" s="3" t="str">
        <f>IFERROR(__xludf.DUMMYFUNCTION("SPLIT(A494, "","")"),"3-95")</f>
        <v>3-95</v>
      </c>
      <c r="C494" s="3" t="str">
        <f>IFERROR(__xludf.DUMMYFUNCTION("""COMPUTED_VALUE"""),"4-94")</f>
        <v>4-94</v>
      </c>
      <c r="D494" s="3">
        <f>IFERROR(__xludf.DUMMYFUNCTION("SPLIT(B494, ""-"")"),3.0)</f>
        <v>3</v>
      </c>
      <c r="E494" s="3">
        <f>IFERROR(__xludf.DUMMYFUNCTION("""COMPUTED_VALUE"""),95.0)</f>
        <v>95</v>
      </c>
      <c r="F494" s="3">
        <f>IFERROR(__xludf.DUMMYFUNCTION("SPLIT(C494, ""-"")"),4.0)</f>
        <v>4</v>
      </c>
      <c r="G494" s="3">
        <f>IFERROR(__xludf.DUMMYFUNCTION("""COMPUTED_VALUE"""),94.0)</f>
        <v>94</v>
      </c>
      <c r="I494" s="3" t="str">
        <f t="shared" si="1"/>
        <v>y</v>
      </c>
      <c r="J494" s="3" t="str">
        <f t="shared" si="2"/>
        <v>y</v>
      </c>
      <c r="K494" s="3" t="str">
        <f t="shared" si="3"/>
        <v/>
      </c>
      <c r="L494" s="3" t="str">
        <f t="shared" si="4"/>
        <v/>
      </c>
      <c r="N494" s="3">
        <f t="shared" si="5"/>
        <v>1</v>
      </c>
      <c r="O494" s="3" t="str">
        <f t="shared" si="6"/>
        <v/>
      </c>
      <c r="Q494" s="3">
        <f t="shared" si="7"/>
        <v>1</v>
      </c>
      <c r="U494" s="3">
        <f t="shared" si="8"/>
        <v>1</v>
      </c>
      <c r="V494" s="3" t="str">
        <f t="shared" si="9"/>
        <v>Överlapp</v>
      </c>
      <c r="W494" s="3" t="str">
        <f t="shared" si="10"/>
        <v>Överlapp</v>
      </c>
      <c r="X494" s="3" t="str">
        <f t="shared" si="11"/>
        <v/>
      </c>
    </row>
    <row r="495">
      <c r="A495" s="1" t="s">
        <v>500</v>
      </c>
      <c r="B495" s="3" t="str">
        <f>IFERROR(__xludf.DUMMYFUNCTION("SPLIT(A495, "","")"),"59-69")</f>
        <v>59-69</v>
      </c>
      <c r="C495" s="3" t="str">
        <f>IFERROR(__xludf.DUMMYFUNCTION("""COMPUTED_VALUE"""),"58-77")</f>
        <v>58-77</v>
      </c>
      <c r="D495" s="3">
        <f>IFERROR(__xludf.DUMMYFUNCTION("SPLIT(B495, ""-"")"),59.0)</f>
        <v>59</v>
      </c>
      <c r="E495" s="3">
        <f>IFERROR(__xludf.DUMMYFUNCTION("""COMPUTED_VALUE"""),69.0)</f>
        <v>69</v>
      </c>
      <c r="F495" s="3">
        <f>IFERROR(__xludf.DUMMYFUNCTION("SPLIT(C495, ""-"")"),58.0)</f>
        <v>58</v>
      </c>
      <c r="G495" s="3">
        <f>IFERROR(__xludf.DUMMYFUNCTION("""COMPUTED_VALUE"""),77.0)</f>
        <v>77</v>
      </c>
      <c r="I495" s="3" t="str">
        <f t="shared" si="1"/>
        <v/>
      </c>
      <c r="J495" s="3" t="str">
        <f t="shared" si="2"/>
        <v/>
      </c>
      <c r="K495" s="3" t="str">
        <f t="shared" si="3"/>
        <v>y</v>
      </c>
      <c r="L495" s="3" t="str">
        <f t="shared" si="4"/>
        <v>y</v>
      </c>
      <c r="N495" s="3" t="str">
        <f t="shared" si="5"/>
        <v/>
      </c>
      <c r="O495" s="3">
        <f t="shared" si="6"/>
        <v>1</v>
      </c>
      <c r="Q495" s="3">
        <f t="shared" si="7"/>
        <v>1</v>
      </c>
      <c r="U495" s="3">
        <f t="shared" si="8"/>
        <v>1</v>
      </c>
      <c r="V495" s="3" t="str">
        <f t="shared" si="9"/>
        <v>Överlapp</v>
      </c>
      <c r="W495" s="3" t="str">
        <f t="shared" si="10"/>
        <v>Överlapp</v>
      </c>
      <c r="X495" s="3" t="str">
        <f t="shared" si="11"/>
        <v/>
      </c>
    </row>
    <row r="496">
      <c r="A496" s="1" t="s">
        <v>501</v>
      </c>
      <c r="B496" s="3" t="str">
        <f>IFERROR(__xludf.DUMMYFUNCTION("SPLIT(A496, "","")"),"40-91")</f>
        <v>40-91</v>
      </c>
      <c r="C496" s="3" t="str">
        <f>IFERROR(__xludf.DUMMYFUNCTION("""COMPUTED_VALUE"""),"14-86")</f>
        <v>14-86</v>
      </c>
      <c r="D496" s="3">
        <f>IFERROR(__xludf.DUMMYFUNCTION("SPLIT(B496, ""-"")"),40.0)</f>
        <v>40</v>
      </c>
      <c r="E496" s="3">
        <f>IFERROR(__xludf.DUMMYFUNCTION("""COMPUTED_VALUE"""),91.0)</f>
        <v>91</v>
      </c>
      <c r="F496" s="3">
        <f>IFERROR(__xludf.DUMMYFUNCTION("SPLIT(C496, ""-"")"),14.0)</f>
        <v>14</v>
      </c>
      <c r="G496" s="3">
        <f>IFERROR(__xludf.DUMMYFUNCTION("""COMPUTED_VALUE"""),86.0)</f>
        <v>86</v>
      </c>
      <c r="I496" s="3" t="str">
        <f t="shared" si="1"/>
        <v/>
      </c>
      <c r="J496" s="3" t="str">
        <f t="shared" si="2"/>
        <v>y</v>
      </c>
      <c r="K496" s="3" t="str">
        <f t="shared" si="3"/>
        <v>y</v>
      </c>
      <c r="L496" s="3" t="str">
        <f t="shared" si="4"/>
        <v/>
      </c>
      <c r="N496" s="3" t="str">
        <f t="shared" si="5"/>
        <v/>
      </c>
      <c r="O496" s="3" t="str">
        <f t="shared" si="6"/>
        <v/>
      </c>
      <c r="Q496" s="3" t="str">
        <f t="shared" si="7"/>
        <v/>
      </c>
      <c r="U496" s="3">
        <f t="shared" si="8"/>
        <v>1</v>
      </c>
      <c r="V496" s="3" t="str">
        <f t="shared" si="9"/>
        <v>Överlapp</v>
      </c>
      <c r="W496" s="3" t="str">
        <f t="shared" si="10"/>
        <v>Överlapp</v>
      </c>
      <c r="X496" s="3" t="str">
        <f t="shared" si="11"/>
        <v/>
      </c>
    </row>
    <row r="497">
      <c r="A497" s="1" t="s">
        <v>502</v>
      </c>
      <c r="B497" s="3" t="str">
        <f>IFERROR(__xludf.DUMMYFUNCTION("SPLIT(A497, "","")"),"19-30")</f>
        <v>19-30</v>
      </c>
      <c r="C497" s="3" t="str">
        <f>IFERROR(__xludf.DUMMYFUNCTION("""COMPUTED_VALUE"""),"20-29")</f>
        <v>20-29</v>
      </c>
      <c r="D497" s="3">
        <f>IFERROR(__xludf.DUMMYFUNCTION("SPLIT(B497, ""-"")"),19.0)</f>
        <v>19</v>
      </c>
      <c r="E497" s="3">
        <f>IFERROR(__xludf.DUMMYFUNCTION("""COMPUTED_VALUE"""),30.0)</f>
        <v>30</v>
      </c>
      <c r="F497" s="3">
        <f>IFERROR(__xludf.DUMMYFUNCTION("SPLIT(C497, ""-"")"),20.0)</f>
        <v>20</v>
      </c>
      <c r="G497" s="3">
        <f>IFERROR(__xludf.DUMMYFUNCTION("""COMPUTED_VALUE"""),29.0)</f>
        <v>29</v>
      </c>
      <c r="I497" s="3" t="str">
        <f t="shared" si="1"/>
        <v>y</v>
      </c>
      <c r="J497" s="3" t="str">
        <f t="shared" si="2"/>
        <v>y</v>
      </c>
      <c r="K497" s="3" t="str">
        <f t="shared" si="3"/>
        <v/>
      </c>
      <c r="L497" s="3" t="str">
        <f t="shared" si="4"/>
        <v/>
      </c>
      <c r="N497" s="3">
        <f t="shared" si="5"/>
        <v>1</v>
      </c>
      <c r="O497" s="3" t="str">
        <f t="shared" si="6"/>
        <v/>
      </c>
      <c r="Q497" s="3">
        <f t="shared" si="7"/>
        <v>1</v>
      </c>
      <c r="U497" s="3">
        <f t="shared" si="8"/>
        <v>1</v>
      </c>
      <c r="V497" s="3" t="str">
        <f t="shared" si="9"/>
        <v>Överlapp</v>
      </c>
      <c r="W497" s="3" t="str">
        <f t="shared" si="10"/>
        <v>Överlapp</v>
      </c>
      <c r="X497" s="3" t="str">
        <f t="shared" si="11"/>
        <v/>
      </c>
    </row>
    <row r="498">
      <c r="A498" s="1" t="s">
        <v>503</v>
      </c>
      <c r="B498" s="3" t="str">
        <f>IFERROR(__xludf.DUMMYFUNCTION("SPLIT(A498, "","")"),"98-98")</f>
        <v>98-98</v>
      </c>
      <c r="C498" s="3" t="str">
        <f>IFERROR(__xludf.DUMMYFUNCTION("""COMPUTED_VALUE"""),"2-98")</f>
        <v>2-98</v>
      </c>
      <c r="D498" s="3">
        <f>IFERROR(__xludf.DUMMYFUNCTION("SPLIT(B498, ""-"")"),98.0)</f>
        <v>98</v>
      </c>
      <c r="E498" s="3">
        <f>IFERROR(__xludf.DUMMYFUNCTION("""COMPUTED_VALUE"""),98.0)</f>
        <v>98</v>
      </c>
      <c r="F498" s="3">
        <f>IFERROR(__xludf.DUMMYFUNCTION("SPLIT(C498, ""-"")"),2.0)</f>
        <v>2</v>
      </c>
      <c r="G498" s="3">
        <f>IFERROR(__xludf.DUMMYFUNCTION("""COMPUTED_VALUE"""),98.0)</f>
        <v>98</v>
      </c>
      <c r="I498" s="3" t="str">
        <f t="shared" si="1"/>
        <v/>
      </c>
      <c r="J498" s="3" t="str">
        <f t="shared" si="2"/>
        <v>y</v>
      </c>
      <c r="K498" s="3" t="str">
        <f t="shared" si="3"/>
        <v>y</v>
      </c>
      <c r="L498" s="3" t="str">
        <f t="shared" si="4"/>
        <v>y</v>
      </c>
      <c r="N498" s="3" t="str">
        <f t="shared" si="5"/>
        <v/>
      </c>
      <c r="O498" s="3">
        <f t="shared" si="6"/>
        <v>1</v>
      </c>
      <c r="Q498" s="3">
        <f t="shared" si="7"/>
        <v>1</v>
      </c>
      <c r="U498" s="3" t="str">
        <f t="shared" si="8"/>
        <v>Överlapp</v>
      </c>
      <c r="V498" s="3" t="str">
        <f t="shared" si="9"/>
        <v>Överlapp</v>
      </c>
      <c r="W498" s="3" t="str">
        <f t="shared" si="10"/>
        <v>Överlapp</v>
      </c>
      <c r="X498" s="3" t="str">
        <f t="shared" si="11"/>
        <v/>
      </c>
    </row>
    <row r="499">
      <c r="A499" s="1" t="s">
        <v>504</v>
      </c>
      <c r="B499" s="3" t="str">
        <f>IFERROR(__xludf.DUMMYFUNCTION("SPLIT(A499, "","")"),"68-99")</f>
        <v>68-99</v>
      </c>
      <c r="C499" s="3" t="str">
        <f>IFERROR(__xludf.DUMMYFUNCTION("""COMPUTED_VALUE"""),"98-98")</f>
        <v>98-98</v>
      </c>
      <c r="D499" s="3">
        <f>IFERROR(__xludf.DUMMYFUNCTION("SPLIT(B499, ""-"")"),68.0)</f>
        <v>68</v>
      </c>
      <c r="E499" s="3">
        <f>IFERROR(__xludf.DUMMYFUNCTION("""COMPUTED_VALUE"""),99.0)</f>
        <v>99</v>
      </c>
      <c r="F499" s="3">
        <f>IFERROR(__xludf.DUMMYFUNCTION("SPLIT(C499, ""-"")"),98.0)</f>
        <v>98</v>
      </c>
      <c r="G499" s="3">
        <f>IFERROR(__xludf.DUMMYFUNCTION("""COMPUTED_VALUE"""),98.0)</f>
        <v>98</v>
      </c>
      <c r="I499" s="3" t="str">
        <f t="shared" si="1"/>
        <v>y</v>
      </c>
      <c r="J499" s="3" t="str">
        <f t="shared" si="2"/>
        <v>y</v>
      </c>
      <c r="K499" s="3" t="str">
        <f t="shared" si="3"/>
        <v/>
      </c>
      <c r="L499" s="3" t="str">
        <f t="shared" si="4"/>
        <v/>
      </c>
      <c r="N499" s="3">
        <f t="shared" si="5"/>
        <v>1</v>
      </c>
      <c r="O499" s="3" t="str">
        <f t="shared" si="6"/>
        <v/>
      </c>
      <c r="Q499" s="3">
        <f t="shared" si="7"/>
        <v>1</v>
      </c>
      <c r="U499" s="3">
        <f t="shared" si="8"/>
        <v>1</v>
      </c>
      <c r="V499" s="3" t="str">
        <f t="shared" si="9"/>
        <v>Överlapp</v>
      </c>
      <c r="W499" s="3" t="str">
        <f t="shared" si="10"/>
        <v>Överlapp</v>
      </c>
      <c r="X499" s="3" t="str">
        <f t="shared" si="11"/>
        <v/>
      </c>
    </row>
    <row r="500">
      <c r="A500" s="1" t="s">
        <v>272</v>
      </c>
      <c r="B500" s="3" t="str">
        <f>IFERROR(__xludf.DUMMYFUNCTION("SPLIT(A500, "","")"),"43-88")</f>
        <v>43-88</v>
      </c>
      <c r="C500" s="3" t="str">
        <f>IFERROR(__xludf.DUMMYFUNCTION("""COMPUTED_VALUE"""),"42-89")</f>
        <v>42-89</v>
      </c>
      <c r="D500" s="3">
        <f>IFERROR(__xludf.DUMMYFUNCTION("SPLIT(B500, ""-"")"),43.0)</f>
        <v>43</v>
      </c>
      <c r="E500" s="3">
        <f>IFERROR(__xludf.DUMMYFUNCTION("""COMPUTED_VALUE"""),88.0)</f>
        <v>88</v>
      </c>
      <c r="F500" s="3">
        <f>IFERROR(__xludf.DUMMYFUNCTION("SPLIT(C500, ""-"")"),42.0)</f>
        <v>42</v>
      </c>
      <c r="G500" s="3">
        <f>IFERROR(__xludf.DUMMYFUNCTION("""COMPUTED_VALUE"""),89.0)</f>
        <v>89</v>
      </c>
      <c r="I500" s="3" t="str">
        <f t="shared" si="1"/>
        <v/>
      </c>
      <c r="J500" s="3" t="str">
        <f t="shared" si="2"/>
        <v/>
      </c>
      <c r="K500" s="3" t="str">
        <f t="shared" si="3"/>
        <v>y</v>
      </c>
      <c r="L500" s="3" t="str">
        <f t="shared" si="4"/>
        <v>y</v>
      </c>
      <c r="N500" s="3" t="str">
        <f t="shared" si="5"/>
        <v/>
      </c>
      <c r="O500" s="3">
        <f t="shared" si="6"/>
        <v>1</v>
      </c>
      <c r="Q500" s="3">
        <f t="shared" si="7"/>
        <v>1</v>
      </c>
      <c r="U500" s="3">
        <f t="shared" si="8"/>
        <v>1</v>
      </c>
      <c r="V500" s="3" t="str">
        <f t="shared" si="9"/>
        <v>Överlapp</v>
      </c>
      <c r="W500" s="3" t="str">
        <f t="shared" si="10"/>
        <v>Överlapp</v>
      </c>
      <c r="X500" s="3" t="str">
        <f t="shared" si="11"/>
        <v/>
      </c>
    </row>
    <row r="501">
      <c r="A501" s="1" t="s">
        <v>505</v>
      </c>
      <c r="B501" s="3" t="str">
        <f>IFERROR(__xludf.DUMMYFUNCTION("SPLIT(A501, "","")"),"5-14")</f>
        <v>5-14</v>
      </c>
      <c r="C501" s="3" t="str">
        <f>IFERROR(__xludf.DUMMYFUNCTION("""COMPUTED_VALUE"""),"8-14")</f>
        <v>8-14</v>
      </c>
      <c r="D501" s="3">
        <f>IFERROR(__xludf.DUMMYFUNCTION("SPLIT(B501, ""-"")"),5.0)</f>
        <v>5</v>
      </c>
      <c r="E501" s="3">
        <f>IFERROR(__xludf.DUMMYFUNCTION("""COMPUTED_VALUE"""),14.0)</f>
        <v>14</v>
      </c>
      <c r="F501" s="3">
        <f>IFERROR(__xludf.DUMMYFUNCTION("SPLIT(C501, ""-"")"),8.0)</f>
        <v>8</v>
      </c>
      <c r="G501" s="3">
        <f>IFERROR(__xludf.DUMMYFUNCTION("""COMPUTED_VALUE"""),14.0)</f>
        <v>14</v>
      </c>
      <c r="I501" s="3" t="str">
        <f t="shared" si="1"/>
        <v>y</v>
      </c>
      <c r="J501" s="3" t="str">
        <f t="shared" si="2"/>
        <v>y</v>
      </c>
      <c r="K501" s="3" t="str">
        <f t="shared" si="3"/>
        <v/>
      </c>
      <c r="L501" s="3" t="str">
        <f t="shared" si="4"/>
        <v>y</v>
      </c>
      <c r="N501" s="3">
        <f t="shared" si="5"/>
        <v>1</v>
      </c>
      <c r="O501" s="3" t="str">
        <f t="shared" si="6"/>
        <v/>
      </c>
      <c r="Q501" s="3">
        <f t="shared" si="7"/>
        <v>1</v>
      </c>
      <c r="U501" s="3" t="str">
        <f t="shared" si="8"/>
        <v>Överlapp</v>
      </c>
      <c r="V501" s="3" t="str">
        <f t="shared" si="9"/>
        <v>Överlapp</v>
      </c>
      <c r="W501" s="3" t="str">
        <f t="shared" si="10"/>
        <v>Överlapp</v>
      </c>
      <c r="X501" s="3" t="str">
        <f t="shared" si="11"/>
        <v/>
      </c>
    </row>
    <row r="502">
      <c r="A502" s="1" t="s">
        <v>506</v>
      </c>
      <c r="B502" s="3" t="str">
        <f>IFERROR(__xludf.DUMMYFUNCTION("SPLIT(A502, "","")"),"50-52")</f>
        <v>50-52</v>
      </c>
      <c r="C502" s="3" t="str">
        <f>IFERROR(__xludf.DUMMYFUNCTION("""COMPUTED_VALUE"""),"46-68")</f>
        <v>46-68</v>
      </c>
      <c r="D502" s="3">
        <f>IFERROR(__xludf.DUMMYFUNCTION("SPLIT(B502, ""-"")"),50.0)</f>
        <v>50</v>
      </c>
      <c r="E502" s="3">
        <f>IFERROR(__xludf.DUMMYFUNCTION("""COMPUTED_VALUE"""),52.0)</f>
        <v>52</v>
      </c>
      <c r="F502" s="3">
        <f>IFERROR(__xludf.DUMMYFUNCTION("SPLIT(C502, ""-"")"),46.0)</f>
        <v>46</v>
      </c>
      <c r="G502" s="3">
        <f>IFERROR(__xludf.DUMMYFUNCTION("""COMPUTED_VALUE"""),68.0)</f>
        <v>68</v>
      </c>
      <c r="I502" s="3" t="str">
        <f t="shared" si="1"/>
        <v/>
      </c>
      <c r="J502" s="3" t="str">
        <f t="shared" si="2"/>
        <v/>
      </c>
      <c r="K502" s="3" t="str">
        <f t="shared" si="3"/>
        <v>y</v>
      </c>
      <c r="L502" s="3" t="str">
        <f t="shared" si="4"/>
        <v>y</v>
      </c>
      <c r="N502" s="3" t="str">
        <f t="shared" si="5"/>
        <v/>
      </c>
      <c r="O502" s="3">
        <f t="shared" si="6"/>
        <v>1</v>
      </c>
      <c r="Q502" s="3">
        <f t="shared" si="7"/>
        <v>1</v>
      </c>
      <c r="U502" s="3">
        <f t="shared" si="8"/>
        <v>1</v>
      </c>
      <c r="V502" s="3" t="str">
        <f t="shared" si="9"/>
        <v>Överlapp</v>
      </c>
      <c r="W502" s="3" t="str">
        <f t="shared" si="10"/>
        <v>Överlapp</v>
      </c>
      <c r="X502" s="3" t="str">
        <f t="shared" si="11"/>
        <v/>
      </c>
    </row>
    <row r="503">
      <c r="A503" s="1" t="s">
        <v>507</v>
      </c>
      <c r="B503" s="3" t="str">
        <f>IFERROR(__xludf.DUMMYFUNCTION("SPLIT(A503, "","")"),"29-56")</f>
        <v>29-56</v>
      </c>
      <c r="C503" s="3" t="str">
        <f>IFERROR(__xludf.DUMMYFUNCTION("""COMPUTED_VALUE"""),"30-55")</f>
        <v>30-55</v>
      </c>
      <c r="D503" s="3">
        <f>IFERROR(__xludf.DUMMYFUNCTION("SPLIT(B503, ""-"")"),29.0)</f>
        <v>29</v>
      </c>
      <c r="E503" s="3">
        <f>IFERROR(__xludf.DUMMYFUNCTION("""COMPUTED_VALUE"""),56.0)</f>
        <v>56</v>
      </c>
      <c r="F503" s="3">
        <f>IFERROR(__xludf.DUMMYFUNCTION("SPLIT(C503, ""-"")"),30.0)</f>
        <v>30</v>
      </c>
      <c r="G503" s="3">
        <f>IFERROR(__xludf.DUMMYFUNCTION("""COMPUTED_VALUE"""),55.0)</f>
        <v>55</v>
      </c>
      <c r="I503" s="3" t="str">
        <f t="shared" si="1"/>
        <v>y</v>
      </c>
      <c r="J503" s="3" t="str">
        <f t="shared" si="2"/>
        <v>y</v>
      </c>
      <c r="K503" s="3" t="str">
        <f t="shared" si="3"/>
        <v/>
      </c>
      <c r="L503" s="3" t="str">
        <f t="shared" si="4"/>
        <v/>
      </c>
      <c r="N503" s="3">
        <f t="shared" si="5"/>
        <v>1</v>
      </c>
      <c r="O503" s="3" t="str">
        <f t="shared" si="6"/>
        <v/>
      </c>
      <c r="Q503" s="3">
        <f t="shared" si="7"/>
        <v>1</v>
      </c>
      <c r="U503" s="3">
        <f t="shared" si="8"/>
        <v>1</v>
      </c>
      <c r="V503" s="3" t="str">
        <f t="shared" si="9"/>
        <v>Överlapp</v>
      </c>
      <c r="W503" s="3" t="str">
        <f t="shared" si="10"/>
        <v>Överlapp</v>
      </c>
      <c r="X503" s="3" t="str">
        <f t="shared" si="11"/>
        <v/>
      </c>
    </row>
    <row r="504">
      <c r="A504" s="1" t="s">
        <v>508</v>
      </c>
      <c r="B504" s="3" t="str">
        <f>IFERROR(__xludf.DUMMYFUNCTION("SPLIT(A504, "","")"),"1-94")</f>
        <v>1-94</v>
      </c>
      <c r="C504" s="3" t="str">
        <f>IFERROR(__xludf.DUMMYFUNCTION("""COMPUTED_VALUE"""),"93-94")</f>
        <v>93-94</v>
      </c>
      <c r="D504" s="3">
        <f>IFERROR(__xludf.DUMMYFUNCTION("SPLIT(B504, ""-"")"),1.0)</f>
        <v>1</v>
      </c>
      <c r="E504" s="3">
        <f>IFERROR(__xludf.DUMMYFUNCTION("""COMPUTED_VALUE"""),94.0)</f>
        <v>94</v>
      </c>
      <c r="F504" s="3">
        <f>IFERROR(__xludf.DUMMYFUNCTION("SPLIT(C504, ""-"")"),93.0)</f>
        <v>93</v>
      </c>
      <c r="G504" s="3">
        <f>IFERROR(__xludf.DUMMYFUNCTION("""COMPUTED_VALUE"""),94.0)</f>
        <v>94</v>
      </c>
      <c r="I504" s="3" t="str">
        <f t="shared" si="1"/>
        <v>y</v>
      </c>
      <c r="J504" s="3" t="str">
        <f t="shared" si="2"/>
        <v>y</v>
      </c>
      <c r="K504" s="3" t="str">
        <f t="shared" si="3"/>
        <v/>
      </c>
      <c r="L504" s="3" t="str">
        <f t="shared" si="4"/>
        <v>y</v>
      </c>
      <c r="N504" s="3">
        <f t="shared" si="5"/>
        <v>1</v>
      </c>
      <c r="O504" s="3" t="str">
        <f t="shared" si="6"/>
        <v/>
      </c>
      <c r="Q504" s="3">
        <f t="shared" si="7"/>
        <v>1</v>
      </c>
      <c r="U504" s="3" t="str">
        <f t="shared" si="8"/>
        <v>Överlapp</v>
      </c>
      <c r="V504" s="3" t="str">
        <f t="shared" si="9"/>
        <v>Överlapp</v>
      </c>
      <c r="W504" s="3" t="str">
        <f t="shared" si="10"/>
        <v>Överlapp</v>
      </c>
      <c r="X504" s="3" t="str">
        <f t="shared" si="11"/>
        <v/>
      </c>
    </row>
    <row r="505">
      <c r="A505" s="1" t="s">
        <v>509</v>
      </c>
      <c r="B505" s="3" t="str">
        <f>IFERROR(__xludf.DUMMYFUNCTION("SPLIT(A505, "","")"),"57-88")</f>
        <v>57-88</v>
      </c>
      <c r="C505" s="3" t="str">
        <f>IFERROR(__xludf.DUMMYFUNCTION("""COMPUTED_VALUE"""),"56-87")</f>
        <v>56-87</v>
      </c>
      <c r="D505" s="3">
        <f>IFERROR(__xludf.DUMMYFUNCTION("SPLIT(B505, ""-"")"),57.0)</f>
        <v>57</v>
      </c>
      <c r="E505" s="3">
        <f>IFERROR(__xludf.DUMMYFUNCTION("""COMPUTED_VALUE"""),88.0)</f>
        <v>88</v>
      </c>
      <c r="F505" s="3">
        <f>IFERROR(__xludf.DUMMYFUNCTION("SPLIT(C505, ""-"")"),56.0)</f>
        <v>56</v>
      </c>
      <c r="G505" s="3">
        <f>IFERROR(__xludf.DUMMYFUNCTION("""COMPUTED_VALUE"""),87.0)</f>
        <v>87</v>
      </c>
      <c r="I505" s="3" t="str">
        <f t="shared" si="1"/>
        <v/>
      </c>
      <c r="J505" s="3" t="str">
        <f t="shared" si="2"/>
        <v>y</v>
      </c>
      <c r="K505" s="3" t="str">
        <f t="shared" si="3"/>
        <v>y</v>
      </c>
      <c r="L505" s="3" t="str">
        <f t="shared" si="4"/>
        <v/>
      </c>
      <c r="N505" s="3" t="str">
        <f t="shared" si="5"/>
        <v/>
      </c>
      <c r="O505" s="3" t="str">
        <f t="shared" si="6"/>
        <v/>
      </c>
      <c r="Q505" s="3" t="str">
        <f t="shared" si="7"/>
        <v/>
      </c>
      <c r="U505" s="3">
        <f t="shared" si="8"/>
        <v>1</v>
      </c>
      <c r="V505" s="3" t="str">
        <f t="shared" si="9"/>
        <v>Överlapp</v>
      </c>
      <c r="W505" s="3" t="str">
        <f t="shared" si="10"/>
        <v>Överlapp</v>
      </c>
      <c r="X505" s="3" t="str">
        <f t="shared" si="11"/>
        <v/>
      </c>
    </row>
    <row r="506">
      <c r="A506" s="1" t="s">
        <v>510</v>
      </c>
      <c r="B506" s="3" t="str">
        <f>IFERROR(__xludf.DUMMYFUNCTION("SPLIT(A506, "","")"),"99-99")</f>
        <v>99-99</v>
      </c>
      <c r="C506" s="3" t="str">
        <f>IFERROR(__xludf.DUMMYFUNCTION("""COMPUTED_VALUE"""),"75-76")</f>
        <v>75-76</v>
      </c>
      <c r="D506" s="3">
        <f>IFERROR(__xludf.DUMMYFUNCTION("SPLIT(B506, ""-"")"),99.0)</f>
        <v>99</v>
      </c>
      <c r="E506" s="3">
        <f>IFERROR(__xludf.DUMMYFUNCTION("""COMPUTED_VALUE"""),99.0)</f>
        <v>99</v>
      </c>
      <c r="F506" s="3">
        <f>IFERROR(__xludf.DUMMYFUNCTION("SPLIT(C506, ""-"")"),75.0)</f>
        <v>75</v>
      </c>
      <c r="G506" s="3">
        <f>IFERROR(__xludf.DUMMYFUNCTION("""COMPUTED_VALUE"""),76.0)</f>
        <v>76</v>
      </c>
      <c r="I506" s="3" t="str">
        <f t="shared" si="1"/>
        <v/>
      </c>
      <c r="J506" s="3" t="str">
        <f t="shared" si="2"/>
        <v>y</v>
      </c>
      <c r="K506" s="3" t="str">
        <f t="shared" si="3"/>
        <v>y</v>
      </c>
      <c r="L506" s="3" t="str">
        <f t="shared" si="4"/>
        <v/>
      </c>
      <c r="N506" s="3" t="str">
        <f t="shared" si="5"/>
        <v/>
      </c>
      <c r="O506" s="3" t="str">
        <f t="shared" si="6"/>
        <v/>
      </c>
      <c r="Q506" s="3" t="str">
        <f t="shared" si="7"/>
        <v/>
      </c>
      <c r="U506" s="3">
        <f t="shared" si="8"/>
        <v>1</v>
      </c>
      <c r="V506" s="3" t="str">
        <f t="shared" si="9"/>
        <v>Överlapp</v>
      </c>
      <c r="W506" s="3">
        <f t="shared" si="10"/>
        <v>1</v>
      </c>
      <c r="X506" s="3">
        <f t="shared" si="11"/>
        <v>1</v>
      </c>
    </row>
    <row r="507">
      <c r="A507" s="1" t="s">
        <v>511</v>
      </c>
      <c r="B507" s="3" t="str">
        <f>IFERROR(__xludf.DUMMYFUNCTION("SPLIT(A507, "","")"),"24-43")</f>
        <v>24-43</v>
      </c>
      <c r="C507" s="3" t="str">
        <f>IFERROR(__xludf.DUMMYFUNCTION("""COMPUTED_VALUE"""),"24-51")</f>
        <v>24-51</v>
      </c>
      <c r="D507" s="3">
        <f>IFERROR(__xludf.DUMMYFUNCTION("SPLIT(B507, ""-"")"),24.0)</f>
        <v>24</v>
      </c>
      <c r="E507" s="3">
        <f>IFERROR(__xludf.DUMMYFUNCTION("""COMPUTED_VALUE"""),43.0)</f>
        <v>43</v>
      </c>
      <c r="F507" s="3">
        <f>IFERROR(__xludf.DUMMYFUNCTION("SPLIT(C507, ""-"")"),24.0)</f>
        <v>24</v>
      </c>
      <c r="G507" s="3">
        <f>IFERROR(__xludf.DUMMYFUNCTION("""COMPUTED_VALUE"""),51.0)</f>
        <v>51</v>
      </c>
      <c r="I507" s="3" t="str">
        <f t="shared" si="1"/>
        <v>y</v>
      </c>
      <c r="J507" s="3" t="str">
        <f t="shared" si="2"/>
        <v/>
      </c>
      <c r="K507" s="3" t="str">
        <f t="shared" si="3"/>
        <v>y</v>
      </c>
      <c r="L507" s="3" t="str">
        <f t="shared" si="4"/>
        <v>y</v>
      </c>
      <c r="N507" s="3" t="str">
        <f t="shared" si="5"/>
        <v/>
      </c>
      <c r="O507" s="3">
        <f t="shared" si="6"/>
        <v>1</v>
      </c>
      <c r="Q507" s="3">
        <f t="shared" si="7"/>
        <v>1</v>
      </c>
      <c r="U507" s="3" t="str">
        <f t="shared" si="8"/>
        <v>Överlapp</v>
      </c>
      <c r="V507" s="3" t="str">
        <f t="shared" si="9"/>
        <v>Överlapp</v>
      </c>
      <c r="W507" s="3" t="str">
        <f t="shared" si="10"/>
        <v>Överlapp</v>
      </c>
      <c r="X507" s="3" t="str">
        <f t="shared" si="11"/>
        <v/>
      </c>
    </row>
    <row r="508">
      <c r="A508" s="1" t="s">
        <v>512</v>
      </c>
      <c r="B508" s="3" t="str">
        <f>IFERROR(__xludf.DUMMYFUNCTION("SPLIT(A508, "","")"),"8-98")</f>
        <v>8-98</v>
      </c>
      <c r="C508" s="4">
        <f>IFERROR(__xludf.DUMMYFUNCTION("""COMPUTED_VALUE"""),44811.0)</f>
        <v>44811</v>
      </c>
      <c r="D508" s="3">
        <f>IFERROR(__xludf.DUMMYFUNCTION("SPLIT(B508, ""-"")"),8.0)</f>
        <v>8</v>
      </c>
      <c r="E508" s="3">
        <f>IFERROR(__xludf.DUMMYFUNCTION("""COMPUTED_VALUE"""),98.0)</f>
        <v>98</v>
      </c>
      <c r="F508" s="3">
        <f>IFERROR(__xludf.DUMMYFUNCTION("SPLIT(C508, ""-"")"),7.0)</f>
        <v>7</v>
      </c>
      <c r="G508" s="3">
        <f>IFERROR(__xludf.DUMMYFUNCTION("""COMPUTED_VALUE"""),9.0)</f>
        <v>9</v>
      </c>
      <c r="I508" s="3" t="str">
        <f t="shared" si="1"/>
        <v/>
      </c>
      <c r="J508" s="3" t="str">
        <f t="shared" si="2"/>
        <v>y</v>
      </c>
      <c r="K508" s="3" t="str">
        <f t="shared" si="3"/>
        <v>y</v>
      </c>
      <c r="L508" s="3" t="str">
        <f t="shared" si="4"/>
        <v/>
      </c>
      <c r="N508" s="3" t="str">
        <f t="shared" si="5"/>
        <v/>
      </c>
      <c r="O508" s="3" t="str">
        <f t="shared" si="6"/>
        <v/>
      </c>
      <c r="Q508" s="3" t="str">
        <f t="shared" si="7"/>
        <v/>
      </c>
      <c r="U508" s="3">
        <f t="shared" si="8"/>
        <v>1</v>
      </c>
      <c r="V508" s="3" t="str">
        <f t="shared" si="9"/>
        <v>Överlapp</v>
      </c>
      <c r="W508" s="3" t="str">
        <f t="shared" si="10"/>
        <v>Överlapp</v>
      </c>
      <c r="X508" s="3" t="str">
        <f t="shared" si="11"/>
        <v/>
      </c>
    </row>
    <row r="509">
      <c r="A509" s="1" t="s">
        <v>513</v>
      </c>
      <c r="B509" s="3" t="str">
        <f>IFERROR(__xludf.DUMMYFUNCTION("SPLIT(A509, "","")"),"30-85")</f>
        <v>30-85</v>
      </c>
      <c r="C509" s="3" t="str">
        <f>IFERROR(__xludf.DUMMYFUNCTION("""COMPUTED_VALUE"""),"21-30")</f>
        <v>21-30</v>
      </c>
      <c r="D509" s="3">
        <f>IFERROR(__xludf.DUMMYFUNCTION("SPLIT(B509, ""-"")"),30.0)</f>
        <v>30</v>
      </c>
      <c r="E509" s="3">
        <f>IFERROR(__xludf.DUMMYFUNCTION("""COMPUTED_VALUE"""),85.0)</f>
        <v>85</v>
      </c>
      <c r="F509" s="3">
        <f>IFERROR(__xludf.DUMMYFUNCTION("SPLIT(C509, ""-"")"),21.0)</f>
        <v>21</v>
      </c>
      <c r="G509" s="3">
        <f>IFERROR(__xludf.DUMMYFUNCTION("""COMPUTED_VALUE"""),30.0)</f>
        <v>30</v>
      </c>
      <c r="I509" s="3" t="str">
        <f t="shared" si="1"/>
        <v/>
      </c>
      <c r="J509" s="3" t="str">
        <f t="shared" si="2"/>
        <v>y</v>
      </c>
      <c r="K509" s="3" t="str">
        <f t="shared" si="3"/>
        <v>y</v>
      </c>
      <c r="L509" s="3" t="str">
        <f t="shared" si="4"/>
        <v/>
      </c>
      <c r="N509" s="3" t="str">
        <f t="shared" si="5"/>
        <v/>
      </c>
      <c r="O509" s="3" t="str">
        <f t="shared" si="6"/>
        <v/>
      </c>
      <c r="Q509" s="3" t="str">
        <f t="shared" si="7"/>
        <v/>
      </c>
      <c r="U509" s="3" t="str">
        <f t="shared" si="8"/>
        <v>Överlapp</v>
      </c>
      <c r="V509" s="3" t="str">
        <f t="shared" si="9"/>
        <v>Överlapp</v>
      </c>
      <c r="W509" s="3" t="str">
        <f t="shared" si="10"/>
        <v>Överlapp</v>
      </c>
      <c r="X509" s="3" t="str">
        <f t="shared" si="11"/>
        <v/>
      </c>
    </row>
    <row r="510">
      <c r="A510" s="1" t="s">
        <v>514</v>
      </c>
      <c r="B510" s="3" t="str">
        <f>IFERROR(__xludf.DUMMYFUNCTION("SPLIT(A510, "","")"),"6-92")</f>
        <v>6-92</v>
      </c>
      <c r="C510" s="3" t="str">
        <f>IFERROR(__xludf.DUMMYFUNCTION("""COMPUTED_VALUE"""),"1-93")</f>
        <v>1-93</v>
      </c>
      <c r="D510" s="3">
        <f>IFERROR(__xludf.DUMMYFUNCTION("SPLIT(B510, ""-"")"),6.0)</f>
        <v>6</v>
      </c>
      <c r="E510" s="3">
        <f>IFERROR(__xludf.DUMMYFUNCTION("""COMPUTED_VALUE"""),92.0)</f>
        <v>92</v>
      </c>
      <c r="F510" s="3">
        <f>IFERROR(__xludf.DUMMYFUNCTION("SPLIT(C510, ""-"")"),1.0)</f>
        <v>1</v>
      </c>
      <c r="G510" s="3">
        <f>IFERROR(__xludf.DUMMYFUNCTION("""COMPUTED_VALUE"""),93.0)</f>
        <v>93</v>
      </c>
      <c r="I510" s="3" t="str">
        <f t="shared" si="1"/>
        <v/>
      </c>
      <c r="J510" s="3" t="str">
        <f t="shared" si="2"/>
        <v/>
      </c>
      <c r="K510" s="3" t="str">
        <f t="shared" si="3"/>
        <v>y</v>
      </c>
      <c r="L510" s="3" t="str">
        <f t="shared" si="4"/>
        <v>y</v>
      </c>
      <c r="N510" s="3" t="str">
        <f t="shared" si="5"/>
        <v/>
      </c>
      <c r="O510" s="3">
        <f t="shared" si="6"/>
        <v>1</v>
      </c>
      <c r="Q510" s="3">
        <f t="shared" si="7"/>
        <v>1</v>
      </c>
      <c r="U510" s="3">
        <f t="shared" si="8"/>
        <v>1</v>
      </c>
      <c r="V510" s="3" t="str">
        <f t="shared" si="9"/>
        <v>Överlapp</v>
      </c>
      <c r="W510" s="3" t="str">
        <f t="shared" si="10"/>
        <v>Överlapp</v>
      </c>
      <c r="X510" s="3" t="str">
        <f t="shared" si="11"/>
        <v/>
      </c>
    </row>
    <row r="511">
      <c r="A511" s="1" t="s">
        <v>515</v>
      </c>
      <c r="B511" s="3" t="str">
        <f>IFERROR(__xludf.DUMMYFUNCTION("SPLIT(A511, "","")"),"79-80")</f>
        <v>79-80</v>
      </c>
      <c r="C511" s="3" t="str">
        <f>IFERROR(__xludf.DUMMYFUNCTION("""COMPUTED_VALUE"""),"48-79")</f>
        <v>48-79</v>
      </c>
      <c r="D511" s="3">
        <f>IFERROR(__xludf.DUMMYFUNCTION("SPLIT(B511, ""-"")"),79.0)</f>
        <v>79</v>
      </c>
      <c r="E511" s="3">
        <f>IFERROR(__xludf.DUMMYFUNCTION("""COMPUTED_VALUE"""),80.0)</f>
        <v>80</v>
      </c>
      <c r="F511" s="3">
        <f>IFERROR(__xludf.DUMMYFUNCTION("SPLIT(C511, ""-"")"),48.0)</f>
        <v>48</v>
      </c>
      <c r="G511" s="3">
        <f>IFERROR(__xludf.DUMMYFUNCTION("""COMPUTED_VALUE"""),79.0)</f>
        <v>79</v>
      </c>
      <c r="I511" s="3" t="str">
        <f t="shared" si="1"/>
        <v/>
      </c>
      <c r="J511" s="3" t="str">
        <f t="shared" si="2"/>
        <v>y</v>
      </c>
      <c r="K511" s="3" t="str">
        <f t="shared" si="3"/>
        <v>y</v>
      </c>
      <c r="L511" s="3" t="str">
        <f t="shared" si="4"/>
        <v/>
      </c>
      <c r="N511" s="3" t="str">
        <f t="shared" si="5"/>
        <v/>
      </c>
      <c r="O511" s="3" t="str">
        <f t="shared" si="6"/>
        <v/>
      </c>
      <c r="Q511" s="3" t="str">
        <f t="shared" si="7"/>
        <v/>
      </c>
      <c r="U511" s="3" t="str">
        <f t="shared" si="8"/>
        <v>Överlapp</v>
      </c>
      <c r="V511" s="3" t="str">
        <f t="shared" si="9"/>
        <v>Överlapp</v>
      </c>
      <c r="W511" s="3" t="str">
        <f t="shared" si="10"/>
        <v>Överlapp</v>
      </c>
      <c r="X511" s="3" t="str">
        <f t="shared" si="11"/>
        <v/>
      </c>
    </row>
    <row r="512">
      <c r="A512" s="1" t="s">
        <v>516</v>
      </c>
      <c r="B512" s="3" t="str">
        <f>IFERROR(__xludf.DUMMYFUNCTION("SPLIT(A512, "","")"),"71-73")</f>
        <v>71-73</v>
      </c>
      <c r="C512" s="3" t="str">
        <f>IFERROR(__xludf.DUMMYFUNCTION("""COMPUTED_VALUE"""),"68-72")</f>
        <v>68-72</v>
      </c>
      <c r="D512" s="3">
        <f>IFERROR(__xludf.DUMMYFUNCTION("SPLIT(B512, ""-"")"),71.0)</f>
        <v>71</v>
      </c>
      <c r="E512" s="3">
        <f>IFERROR(__xludf.DUMMYFUNCTION("""COMPUTED_VALUE"""),73.0)</f>
        <v>73</v>
      </c>
      <c r="F512" s="3">
        <f>IFERROR(__xludf.DUMMYFUNCTION("SPLIT(C512, ""-"")"),68.0)</f>
        <v>68</v>
      </c>
      <c r="G512" s="3">
        <f>IFERROR(__xludf.DUMMYFUNCTION("""COMPUTED_VALUE"""),72.0)</f>
        <v>72</v>
      </c>
      <c r="I512" s="3" t="str">
        <f t="shared" si="1"/>
        <v/>
      </c>
      <c r="J512" s="3" t="str">
        <f t="shared" si="2"/>
        <v>y</v>
      </c>
      <c r="K512" s="3" t="str">
        <f t="shared" si="3"/>
        <v>y</v>
      </c>
      <c r="L512" s="3" t="str">
        <f t="shared" si="4"/>
        <v/>
      </c>
      <c r="N512" s="3" t="str">
        <f t="shared" si="5"/>
        <v/>
      </c>
      <c r="O512" s="3" t="str">
        <f t="shared" si="6"/>
        <v/>
      </c>
      <c r="Q512" s="3" t="str">
        <f t="shared" si="7"/>
        <v/>
      </c>
      <c r="U512" s="3">
        <f t="shared" si="8"/>
        <v>1</v>
      </c>
      <c r="V512" s="3" t="str">
        <f t="shared" si="9"/>
        <v>Överlapp</v>
      </c>
      <c r="W512" s="3" t="str">
        <f t="shared" si="10"/>
        <v>Överlapp</v>
      </c>
      <c r="X512" s="3" t="str">
        <f t="shared" si="11"/>
        <v/>
      </c>
    </row>
    <row r="513">
      <c r="A513" s="1" t="s">
        <v>517</v>
      </c>
      <c r="B513" s="3" t="str">
        <f>IFERROR(__xludf.DUMMYFUNCTION("SPLIT(A513, "","")"),"33-98")</f>
        <v>33-98</v>
      </c>
      <c r="C513" s="3" t="str">
        <f>IFERROR(__xludf.DUMMYFUNCTION("""COMPUTED_VALUE"""),"33-53")</f>
        <v>33-53</v>
      </c>
      <c r="D513" s="3">
        <f>IFERROR(__xludf.DUMMYFUNCTION("SPLIT(B513, ""-"")"),33.0)</f>
        <v>33</v>
      </c>
      <c r="E513" s="3">
        <f>IFERROR(__xludf.DUMMYFUNCTION("""COMPUTED_VALUE"""),98.0)</f>
        <v>98</v>
      </c>
      <c r="F513" s="3">
        <f>IFERROR(__xludf.DUMMYFUNCTION("SPLIT(C513, ""-"")"),33.0)</f>
        <v>33</v>
      </c>
      <c r="G513" s="3">
        <f>IFERROR(__xludf.DUMMYFUNCTION("""COMPUTED_VALUE"""),53.0)</f>
        <v>53</v>
      </c>
      <c r="I513" s="3" t="str">
        <f t="shared" si="1"/>
        <v>y</v>
      </c>
      <c r="J513" s="3" t="str">
        <f t="shared" si="2"/>
        <v>y</v>
      </c>
      <c r="K513" s="3" t="str">
        <f t="shared" si="3"/>
        <v>y</v>
      </c>
      <c r="L513" s="3" t="str">
        <f t="shared" si="4"/>
        <v/>
      </c>
      <c r="N513" s="3">
        <f t="shared" si="5"/>
        <v>1</v>
      </c>
      <c r="O513" s="3" t="str">
        <f t="shared" si="6"/>
        <v/>
      </c>
      <c r="Q513" s="3">
        <f t="shared" si="7"/>
        <v>1</v>
      </c>
      <c r="U513" s="3" t="str">
        <f t="shared" si="8"/>
        <v>Överlapp</v>
      </c>
      <c r="V513" s="3" t="str">
        <f t="shared" si="9"/>
        <v>Överlapp</v>
      </c>
      <c r="W513" s="3" t="str">
        <f t="shared" si="10"/>
        <v>Överlapp</v>
      </c>
      <c r="X513" s="3" t="str">
        <f t="shared" si="11"/>
        <v/>
      </c>
    </row>
    <row r="514">
      <c r="A514" s="1" t="s">
        <v>518</v>
      </c>
      <c r="B514" s="3" t="str">
        <f>IFERROR(__xludf.DUMMYFUNCTION("SPLIT(A514, "","")"),"20-99")</f>
        <v>20-99</v>
      </c>
      <c r="C514" s="3" t="str">
        <f>IFERROR(__xludf.DUMMYFUNCTION("""COMPUTED_VALUE"""),"19-21")</f>
        <v>19-21</v>
      </c>
      <c r="D514" s="3">
        <f>IFERROR(__xludf.DUMMYFUNCTION("SPLIT(B514, ""-"")"),20.0)</f>
        <v>20</v>
      </c>
      <c r="E514" s="3">
        <f>IFERROR(__xludf.DUMMYFUNCTION("""COMPUTED_VALUE"""),99.0)</f>
        <v>99</v>
      </c>
      <c r="F514" s="3">
        <f>IFERROR(__xludf.DUMMYFUNCTION("SPLIT(C514, ""-"")"),19.0)</f>
        <v>19</v>
      </c>
      <c r="G514" s="3">
        <f>IFERROR(__xludf.DUMMYFUNCTION("""COMPUTED_VALUE"""),21.0)</f>
        <v>21</v>
      </c>
      <c r="I514" s="3" t="str">
        <f t="shared" si="1"/>
        <v/>
      </c>
      <c r="J514" s="3" t="str">
        <f t="shared" si="2"/>
        <v>y</v>
      </c>
      <c r="K514" s="3" t="str">
        <f t="shared" si="3"/>
        <v>y</v>
      </c>
      <c r="L514" s="3" t="str">
        <f t="shared" si="4"/>
        <v/>
      </c>
      <c r="N514" s="3" t="str">
        <f t="shared" si="5"/>
        <v/>
      </c>
      <c r="O514" s="3" t="str">
        <f t="shared" si="6"/>
        <v/>
      </c>
      <c r="Q514" s="3" t="str">
        <f t="shared" si="7"/>
        <v/>
      </c>
      <c r="U514" s="3">
        <f t="shared" si="8"/>
        <v>1</v>
      </c>
      <c r="V514" s="3" t="str">
        <f t="shared" si="9"/>
        <v>Överlapp</v>
      </c>
      <c r="W514" s="3" t="str">
        <f t="shared" si="10"/>
        <v>Överlapp</v>
      </c>
      <c r="X514" s="3" t="str">
        <f t="shared" si="11"/>
        <v/>
      </c>
    </row>
    <row r="515">
      <c r="A515" s="1" t="s">
        <v>519</v>
      </c>
      <c r="B515" s="3" t="str">
        <f>IFERROR(__xludf.DUMMYFUNCTION("SPLIT(A515, "","")"),"48-84")</f>
        <v>48-84</v>
      </c>
      <c r="C515" s="3" t="str">
        <f>IFERROR(__xludf.DUMMYFUNCTION("""COMPUTED_VALUE"""),"6-41")</f>
        <v>6-41</v>
      </c>
      <c r="D515" s="3">
        <f>IFERROR(__xludf.DUMMYFUNCTION("SPLIT(B515, ""-"")"),48.0)</f>
        <v>48</v>
      </c>
      <c r="E515" s="3">
        <f>IFERROR(__xludf.DUMMYFUNCTION("""COMPUTED_VALUE"""),84.0)</f>
        <v>84</v>
      </c>
      <c r="F515" s="3">
        <f>IFERROR(__xludf.DUMMYFUNCTION("SPLIT(C515, ""-"")"),6.0)</f>
        <v>6</v>
      </c>
      <c r="G515" s="3">
        <f>IFERROR(__xludf.DUMMYFUNCTION("""COMPUTED_VALUE"""),41.0)</f>
        <v>41</v>
      </c>
      <c r="I515" s="3" t="str">
        <f t="shared" si="1"/>
        <v/>
      </c>
      <c r="J515" s="3" t="str">
        <f t="shared" si="2"/>
        <v>y</v>
      </c>
      <c r="K515" s="3" t="str">
        <f t="shared" si="3"/>
        <v>y</v>
      </c>
      <c r="L515" s="3" t="str">
        <f t="shared" si="4"/>
        <v/>
      </c>
      <c r="N515" s="3" t="str">
        <f t="shared" si="5"/>
        <v/>
      </c>
      <c r="O515" s="3" t="str">
        <f t="shared" si="6"/>
        <v/>
      </c>
      <c r="Q515" s="3" t="str">
        <f t="shared" si="7"/>
        <v/>
      </c>
      <c r="U515" s="3">
        <f t="shared" si="8"/>
        <v>1</v>
      </c>
      <c r="V515" s="3" t="str">
        <f t="shared" si="9"/>
        <v>Överlapp</v>
      </c>
      <c r="W515" s="3">
        <f t="shared" si="10"/>
        <v>1</v>
      </c>
      <c r="X515" s="3">
        <f t="shared" si="11"/>
        <v>1</v>
      </c>
    </row>
    <row r="516">
      <c r="A516" s="1" t="s">
        <v>520</v>
      </c>
      <c r="B516" s="3" t="str">
        <f>IFERROR(__xludf.DUMMYFUNCTION("SPLIT(A516, "","")"),"81-81")</f>
        <v>81-81</v>
      </c>
      <c r="C516" s="3" t="str">
        <f>IFERROR(__xludf.DUMMYFUNCTION("""COMPUTED_VALUE"""),"80-86")</f>
        <v>80-86</v>
      </c>
      <c r="D516" s="3">
        <f>IFERROR(__xludf.DUMMYFUNCTION("SPLIT(B516, ""-"")"),81.0)</f>
        <v>81</v>
      </c>
      <c r="E516" s="3">
        <f>IFERROR(__xludf.DUMMYFUNCTION("""COMPUTED_VALUE"""),81.0)</f>
        <v>81</v>
      </c>
      <c r="F516" s="3">
        <f>IFERROR(__xludf.DUMMYFUNCTION("SPLIT(C516, ""-"")"),80.0)</f>
        <v>80</v>
      </c>
      <c r="G516" s="3">
        <f>IFERROR(__xludf.DUMMYFUNCTION("""COMPUTED_VALUE"""),86.0)</f>
        <v>86</v>
      </c>
      <c r="I516" s="3" t="str">
        <f t="shared" si="1"/>
        <v/>
      </c>
      <c r="J516" s="3" t="str">
        <f t="shared" si="2"/>
        <v/>
      </c>
      <c r="K516" s="3" t="str">
        <f t="shared" si="3"/>
        <v>y</v>
      </c>
      <c r="L516" s="3" t="str">
        <f t="shared" si="4"/>
        <v>y</v>
      </c>
      <c r="N516" s="3" t="str">
        <f t="shared" si="5"/>
        <v/>
      </c>
      <c r="O516" s="3">
        <f t="shared" si="6"/>
        <v>1</v>
      </c>
      <c r="Q516" s="3">
        <f t="shared" si="7"/>
        <v>1</v>
      </c>
      <c r="U516" s="3">
        <f t="shared" si="8"/>
        <v>1</v>
      </c>
      <c r="V516" s="3" t="str">
        <f t="shared" si="9"/>
        <v>Överlapp</v>
      </c>
      <c r="W516" s="3" t="str">
        <f t="shared" si="10"/>
        <v>Överlapp</v>
      </c>
      <c r="X516" s="3" t="str">
        <f t="shared" si="11"/>
        <v/>
      </c>
    </row>
    <row r="517">
      <c r="A517" s="1" t="s">
        <v>521</v>
      </c>
      <c r="B517" s="3" t="str">
        <f>IFERROR(__xludf.DUMMYFUNCTION("SPLIT(A517, "","")"),"71-91")</f>
        <v>71-91</v>
      </c>
      <c r="C517" s="3" t="str">
        <f>IFERROR(__xludf.DUMMYFUNCTION("""COMPUTED_VALUE"""),"70-92")</f>
        <v>70-92</v>
      </c>
      <c r="D517" s="3">
        <f>IFERROR(__xludf.DUMMYFUNCTION("SPLIT(B517, ""-"")"),71.0)</f>
        <v>71</v>
      </c>
      <c r="E517" s="3">
        <f>IFERROR(__xludf.DUMMYFUNCTION("""COMPUTED_VALUE"""),91.0)</f>
        <v>91</v>
      </c>
      <c r="F517" s="3">
        <f>IFERROR(__xludf.DUMMYFUNCTION("SPLIT(C517, ""-"")"),70.0)</f>
        <v>70</v>
      </c>
      <c r="G517" s="3">
        <f>IFERROR(__xludf.DUMMYFUNCTION("""COMPUTED_VALUE"""),92.0)</f>
        <v>92</v>
      </c>
      <c r="I517" s="3" t="str">
        <f t="shared" si="1"/>
        <v/>
      </c>
      <c r="J517" s="3" t="str">
        <f t="shared" si="2"/>
        <v/>
      </c>
      <c r="K517" s="3" t="str">
        <f t="shared" si="3"/>
        <v>y</v>
      </c>
      <c r="L517" s="3" t="str">
        <f t="shared" si="4"/>
        <v>y</v>
      </c>
      <c r="N517" s="3" t="str">
        <f t="shared" si="5"/>
        <v/>
      </c>
      <c r="O517" s="3">
        <f t="shared" si="6"/>
        <v>1</v>
      </c>
      <c r="Q517" s="3">
        <f t="shared" si="7"/>
        <v>1</v>
      </c>
      <c r="U517" s="3">
        <f t="shared" si="8"/>
        <v>1</v>
      </c>
      <c r="V517" s="3" t="str">
        <f t="shared" si="9"/>
        <v>Överlapp</v>
      </c>
      <c r="W517" s="3" t="str">
        <f t="shared" si="10"/>
        <v>Överlapp</v>
      </c>
      <c r="X517" s="3" t="str">
        <f t="shared" si="11"/>
        <v/>
      </c>
    </row>
    <row r="518">
      <c r="A518" s="1" t="s">
        <v>522</v>
      </c>
      <c r="B518" s="4">
        <f>IFERROR(__xludf.DUMMYFUNCTION("SPLIT(A518, "","")"),44749.0)</f>
        <v>44749</v>
      </c>
      <c r="C518" s="3" t="str">
        <f>IFERROR(__xludf.DUMMYFUNCTION("""COMPUTED_VALUE"""),"7-99")</f>
        <v>7-99</v>
      </c>
      <c r="D518" s="3">
        <f>IFERROR(__xludf.DUMMYFUNCTION("SPLIT(B518, ""-"")"),7.0)</f>
        <v>7</v>
      </c>
      <c r="E518" s="3">
        <f>IFERROR(__xludf.DUMMYFUNCTION("""COMPUTED_VALUE"""),7.0)</f>
        <v>7</v>
      </c>
      <c r="F518" s="3">
        <f>IFERROR(__xludf.DUMMYFUNCTION("SPLIT(C518, ""-"")"),7.0)</f>
        <v>7</v>
      </c>
      <c r="G518" s="3">
        <f>IFERROR(__xludf.DUMMYFUNCTION("""COMPUTED_VALUE"""),99.0)</f>
        <v>99</v>
      </c>
      <c r="I518" s="3" t="str">
        <f t="shared" si="1"/>
        <v>y</v>
      </c>
      <c r="J518" s="3" t="str">
        <f t="shared" si="2"/>
        <v/>
      </c>
      <c r="K518" s="3" t="str">
        <f t="shared" si="3"/>
        <v>y</v>
      </c>
      <c r="L518" s="3" t="str">
        <f t="shared" si="4"/>
        <v>y</v>
      </c>
      <c r="N518" s="3" t="str">
        <f t="shared" si="5"/>
        <v/>
      </c>
      <c r="O518" s="3">
        <f t="shared" si="6"/>
        <v>1</v>
      </c>
      <c r="Q518" s="3">
        <f t="shared" si="7"/>
        <v>1</v>
      </c>
      <c r="U518" s="3" t="str">
        <f t="shared" si="8"/>
        <v>Överlapp</v>
      </c>
      <c r="V518" s="3" t="str">
        <f t="shared" si="9"/>
        <v>Överlapp</v>
      </c>
      <c r="W518" s="3" t="str">
        <f t="shared" si="10"/>
        <v>Överlapp</v>
      </c>
      <c r="X518" s="3" t="str">
        <f t="shared" si="11"/>
        <v/>
      </c>
    </row>
    <row r="519">
      <c r="A519" s="1" t="s">
        <v>523</v>
      </c>
      <c r="B519" s="3" t="str">
        <f>IFERROR(__xludf.DUMMYFUNCTION("SPLIT(A519, "","")"),"17-17")</f>
        <v>17-17</v>
      </c>
      <c r="C519" s="3" t="str">
        <f>IFERROR(__xludf.DUMMYFUNCTION("""COMPUTED_VALUE"""),"16-97")</f>
        <v>16-97</v>
      </c>
      <c r="D519" s="3">
        <f>IFERROR(__xludf.DUMMYFUNCTION("SPLIT(B519, ""-"")"),17.0)</f>
        <v>17</v>
      </c>
      <c r="E519" s="3">
        <f>IFERROR(__xludf.DUMMYFUNCTION("""COMPUTED_VALUE"""),17.0)</f>
        <v>17</v>
      </c>
      <c r="F519" s="3">
        <f>IFERROR(__xludf.DUMMYFUNCTION("SPLIT(C519, ""-"")"),16.0)</f>
        <v>16</v>
      </c>
      <c r="G519" s="3">
        <f>IFERROR(__xludf.DUMMYFUNCTION("""COMPUTED_VALUE"""),97.0)</f>
        <v>97</v>
      </c>
      <c r="I519" s="3" t="str">
        <f t="shared" si="1"/>
        <v/>
      </c>
      <c r="J519" s="3" t="str">
        <f t="shared" si="2"/>
        <v/>
      </c>
      <c r="K519" s="3" t="str">
        <f t="shared" si="3"/>
        <v>y</v>
      </c>
      <c r="L519" s="3" t="str">
        <f t="shared" si="4"/>
        <v>y</v>
      </c>
      <c r="N519" s="3" t="str">
        <f t="shared" si="5"/>
        <v/>
      </c>
      <c r="O519" s="3">
        <f t="shared" si="6"/>
        <v>1</v>
      </c>
      <c r="Q519" s="3">
        <f t="shared" si="7"/>
        <v>1</v>
      </c>
      <c r="U519" s="3">
        <f t="shared" si="8"/>
        <v>1</v>
      </c>
      <c r="V519" s="3" t="str">
        <f t="shared" si="9"/>
        <v>Överlapp</v>
      </c>
      <c r="W519" s="3" t="str">
        <f t="shared" si="10"/>
        <v>Överlapp</v>
      </c>
      <c r="X519" s="3" t="str">
        <f t="shared" si="11"/>
        <v/>
      </c>
    </row>
    <row r="520">
      <c r="A520" s="1" t="s">
        <v>524</v>
      </c>
      <c r="B520" s="4">
        <f>IFERROR(__xludf.DUMMYFUNCTION("SPLIT(A520, "","")"),44897.0)</f>
        <v>44897</v>
      </c>
      <c r="C520" s="4">
        <f>IFERROR(__xludf.DUMMYFUNCTION("""COMPUTED_VALUE"""),44562.0)</f>
        <v>44562</v>
      </c>
      <c r="D520" s="3">
        <f>IFERROR(__xludf.DUMMYFUNCTION("SPLIT(B520, ""-"")"),2.0)</f>
        <v>2</v>
      </c>
      <c r="E520" s="3">
        <f>IFERROR(__xludf.DUMMYFUNCTION("""COMPUTED_VALUE"""),12.0)</f>
        <v>12</v>
      </c>
      <c r="F520" s="3">
        <f>IFERROR(__xludf.DUMMYFUNCTION("SPLIT(C520, ""-"")"),1.0)</f>
        <v>1</v>
      </c>
      <c r="G520" s="3">
        <f>IFERROR(__xludf.DUMMYFUNCTION("""COMPUTED_VALUE"""),1.0)</f>
        <v>1</v>
      </c>
      <c r="I520" s="3" t="str">
        <f t="shared" si="1"/>
        <v/>
      </c>
      <c r="J520" s="3" t="str">
        <f t="shared" si="2"/>
        <v>y</v>
      </c>
      <c r="K520" s="3" t="str">
        <f t="shared" si="3"/>
        <v>y</v>
      </c>
      <c r="L520" s="3" t="str">
        <f t="shared" si="4"/>
        <v/>
      </c>
      <c r="N520" s="3" t="str">
        <f t="shared" si="5"/>
        <v/>
      </c>
      <c r="O520" s="3" t="str">
        <f t="shared" si="6"/>
        <v/>
      </c>
      <c r="Q520" s="3" t="str">
        <f t="shared" si="7"/>
        <v/>
      </c>
      <c r="U520" s="3">
        <f t="shared" si="8"/>
        <v>1</v>
      </c>
      <c r="V520" s="3" t="str">
        <f t="shared" si="9"/>
        <v>Överlapp</v>
      </c>
      <c r="W520" s="3">
        <f t="shared" si="10"/>
        <v>1</v>
      </c>
      <c r="X520" s="3">
        <f t="shared" si="11"/>
        <v>1</v>
      </c>
    </row>
    <row r="521">
      <c r="A521" s="1" t="s">
        <v>525</v>
      </c>
      <c r="B521" s="3" t="str">
        <f>IFERROR(__xludf.DUMMYFUNCTION("SPLIT(A521, "","")"),"17-30")</f>
        <v>17-30</v>
      </c>
      <c r="C521" s="3" t="str">
        <f>IFERROR(__xludf.DUMMYFUNCTION("""COMPUTED_VALUE"""),"30-31")</f>
        <v>30-31</v>
      </c>
      <c r="D521" s="3">
        <f>IFERROR(__xludf.DUMMYFUNCTION("SPLIT(B521, ""-"")"),17.0)</f>
        <v>17</v>
      </c>
      <c r="E521" s="3">
        <f>IFERROR(__xludf.DUMMYFUNCTION("""COMPUTED_VALUE"""),30.0)</f>
        <v>30</v>
      </c>
      <c r="F521" s="3">
        <f>IFERROR(__xludf.DUMMYFUNCTION("SPLIT(C521, ""-"")"),30.0)</f>
        <v>30</v>
      </c>
      <c r="G521" s="3">
        <f>IFERROR(__xludf.DUMMYFUNCTION("""COMPUTED_VALUE"""),31.0)</f>
        <v>31</v>
      </c>
      <c r="I521" s="3" t="str">
        <f t="shared" si="1"/>
        <v>y</v>
      </c>
      <c r="J521" s="3" t="str">
        <f t="shared" si="2"/>
        <v/>
      </c>
      <c r="K521" s="3" t="str">
        <f t="shared" si="3"/>
        <v/>
      </c>
      <c r="L521" s="3" t="str">
        <f t="shared" si="4"/>
        <v>y</v>
      </c>
      <c r="N521" s="3" t="str">
        <f t="shared" si="5"/>
        <v/>
      </c>
      <c r="O521" s="3" t="str">
        <f t="shared" si="6"/>
        <v/>
      </c>
      <c r="Q521" s="3" t="str">
        <f t="shared" si="7"/>
        <v/>
      </c>
      <c r="U521" s="3" t="str">
        <f t="shared" si="8"/>
        <v>Överlapp</v>
      </c>
      <c r="V521" s="3" t="str">
        <f t="shared" si="9"/>
        <v>Överlapp</v>
      </c>
      <c r="W521" s="3" t="str">
        <f t="shared" si="10"/>
        <v>Överlapp</v>
      </c>
      <c r="X521" s="3" t="str">
        <f t="shared" si="11"/>
        <v/>
      </c>
    </row>
    <row r="522">
      <c r="A522" s="1" t="s">
        <v>526</v>
      </c>
      <c r="B522" s="3" t="str">
        <f>IFERROR(__xludf.DUMMYFUNCTION("SPLIT(A522, "","")"),"66-66")</f>
        <v>66-66</v>
      </c>
      <c r="C522" s="3" t="str">
        <f>IFERROR(__xludf.DUMMYFUNCTION("""COMPUTED_VALUE"""),"65-96")</f>
        <v>65-96</v>
      </c>
      <c r="D522" s="3">
        <f>IFERROR(__xludf.DUMMYFUNCTION("SPLIT(B522, ""-"")"),66.0)</f>
        <v>66</v>
      </c>
      <c r="E522" s="3">
        <f>IFERROR(__xludf.DUMMYFUNCTION("""COMPUTED_VALUE"""),66.0)</f>
        <v>66</v>
      </c>
      <c r="F522" s="3">
        <f>IFERROR(__xludf.DUMMYFUNCTION("SPLIT(C522, ""-"")"),65.0)</f>
        <v>65</v>
      </c>
      <c r="G522" s="3">
        <f>IFERROR(__xludf.DUMMYFUNCTION("""COMPUTED_VALUE"""),96.0)</f>
        <v>96</v>
      </c>
      <c r="I522" s="3" t="str">
        <f t="shared" si="1"/>
        <v/>
      </c>
      <c r="J522" s="3" t="str">
        <f t="shared" si="2"/>
        <v/>
      </c>
      <c r="K522" s="3" t="str">
        <f t="shared" si="3"/>
        <v>y</v>
      </c>
      <c r="L522" s="3" t="str">
        <f t="shared" si="4"/>
        <v>y</v>
      </c>
      <c r="N522" s="3" t="str">
        <f t="shared" si="5"/>
        <v/>
      </c>
      <c r="O522" s="3">
        <f t="shared" si="6"/>
        <v>1</v>
      </c>
      <c r="Q522" s="3">
        <f t="shared" si="7"/>
        <v>1</v>
      </c>
      <c r="U522" s="3">
        <f t="shared" si="8"/>
        <v>1</v>
      </c>
      <c r="V522" s="3" t="str">
        <f t="shared" si="9"/>
        <v>Överlapp</v>
      </c>
      <c r="W522" s="3" t="str">
        <f t="shared" si="10"/>
        <v>Överlapp</v>
      </c>
      <c r="X522" s="3" t="str">
        <f t="shared" si="11"/>
        <v/>
      </c>
    </row>
    <row r="523">
      <c r="A523" s="1" t="s">
        <v>527</v>
      </c>
      <c r="B523" s="3" t="str">
        <f>IFERROR(__xludf.DUMMYFUNCTION("SPLIT(A523, "","")"),"15-66")</f>
        <v>15-66</v>
      </c>
      <c r="C523" s="3" t="str">
        <f>IFERROR(__xludf.DUMMYFUNCTION("""COMPUTED_VALUE"""),"16-16")</f>
        <v>16-16</v>
      </c>
      <c r="D523" s="3">
        <f>IFERROR(__xludf.DUMMYFUNCTION("SPLIT(B523, ""-"")"),15.0)</f>
        <v>15</v>
      </c>
      <c r="E523" s="3">
        <f>IFERROR(__xludf.DUMMYFUNCTION("""COMPUTED_VALUE"""),66.0)</f>
        <v>66</v>
      </c>
      <c r="F523" s="3">
        <f>IFERROR(__xludf.DUMMYFUNCTION("SPLIT(C523, ""-"")"),16.0)</f>
        <v>16</v>
      </c>
      <c r="G523" s="3">
        <f>IFERROR(__xludf.DUMMYFUNCTION("""COMPUTED_VALUE"""),16.0)</f>
        <v>16</v>
      </c>
      <c r="I523" s="3" t="str">
        <f t="shared" si="1"/>
        <v>y</v>
      </c>
      <c r="J523" s="3" t="str">
        <f t="shared" si="2"/>
        <v>y</v>
      </c>
      <c r="K523" s="3" t="str">
        <f t="shared" si="3"/>
        <v/>
      </c>
      <c r="L523" s="3" t="str">
        <f t="shared" si="4"/>
        <v/>
      </c>
      <c r="N523" s="3">
        <f t="shared" si="5"/>
        <v>1</v>
      </c>
      <c r="O523" s="3" t="str">
        <f t="shared" si="6"/>
        <v/>
      </c>
      <c r="Q523" s="3">
        <f t="shared" si="7"/>
        <v>1</v>
      </c>
      <c r="U523" s="3">
        <f t="shared" si="8"/>
        <v>1</v>
      </c>
      <c r="V523" s="3" t="str">
        <f t="shared" si="9"/>
        <v>Överlapp</v>
      </c>
      <c r="W523" s="3" t="str">
        <f t="shared" si="10"/>
        <v>Överlapp</v>
      </c>
      <c r="X523" s="3" t="str">
        <f t="shared" si="11"/>
        <v/>
      </c>
    </row>
    <row r="524">
      <c r="A524" s="1" t="s">
        <v>528</v>
      </c>
      <c r="B524" s="3" t="str">
        <f>IFERROR(__xludf.DUMMYFUNCTION("SPLIT(A524, "","")"),"8-80")</f>
        <v>8-80</v>
      </c>
      <c r="C524" s="3" t="str">
        <f>IFERROR(__xludf.DUMMYFUNCTION("""COMPUTED_VALUE"""),"81-88")</f>
        <v>81-88</v>
      </c>
      <c r="D524" s="3">
        <f>IFERROR(__xludf.DUMMYFUNCTION("SPLIT(B524, ""-"")"),8.0)</f>
        <v>8</v>
      </c>
      <c r="E524" s="3">
        <f>IFERROR(__xludf.DUMMYFUNCTION("""COMPUTED_VALUE"""),80.0)</f>
        <v>80</v>
      </c>
      <c r="F524" s="3">
        <f>IFERROR(__xludf.DUMMYFUNCTION("SPLIT(C524, ""-"")"),81.0)</f>
        <v>81</v>
      </c>
      <c r="G524" s="3">
        <f>IFERROR(__xludf.DUMMYFUNCTION("""COMPUTED_VALUE"""),88.0)</f>
        <v>88</v>
      </c>
      <c r="I524" s="3" t="str">
        <f t="shared" si="1"/>
        <v>y</v>
      </c>
      <c r="J524" s="3" t="str">
        <f t="shared" si="2"/>
        <v/>
      </c>
      <c r="K524" s="3" t="str">
        <f t="shared" si="3"/>
        <v/>
      </c>
      <c r="L524" s="3" t="str">
        <f t="shared" si="4"/>
        <v>y</v>
      </c>
      <c r="N524" s="3" t="str">
        <f t="shared" si="5"/>
        <v/>
      </c>
      <c r="O524" s="3" t="str">
        <f t="shared" si="6"/>
        <v/>
      </c>
      <c r="Q524" s="3" t="str">
        <f t="shared" si="7"/>
        <v/>
      </c>
      <c r="U524" s="3">
        <f t="shared" si="8"/>
        <v>1</v>
      </c>
      <c r="V524" s="3">
        <f t="shared" si="9"/>
        <v>1</v>
      </c>
      <c r="W524" s="3" t="str">
        <f t="shared" si="10"/>
        <v>Överlapp</v>
      </c>
      <c r="X524" s="3">
        <f t="shared" si="11"/>
        <v>1</v>
      </c>
    </row>
    <row r="525">
      <c r="A525" s="1" t="s">
        <v>529</v>
      </c>
      <c r="B525" s="3" t="str">
        <f>IFERROR(__xludf.DUMMYFUNCTION("SPLIT(A525, "","")"),"28-69")</f>
        <v>28-69</v>
      </c>
      <c r="C525" s="3" t="str">
        <f>IFERROR(__xludf.DUMMYFUNCTION("""COMPUTED_VALUE"""),"17-77")</f>
        <v>17-77</v>
      </c>
      <c r="D525" s="3">
        <f>IFERROR(__xludf.DUMMYFUNCTION("SPLIT(B525, ""-"")"),28.0)</f>
        <v>28</v>
      </c>
      <c r="E525" s="3">
        <f>IFERROR(__xludf.DUMMYFUNCTION("""COMPUTED_VALUE"""),69.0)</f>
        <v>69</v>
      </c>
      <c r="F525" s="3">
        <f>IFERROR(__xludf.DUMMYFUNCTION("SPLIT(C525, ""-"")"),17.0)</f>
        <v>17</v>
      </c>
      <c r="G525" s="3">
        <f>IFERROR(__xludf.DUMMYFUNCTION("""COMPUTED_VALUE"""),77.0)</f>
        <v>77</v>
      </c>
      <c r="I525" s="3" t="str">
        <f t="shared" si="1"/>
        <v/>
      </c>
      <c r="J525" s="3" t="str">
        <f t="shared" si="2"/>
        <v/>
      </c>
      <c r="K525" s="3" t="str">
        <f t="shared" si="3"/>
        <v>y</v>
      </c>
      <c r="L525" s="3" t="str">
        <f t="shared" si="4"/>
        <v>y</v>
      </c>
      <c r="N525" s="3" t="str">
        <f t="shared" si="5"/>
        <v/>
      </c>
      <c r="O525" s="3">
        <f t="shared" si="6"/>
        <v>1</v>
      </c>
      <c r="Q525" s="3">
        <f t="shared" si="7"/>
        <v>1</v>
      </c>
      <c r="U525" s="3">
        <f t="shared" si="8"/>
        <v>1</v>
      </c>
      <c r="V525" s="3" t="str">
        <f t="shared" si="9"/>
        <v>Överlapp</v>
      </c>
      <c r="W525" s="3" t="str">
        <f t="shared" si="10"/>
        <v>Överlapp</v>
      </c>
      <c r="X525" s="3" t="str">
        <f t="shared" si="11"/>
        <v/>
      </c>
    </row>
    <row r="526">
      <c r="A526" s="1" t="s">
        <v>530</v>
      </c>
      <c r="B526" s="3" t="str">
        <f>IFERROR(__xludf.DUMMYFUNCTION("SPLIT(A526, "","")"),"37-37")</f>
        <v>37-37</v>
      </c>
      <c r="C526" s="3" t="str">
        <f>IFERROR(__xludf.DUMMYFUNCTION("""COMPUTED_VALUE"""),"37-89")</f>
        <v>37-89</v>
      </c>
      <c r="D526" s="3">
        <f>IFERROR(__xludf.DUMMYFUNCTION("SPLIT(B526, ""-"")"),37.0)</f>
        <v>37</v>
      </c>
      <c r="E526" s="3">
        <f>IFERROR(__xludf.DUMMYFUNCTION("""COMPUTED_VALUE"""),37.0)</f>
        <v>37</v>
      </c>
      <c r="F526" s="3">
        <f>IFERROR(__xludf.DUMMYFUNCTION("SPLIT(C526, ""-"")"),37.0)</f>
        <v>37</v>
      </c>
      <c r="G526" s="3">
        <f>IFERROR(__xludf.DUMMYFUNCTION("""COMPUTED_VALUE"""),89.0)</f>
        <v>89</v>
      </c>
      <c r="I526" s="3" t="str">
        <f t="shared" si="1"/>
        <v>y</v>
      </c>
      <c r="J526" s="3" t="str">
        <f t="shared" si="2"/>
        <v/>
      </c>
      <c r="K526" s="3" t="str">
        <f t="shared" si="3"/>
        <v>y</v>
      </c>
      <c r="L526" s="3" t="str">
        <f t="shared" si="4"/>
        <v>y</v>
      </c>
      <c r="N526" s="3" t="str">
        <f t="shared" si="5"/>
        <v/>
      </c>
      <c r="O526" s="3">
        <f t="shared" si="6"/>
        <v>1</v>
      </c>
      <c r="Q526" s="3">
        <f t="shared" si="7"/>
        <v>1</v>
      </c>
      <c r="U526" s="3" t="str">
        <f t="shared" si="8"/>
        <v>Överlapp</v>
      </c>
      <c r="V526" s="3" t="str">
        <f t="shared" si="9"/>
        <v>Överlapp</v>
      </c>
      <c r="W526" s="3" t="str">
        <f t="shared" si="10"/>
        <v>Överlapp</v>
      </c>
      <c r="X526" s="3" t="str">
        <f t="shared" si="11"/>
        <v/>
      </c>
    </row>
    <row r="527">
      <c r="A527" s="1" t="s">
        <v>531</v>
      </c>
      <c r="B527" s="3" t="str">
        <f>IFERROR(__xludf.DUMMYFUNCTION("SPLIT(A527, "","")"),"47-80")</f>
        <v>47-80</v>
      </c>
      <c r="C527" s="3" t="str">
        <f>IFERROR(__xludf.DUMMYFUNCTION("""COMPUTED_VALUE"""),"46-90")</f>
        <v>46-90</v>
      </c>
      <c r="D527" s="3">
        <f>IFERROR(__xludf.DUMMYFUNCTION("SPLIT(B527, ""-"")"),47.0)</f>
        <v>47</v>
      </c>
      <c r="E527" s="3">
        <f>IFERROR(__xludf.DUMMYFUNCTION("""COMPUTED_VALUE"""),80.0)</f>
        <v>80</v>
      </c>
      <c r="F527" s="3">
        <f>IFERROR(__xludf.DUMMYFUNCTION("SPLIT(C527, ""-"")"),46.0)</f>
        <v>46</v>
      </c>
      <c r="G527" s="3">
        <f>IFERROR(__xludf.DUMMYFUNCTION("""COMPUTED_VALUE"""),90.0)</f>
        <v>90</v>
      </c>
      <c r="I527" s="3" t="str">
        <f t="shared" si="1"/>
        <v/>
      </c>
      <c r="J527" s="3" t="str">
        <f t="shared" si="2"/>
        <v/>
      </c>
      <c r="K527" s="3" t="str">
        <f t="shared" si="3"/>
        <v>y</v>
      </c>
      <c r="L527" s="3" t="str">
        <f t="shared" si="4"/>
        <v>y</v>
      </c>
      <c r="N527" s="3" t="str">
        <f t="shared" si="5"/>
        <v/>
      </c>
      <c r="O527" s="3">
        <f t="shared" si="6"/>
        <v>1</v>
      </c>
      <c r="Q527" s="3">
        <f t="shared" si="7"/>
        <v>1</v>
      </c>
      <c r="U527" s="3">
        <f t="shared" si="8"/>
        <v>1</v>
      </c>
      <c r="V527" s="3" t="str">
        <f t="shared" si="9"/>
        <v>Överlapp</v>
      </c>
      <c r="W527" s="3" t="str">
        <f t="shared" si="10"/>
        <v>Överlapp</v>
      </c>
      <c r="X527" s="3" t="str">
        <f t="shared" si="11"/>
        <v/>
      </c>
    </row>
    <row r="528">
      <c r="A528" s="1" t="s">
        <v>532</v>
      </c>
      <c r="B528" s="3" t="str">
        <f>IFERROR(__xludf.DUMMYFUNCTION("SPLIT(A528, "","")"),"48-98")</f>
        <v>48-98</v>
      </c>
      <c r="C528" s="3" t="str">
        <f>IFERROR(__xludf.DUMMYFUNCTION("""COMPUTED_VALUE"""),"47-77")</f>
        <v>47-77</v>
      </c>
      <c r="D528" s="3">
        <f>IFERROR(__xludf.DUMMYFUNCTION("SPLIT(B528, ""-"")"),48.0)</f>
        <v>48</v>
      </c>
      <c r="E528" s="3">
        <f>IFERROR(__xludf.DUMMYFUNCTION("""COMPUTED_VALUE"""),98.0)</f>
        <v>98</v>
      </c>
      <c r="F528" s="3">
        <f>IFERROR(__xludf.DUMMYFUNCTION("SPLIT(C528, ""-"")"),47.0)</f>
        <v>47</v>
      </c>
      <c r="G528" s="3">
        <f>IFERROR(__xludf.DUMMYFUNCTION("""COMPUTED_VALUE"""),77.0)</f>
        <v>77</v>
      </c>
      <c r="I528" s="3" t="str">
        <f t="shared" si="1"/>
        <v/>
      </c>
      <c r="J528" s="3" t="str">
        <f t="shared" si="2"/>
        <v>y</v>
      </c>
      <c r="K528" s="3" t="str">
        <f t="shared" si="3"/>
        <v>y</v>
      </c>
      <c r="L528" s="3" t="str">
        <f t="shared" si="4"/>
        <v/>
      </c>
      <c r="N528" s="3" t="str">
        <f t="shared" si="5"/>
        <v/>
      </c>
      <c r="O528" s="3" t="str">
        <f t="shared" si="6"/>
        <v/>
      </c>
      <c r="Q528" s="3" t="str">
        <f t="shared" si="7"/>
        <v/>
      </c>
      <c r="U528" s="3">
        <f t="shared" si="8"/>
        <v>1</v>
      </c>
      <c r="V528" s="3" t="str">
        <f t="shared" si="9"/>
        <v>Överlapp</v>
      </c>
      <c r="W528" s="3" t="str">
        <f t="shared" si="10"/>
        <v>Överlapp</v>
      </c>
      <c r="X528" s="3" t="str">
        <f t="shared" si="11"/>
        <v/>
      </c>
    </row>
    <row r="529">
      <c r="A529" s="1" t="s">
        <v>533</v>
      </c>
      <c r="B529" s="3" t="str">
        <f>IFERROR(__xludf.DUMMYFUNCTION("SPLIT(A529, "","")"),"56-66")</f>
        <v>56-66</v>
      </c>
      <c r="C529" s="3" t="str">
        <f>IFERROR(__xludf.DUMMYFUNCTION("""COMPUTED_VALUE"""),"56-97")</f>
        <v>56-97</v>
      </c>
      <c r="D529" s="3">
        <f>IFERROR(__xludf.DUMMYFUNCTION("SPLIT(B529, ""-"")"),56.0)</f>
        <v>56</v>
      </c>
      <c r="E529" s="3">
        <f>IFERROR(__xludf.DUMMYFUNCTION("""COMPUTED_VALUE"""),66.0)</f>
        <v>66</v>
      </c>
      <c r="F529" s="3">
        <f>IFERROR(__xludf.DUMMYFUNCTION("SPLIT(C529, ""-"")"),56.0)</f>
        <v>56</v>
      </c>
      <c r="G529" s="3">
        <f>IFERROR(__xludf.DUMMYFUNCTION("""COMPUTED_VALUE"""),97.0)</f>
        <v>97</v>
      </c>
      <c r="I529" s="3" t="str">
        <f t="shared" si="1"/>
        <v>y</v>
      </c>
      <c r="J529" s="3" t="str">
        <f t="shared" si="2"/>
        <v/>
      </c>
      <c r="K529" s="3" t="str">
        <f t="shared" si="3"/>
        <v>y</v>
      </c>
      <c r="L529" s="3" t="str">
        <f t="shared" si="4"/>
        <v>y</v>
      </c>
      <c r="N529" s="3" t="str">
        <f t="shared" si="5"/>
        <v/>
      </c>
      <c r="O529" s="3">
        <f t="shared" si="6"/>
        <v>1</v>
      </c>
      <c r="Q529" s="3">
        <f t="shared" si="7"/>
        <v>1</v>
      </c>
      <c r="U529" s="3" t="str">
        <f t="shared" si="8"/>
        <v>Överlapp</v>
      </c>
      <c r="V529" s="3" t="str">
        <f t="shared" si="9"/>
        <v>Överlapp</v>
      </c>
      <c r="W529" s="3" t="str">
        <f t="shared" si="10"/>
        <v>Överlapp</v>
      </c>
      <c r="X529" s="3" t="str">
        <f t="shared" si="11"/>
        <v/>
      </c>
    </row>
    <row r="530">
      <c r="A530" s="1" t="s">
        <v>534</v>
      </c>
      <c r="B530" s="3" t="str">
        <f>IFERROR(__xludf.DUMMYFUNCTION("SPLIT(A530, "","")"),"51-51")</f>
        <v>51-51</v>
      </c>
      <c r="C530" s="3" t="str">
        <f>IFERROR(__xludf.DUMMYFUNCTION("""COMPUTED_VALUE"""),"3-52")</f>
        <v>3-52</v>
      </c>
      <c r="D530" s="3">
        <f>IFERROR(__xludf.DUMMYFUNCTION("SPLIT(B530, ""-"")"),51.0)</f>
        <v>51</v>
      </c>
      <c r="E530" s="3">
        <f>IFERROR(__xludf.DUMMYFUNCTION("""COMPUTED_VALUE"""),51.0)</f>
        <v>51</v>
      </c>
      <c r="F530" s="3">
        <f>IFERROR(__xludf.DUMMYFUNCTION("SPLIT(C530, ""-"")"),3.0)</f>
        <v>3</v>
      </c>
      <c r="G530" s="3">
        <f>IFERROR(__xludf.DUMMYFUNCTION("""COMPUTED_VALUE"""),52.0)</f>
        <v>52</v>
      </c>
      <c r="I530" s="3" t="str">
        <f t="shared" si="1"/>
        <v/>
      </c>
      <c r="J530" s="3" t="str">
        <f t="shared" si="2"/>
        <v/>
      </c>
      <c r="K530" s="3" t="str">
        <f t="shared" si="3"/>
        <v>y</v>
      </c>
      <c r="L530" s="3" t="str">
        <f t="shared" si="4"/>
        <v>y</v>
      </c>
      <c r="N530" s="3" t="str">
        <f t="shared" si="5"/>
        <v/>
      </c>
      <c r="O530" s="3">
        <f t="shared" si="6"/>
        <v>1</v>
      </c>
      <c r="Q530" s="3">
        <f t="shared" si="7"/>
        <v>1</v>
      </c>
      <c r="U530" s="3">
        <f t="shared" si="8"/>
        <v>1</v>
      </c>
      <c r="V530" s="3" t="str">
        <f t="shared" si="9"/>
        <v>Överlapp</v>
      </c>
      <c r="W530" s="3" t="str">
        <f t="shared" si="10"/>
        <v>Överlapp</v>
      </c>
      <c r="X530" s="3" t="str">
        <f t="shared" si="11"/>
        <v/>
      </c>
    </row>
    <row r="531">
      <c r="A531" s="1" t="s">
        <v>535</v>
      </c>
      <c r="B531" s="3" t="str">
        <f>IFERROR(__xludf.DUMMYFUNCTION("SPLIT(A531, "","")"),"11-93")</f>
        <v>11-93</v>
      </c>
      <c r="C531" s="3" t="str">
        <f>IFERROR(__xludf.DUMMYFUNCTION("""COMPUTED_VALUE"""),"24-89")</f>
        <v>24-89</v>
      </c>
      <c r="D531" s="3">
        <f>IFERROR(__xludf.DUMMYFUNCTION("SPLIT(B531, ""-"")"),11.0)</f>
        <v>11</v>
      </c>
      <c r="E531" s="3">
        <f>IFERROR(__xludf.DUMMYFUNCTION("""COMPUTED_VALUE"""),93.0)</f>
        <v>93</v>
      </c>
      <c r="F531" s="3">
        <f>IFERROR(__xludf.DUMMYFUNCTION("SPLIT(C531, ""-"")"),24.0)</f>
        <v>24</v>
      </c>
      <c r="G531" s="3">
        <f>IFERROR(__xludf.DUMMYFUNCTION("""COMPUTED_VALUE"""),89.0)</f>
        <v>89</v>
      </c>
      <c r="I531" s="3" t="str">
        <f t="shared" si="1"/>
        <v>y</v>
      </c>
      <c r="J531" s="3" t="str">
        <f t="shared" si="2"/>
        <v>y</v>
      </c>
      <c r="K531" s="3" t="str">
        <f t="shared" si="3"/>
        <v/>
      </c>
      <c r="L531" s="3" t="str">
        <f t="shared" si="4"/>
        <v/>
      </c>
      <c r="N531" s="3">
        <f t="shared" si="5"/>
        <v>1</v>
      </c>
      <c r="O531" s="3" t="str">
        <f t="shared" si="6"/>
        <v/>
      </c>
      <c r="Q531" s="3">
        <f t="shared" si="7"/>
        <v>1</v>
      </c>
      <c r="U531" s="3">
        <f t="shared" si="8"/>
        <v>1</v>
      </c>
      <c r="V531" s="3" t="str">
        <f t="shared" si="9"/>
        <v>Överlapp</v>
      </c>
      <c r="W531" s="3" t="str">
        <f t="shared" si="10"/>
        <v>Överlapp</v>
      </c>
      <c r="X531" s="3" t="str">
        <f t="shared" si="11"/>
        <v/>
      </c>
    </row>
    <row r="532">
      <c r="A532" s="1" t="s">
        <v>536</v>
      </c>
      <c r="B532" s="3" t="str">
        <f>IFERROR(__xludf.DUMMYFUNCTION("SPLIT(A532, "","")"),"12-92")</f>
        <v>12-92</v>
      </c>
      <c r="C532" s="3" t="str">
        <f>IFERROR(__xludf.DUMMYFUNCTION("""COMPUTED_VALUE"""),"62-93")</f>
        <v>62-93</v>
      </c>
      <c r="D532" s="3">
        <f>IFERROR(__xludf.DUMMYFUNCTION("SPLIT(B532, ""-"")"),12.0)</f>
        <v>12</v>
      </c>
      <c r="E532" s="3">
        <f>IFERROR(__xludf.DUMMYFUNCTION("""COMPUTED_VALUE"""),92.0)</f>
        <v>92</v>
      </c>
      <c r="F532" s="3">
        <f>IFERROR(__xludf.DUMMYFUNCTION("SPLIT(C532, ""-"")"),62.0)</f>
        <v>62</v>
      </c>
      <c r="G532" s="3">
        <f>IFERROR(__xludf.DUMMYFUNCTION("""COMPUTED_VALUE"""),93.0)</f>
        <v>93</v>
      </c>
      <c r="I532" s="3" t="str">
        <f t="shared" si="1"/>
        <v>y</v>
      </c>
      <c r="J532" s="3" t="str">
        <f t="shared" si="2"/>
        <v/>
      </c>
      <c r="K532" s="3" t="str">
        <f t="shared" si="3"/>
        <v/>
      </c>
      <c r="L532" s="3" t="str">
        <f t="shared" si="4"/>
        <v>y</v>
      </c>
      <c r="N532" s="3" t="str">
        <f t="shared" si="5"/>
        <v/>
      </c>
      <c r="O532" s="3" t="str">
        <f t="shared" si="6"/>
        <v/>
      </c>
      <c r="Q532" s="3" t="str">
        <f t="shared" si="7"/>
        <v/>
      </c>
      <c r="U532" s="3">
        <f t="shared" si="8"/>
        <v>1</v>
      </c>
      <c r="V532" s="3" t="str">
        <f t="shared" si="9"/>
        <v>Överlapp</v>
      </c>
      <c r="W532" s="3" t="str">
        <f t="shared" si="10"/>
        <v>Överlapp</v>
      </c>
      <c r="X532" s="3" t="str">
        <f t="shared" si="11"/>
        <v/>
      </c>
    </row>
    <row r="533">
      <c r="A533" s="1" t="s">
        <v>537</v>
      </c>
      <c r="B533" s="3" t="str">
        <f>IFERROR(__xludf.DUMMYFUNCTION("SPLIT(A533, "","")"),"63-91")</f>
        <v>63-91</v>
      </c>
      <c r="C533" s="3" t="str">
        <f>IFERROR(__xludf.DUMMYFUNCTION("""COMPUTED_VALUE"""),"78-85")</f>
        <v>78-85</v>
      </c>
      <c r="D533" s="3">
        <f>IFERROR(__xludf.DUMMYFUNCTION("SPLIT(B533, ""-"")"),63.0)</f>
        <v>63</v>
      </c>
      <c r="E533" s="3">
        <f>IFERROR(__xludf.DUMMYFUNCTION("""COMPUTED_VALUE"""),91.0)</f>
        <v>91</v>
      </c>
      <c r="F533" s="3">
        <f>IFERROR(__xludf.DUMMYFUNCTION("SPLIT(C533, ""-"")"),78.0)</f>
        <v>78</v>
      </c>
      <c r="G533" s="3">
        <f>IFERROR(__xludf.DUMMYFUNCTION("""COMPUTED_VALUE"""),85.0)</f>
        <v>85</v>
      </c>
      <c r="I533" s="3" t="str">
        <f t="shared" si="1"/>
        <v>y</v>
      </c>
      <c r="J533" s="3" t="str">
        <f t="shared" si="2"/>
        <v>y</v>
      </c>
      <c r="K533" s="3" t="str">
        <f t="shared" si="3"/>
        <v/>
      </c>
      <c r="L533" s="3" t="str">
        <f t="shared" si="4"/>
        <v/>
      </c>
      <c r="N533" s="3">
        <f t="shared" si="5"/>
        <v>1</v>
      </c>
      <c r="O533" s="3" t="str">
        <f t="shared" si="6"/>
        <v/>
      </c>
      <c r="Q533" s="3">
        <f t="shared" si="7"/>
        <v>1</v>
      </c>
      <c r="U533" s="3">
        <f t="shared" si="8"/>
        <v>1</v>
      </c>
      <c r="V533" s="3" t="str">
        <f t="shared" si="9"/>
        <v>Överlapp</v>
      </c>
      <c r="W533" s="3" t="str">
        <f t="shared" si="10"/>
        <v>Överlapp</v>
      </c>
      <c r="X533" s="3" t="str">
        <f t="shared" si="11"/>
        <v/>
      </c>
    </row>
    <row r="534">
      <c r="A534" s="1" t="s">
        <v>538</v>
      </c>
      <c r="B534" s="3" t="str">
        <f>IFERROR(__xludf.DUMMYFUNCTION("SPLIT(A534, "","")"),"3-59")</f>
        <v>3-59</v>
      </c>
      <c r="C534" s="3" t="str">
        <f>IFERROR(__xludf.DUMMYFUNCTION("""COMPUTED_VALUE"""),"4-87")</f>
        <v>4-87</v>
      </c>
      <c r="D534" s="3">
        <f>IFERROR(__xludf.DUMMYFUNCTION("SPLIT(B534, ""-"")"),3.0)</f>
        <v>3</v>
      </c>
      <c r="E534" s="3">
        <f>IFERROR(__xludf.DUMMYFUNCTION("""COMPUTED_VALUE"""),59.0)</f>
        <v>59</v>
      </c>
      <c r="F534" s="3">
        <f>IFERROR(__xludf.DUMMYFUNCTION("SPLIT(C534, ""-"")"),4.0)</f>
        <v>4</v>
      </c>
      <c r="G534" s="3">
        <f>IFERROR(__xludf.DUMMYFUNCTION("""COMPUTED_VALUE"""),87.0)</f>
        <v>87</v>
      </c>
      <c r="I534" s="3" t="str">
        <f t="shared" si="1"/>
        <v>y</v>
      </c>
      <c r="J534" s="3" t="str">
        <f t="shared" si="2"/>
        <v/>
      </c>
      <c r="K534" s="3" t="str">
        <f t="shared" si="3"/>
        <v/>
      </c>
      <c r="L534" s="3" t="str">
        <f t="shared" si="4"/>
        <v>y</v>
      </c>
      <c r="N534" s="3" t="str">
        <f t="shared" si="5"/>
        <v/>
      </c>
      <c r="O534" s="3" t="str">
        <f t="shared" si="6"/>
        <v/>
      </c>
      <c r="Q534" s="3" t="str">
        <f t="shared" si="7"/>
        <v/>
      </c>
      <c r="U534" s="3">
        <f t="shared" si="8"/>
        <v>1</v>
      </c>
      <c r="V534" s="3" t="str">
        <f t="shared" si="9"/>
        <v>Överlapp</v>
      </c>
      <c r="W534" s="3" t="str">
        <f t="shared" si="10"/>
        <v>Överlapp</v>
      </c>
      <c r="X534" s="3" t="str">
        <f t="shared" si="11"/>
        <v/>
      </c>
    </row>
    <row r="535">
      <c r="A535" s="1" t="s">
        <v>539</v>
      </c>
      <c r="B535" s="3" t="str">
        <f>IFERROR(__xludf.DUMMYFUNCTION("SPLIT(A535, "","")"),"35-61")</f>
        <v>35-61</v>
      </c>
      <c r="C535" s="3" t="str">
        <f>IFERROR(__xludf.DUMMYFUNCTION("""COMPUTED_VALUE"""),"36-61")</f>
        <v>36-61</v>
      </c>
      <c r="D535" s="3">
        <f>IFERROR(__xludf.DUMMYFUNCTION("SPLIT(B535, ""-"")"),35.0)</f>
        <v>35</v>
      </c>
      <c r="E535" s="3">
        <f>IFERROR(__xludf.DUMMYFUNCTION("""COMPUTED_VALUE"""),61.0)</f>
        <v>61</v>
      </c>
      <c r="F535" s="3">
        <f>IFERROR(__xludf.DUMMYFUNCTION("SPLIT(C535, ""-"")"),36.0)</f>
        <v>36</v>
      </c>
      <c r="G535" s="3">
        <f>IFERROR(__xludf.DUMMYFUNCTION("""COMPUTED_VALUE"""),61.0)</f>
        <v>61</v>
      </c>
      <c r="I535" s="3" t="str">
        <f t="shared" si="1"/>
        <v>y</v>
      </c>
      <c r="J535" s="3" t="str">
        <f t="shared" si="2"/>
        <v>y</v>
      </c>
      <c r="K535" s="3" t="str">
        <f t="shared" si="3"/>
        <v/>
      </c>
      <c r="L535" s="3" t="str">
        <f t="shared" si="4"/>
        <v>y</v>
      </c>
      <c r="N535" s="3">
        <f t="shared" si="5"/>
        <v>1</v>
      </c>
      <c r="O535" s="3" t="str">
        <f t="shared" si="6"/>
        <v/>
      </c>
      <c r="Q535" s="3">
        <f t="shared" si="7"/>
        <v>1</v>
      </c>
      <c r="U535" s="3" t="str">
        <f t="shared" si="8"/>
        <v>Överlapp</v>
      </c>
      <c r="V535" s="3" t="str">
        <f t="shared" si="9"/>
        <v>Överlapp</v>
      </c>
      <c r="W535" s="3" t="str">
        <f t="shared" si="10"/>
        <v>Överlapp</v>
      </c>
      <c r="X535" s="3" t="str">
        <f t="shared" si="11"/>
        <v/>
      </c>
    </row>
    <row r="536">
      <c r="A536" s="1" t="s">
        <v>540</v>
      </c>
      <c r="B536" s="3" t="str">
        <f>IFERROR(__xludf.DUMMYFUNCTION("SPLIT(A536, "","")"),"36-78")</f>
        <v>36-78</v>
      </c>
      <c r="C536" s="3" t="str">
        <f>IFERROR(__xludf.DUMMYFUNCTION("""COMPUTED_VALUE"""),"36-79")</f>
        <v>36-79</v>
      </c>
      <c r="D536" s="3">
        <f>IFERROR(__xludf.DUMMYFUNCTION("SPLIT(B536, ""-"")"),36.0)</f>
        <v>36</v>
      </c>
      <c r="E536" s="3">
        <f>IFERROR(__xludf.DUMMYFUNCTION("""COMPUTED_VALUE"""),78.0)</f>
        <v>78</v>
      </c>
      <c r="F536" s="3">
        <f>IFERROR(__xludf.DUMMYFUNCTION("SPLIT(C536, ""-"")"),36.0)</f>
        <v>36</v>
      </c>
      <c r="G536" s="3">
        <f>IFERROR(__xludf.DUMMYFUNCTION("""COMPUTED_VALUE"""),79.0)</f>
        <v>79</v>
      </c>
      <c r="I536" s="3" t="str">
        <f t="shared" si="1"/>
        <v>y</v>
      </c>
      <c r="J536" s="3" t="str">
        <f t="shared" si="2"/>
        <v/>
      </c>
      <c r="K536" s="3" t="str">
        <f t="shared" si="3"/>
        <v>y</v>
      </c>
      <c r="L536" s="3" t="str">
        <f t="shared" si="4"/>
        <v>y</v>
      </c>
      <c r="N536" s="3" t="str">
        <f t="shared" si="5"/>
        <v/>
      </c>
      <c r="O536" s="3">
        <f t="shared" si="6"/>
        <v>1</v>
      </c>
      <c r="Q536" s="3">
        <f t="shared" si="7"/>
        <v>1</v>
      </c>
      <c r="U536" s="3" t="str">
        <f t="shared" si="8"/>
        <v>Överlapp</v>
      </c>
      <c r="V536" s="3" t="str">
        <f t="shared" si="9"/>
        <v>Överlapp</v>
      </c>
      <c r="W536" s="3" t="str">
        <f t="shared" si="10"/>
        <v>Överlapp</v>
      </c>
      <c r="X536" s="3" t="str">
        <f t="shared" si="11"/>
        <v/>
      </c>
    </row>
    <row r="537">
      <c r="A537" s="1" t="s">
        <v>541</v>
      </c>
      <c r="B537" s="3" t="str">
        <f>IFERROR(__xludf.DUMMYFUNCTION("SPLIT(A537, "","")"),"61-94")</f>
        <v>61-94</v>
      </c>
      <c r="C537" s="3" t="str">
        <f>IFERROR(__xludf.DUMMYFUNCTION("""COMPUTED_VALUE"""),"2-62")</f>
        <v>2-62</v>
      </c>
      <c r="D537" s="3">
        <f>IFERROR(__xludf.DUMMYFUNCTION("SPLIT(B537, ""-"")"),61.0)</f>
        <v>61</v>
      </c>
      <c r="E537" s="3">
        <f>IFERROR(__xludf.DUMMYFUNCTION("""COMPUTED_VALUE"""),94.0)</f>
        <v>94</v>
      </c>
      <c r="F537" s="3">
        <f>IFERROR(__xludf.DUMMYFUNCTION("SPLIT(C537, ""-"")"),2.0)</f>
        <v>2</v>
      </c>
      <c r="G537" s="3">
        <f>IFERROR(__xludf.DUMMYFUNCTION("""COMPUTED_VALUE"""),62.0)</f>
        <v>62</v>
      </c>
      <c r="I537" s="3" t="str">
        <f t="shared" si="1"/>
        <v/>
      </c>
      <c r="J537" s="3" t="str">
        <f t="shared" si="2"/>
        <v>y</v>
      </c>
      <c r="K537" s="3" t="str">
        <f t="shared" si="3"/>
        <v>y</v>
      </c>
      <c r="L537" s="3" t="str">
        <f t="shared" si="4"/>
        <v/>
      </c>
      <c r="N537" s="3" t="str">
        <f t="shared" si="5"/>
        <v/>
      </c>
      <c r="O537" s="3" t="str">
        <f t="shared" si="6"/>
        <v/>
      </c>
      <c r="Q537" s="3" t="str">
        <f t="shared" si="7"/>
        <v/>
      </c>
      <c r="U537" s="3">
        <f t="shared" si="8"/>
        <v>1</v>
      </c>
      <c r="V537" s="3" t="str">
        <f t="shared" si="9"/>
        <v>Överlapp</v>
      </c>
      <c r="W537" s="3" t="str">
        <f t="shared" si="10"/>
        <v>Överlapp</v>
      </c>
      <c r="X537" s="3" t="str">
        <f t="shared" si="11"/>
        <v/>
      </c>
    </row>
    <row r="538">
      <c r="A538" s="1" t="s">
        <v>542</v>
      </c>
      <c r="B538" s="3" t="str">
        <f>IFERROR(__xludf.DUMMYFUNCTION("SPLIT(A538, "","")"),"1-90")</f>
        <v>1-90</v>
      </c>
      <c r="C538" s="3" t="str">
        <f>IFERROR(__xludf.DUMMYFUNCTION("""COMPUTED_VALUE"""),"11-90")</f>
        <v>11-90</v>
      </c>
      <c r="D538" s="3">
        <f>IFERROR(__xludf.DUMMYFUNCTION("SPLIT(B538, ""-"")"),1.0)</f>
        <v>1</v>
      </c>
      <c r="E538" s="3">
        <f>IFERROR(__xludf.DUMMYFUNCTION("""COMPUTED_VALUE"""),90.0)</f>
        <v>90</v>
      </c>
      <c r="F538" s="3">
        <f>IFERROR(__xludf.DUMMYFUNCTION("SPLIT(C538, ""-"")"),11.0)</f>
        <v>11</v>
      </c>
      <c r="G538" s="3">
        <f>IFERROR(__xludf.DUMMYFUNCTION("""COMPUTED_VALUE"""),90.0)</f>
        <v>90</v>
      </c>
      <c r="I538" s="3" t="str">
        <f t="shared" si="1"/>
        <v>y</v>
      </c>
      <c r="J538" s="3" t="str">
        <f t="shared" si="2"/>
        <v>y</v>
      </c>
      <c r="K538" s="3" t="str">
        <f t="shared" si="3"/>
        <v/>
      </c>
      <c r="L538" s="3" t="str">
        <f t="shared" si="4"/>
        <v>y</v>
      </c>
      <c r="N538" s="3">
        <f t="shared" si="5"/>
        <v>1</v>
      </c>
      <c r="O538" s="3" t="str">
        <f t="shared" si="6"/>
        <v/>
      </c>
      <c r="Q538" s="3">
        <f t="shared" si="7"/>
        <v>1</v>
      </c>
      <c r="U538" s="3" t="str">
        <f t="shared" si="8"/>
        <v>Överlapp</v>
      </c>
      <c r="V538" s="3" t="str">
        <f t="shared" si="9"/>
        <v>Överlapp</v>
      </c>
      <c r="W538" s="3" t="str">
        <f t="shared" si="10"/>
        <v>Överlapp</v>
      </c>
      <c r="X538" s="3" t="str">
        <f t="shared" si="11"/>
        <v/>
      </c>
    </row>
    <row r="539">
      <c r="A539" s="1" t="s">
        <v>543</v>
      </c>
      <c r="B539" s="3" t="str">
        <f>IFERROR(__xludf.DUMMYFUNCTION("SPLIT(A539, "","")"),"40-89")</f>
        <v>40-89</v>
      </c>
      <c r="C539" s="3" t="str">
        <f>IFERROR(__xludf.DUMMYFUNCTION("""COMPUTED_VALUE"""),"52-82")</f>
        <v>52-82</v>
      </c>
      <c r="D539" s="3">
        <f>IFERROR(__xludf.DUMMYFUNCTION("SPLIT(B539, ""-"")"),40.0)</f>
        <v>40</v>
      </c>
      <c r="E539" s="3">
        <f>IFERROR(__xludf.DUMMYFUNCTION("""COMPUTED_VALUE"""),89.0)</f>
        <v>89</v>
      </c>
      <c r="F539" s="3">
        <f>IFERROR(__xludf.DUMMYFUNCTION("SPLIT(C539, ""-"")"),52.0)</f>
        <v>52</v>
      </c>
      <c r="G539" s="3">
        <f>IFERROR(__xludf.DUMMYFUNCTION("""COMPUTED_VALUE"""),82.0)</f>
        <v>82</v>
      </c>
      <c r="I539" s="3" t="str">
        <f t="shared" si="1"/>
        <v>y</v>
      </c>
      <c r="J539" s="3" t="str">
        <f t="shared" si="2"/>
        <v>y</v>
      </c>
      <c r="K539" s="3" t="str">
        <f t="shared" si="3"/>
        <v/>
      </c>
      <c r="L539" s="3" t="str">
        <f t="shared" si="4"/>
        <v/>
      </c>
      <c r="N539" s="3">
        <f t="shared" si="5"/>
        <v>1</v>
      </c>
      <c r="O539" s="3" t="str">
        <f t="shared" si="6"/>
        <v/>
      </c>
      <c r="Q539" s="3">
        <f t="shared" si="7"/>
        <v>1</v>
      </c>
      <c r="U539" s="3">
        <f t="shared" si="8"/>
        <v>1</v>
      </c>
      <c r="V539" s="3" t="str">
        <f t="shared" si="9"/>
        <v>Överlapp</v>
      </c>
      <c r="W539" s="3" t="str">
        <f t="shared" si="10"/>
        <v>Överlapp</v>
      </c>
      <c r="X539" s="3" t="str">
        <f t="shared" si="11"/>
        <v/>
      </c>
    </row>
    <row r="540">
      <c r="A540" s="1" t="s">
        <v>544</v>
      </c>
      <c r="B540" s="3" t="str">
        <f>IFERROR(__xludf.DUMMYFUNCTION("SPLIT(A540, "","")"),"23-23")</f>
        <v>23-23</v>
      </c>
      <c r="C540" s="3" t="str">
        <f>IFERROR(__xludf.DUMMYFUNCTION("""COMPUTED_VALUE"""),"22-22")</f>
        <v>22-22</v>
      </c>
      <c r="D540" s="3">
        <f>IFERROR(__xludf.DUMMYFUNCTION("SPLIT(B540, ""-"")"),23.0)</f>
        <v>23</v>
      </c>
      <c r="E540" s="3">
        <f>IFERROR(__xludf.DUMMYFUNCTION("""COMPUTED_VALUE"""),23.0)</f>
        <v>23</v>
      </c>
      <c r="F540" s="3">
        <f>IFERROR(__xludf.DUMMYFUNCTION("SPLIT(C540, ""-"")"),22.0)</f>
        <v>22</v>
      </c>
      <c r="G540" s="3">
        <f>IFERROR(__xludf.DUMMYFUNCTION("""COMPUTED_VALUE"""),22.0)</f>
        <v>22</v>
      </c>
      <c r="I540" s="3" t="str">
        <f t="shared" si="1"/>
        <v/>
      </c>
      <c r="J540" s="3" t="str">
        <f t="shared" si="2"/>
        <v>y</v>
      </c>
      <c r="K540" s="3" t="str">
        <f t="shared" si="3"/>
        <v>y</v>
      </c>
      <c r="L540" s="3" t="str">
        <f t="shared" si="4"/>
        <v/>
      </c>
      <c r="N540" s="3" t="str">
        <f t="shared" si="5"/>
        <v/>
      </c>
      <c r="O540" s="3" t="str">
        <f t="shared" si="6"/>
        <v/>
      </c>
      <c r="Q540" s="3" t="str">
        <f t="shared" si="7"/>
        <v/>
      </c>
      <c r="U540" s="3">
        <f t="shared" si="8"/>
        <v>1</v>
      </c>
      <c r="V540" s="3" t="str">
        <f t="shared" si="9"/>
        <v>Överlapp</v>
      </c>
      <c r="W540" s="3">
        <f t="shared" si="10"/>
        <v>1</v>
      </c>
      <c r="X540" s="3">
        <f t="shared" si="11"/>
        <v>1</v>
      </c>
    </row>
    <row r="541">
      <c r="A541" s="1" t="s">
        <v>545</v>
      </c>
      <c r="B541" s="3" t="str">
        <f>IFERROR(__xludf.DUMMYFUNCTION("SPLIT(A541, "","")"),"6-51")</f>
        <v>6-51</v>
      </c>
      <c r="C541" s="4">
        <f>IFERROR(__xludf.DUMMYFUNCTION("""COMPUTED_VALUE"""),44714.0)</f>
        <v>44714</v>
      </c>
      <c r="D541" s="3">
        <f>IFERROR(__xludf.DUMMYFUNCTION("SPLIT(B541, ""-"")"),6.0)</f>
        <v>6</v>
      </c>
      <c r="E541" s="3">
        <f>IFERROR(__xludf.DUMMYFUNCTION("""COMPUTED_VALUE"""),51.0)</f>
        <v>51</v>
      </c>
      <c r="F541" s="3">
        <f>IFERROR(__xludf.DUMMYFUNCTION("SPLIT(C541, ""-"")"),2.0)</f>
        <v>2</v>
      </c>
      <c r="G541" s="3">
        <f>IFERROR(__xludf.DUMMYFUNCTION("""COMPUTED_VALUE"""),6.0)</f>
        <v>6</v>
      </c>
      <c r="I541" s="3" t="str">
        <f t="shared" si="1"/>
        <v/>
      </c>
      <c r="J541" s="3" t="str">
        <f t="shared" si="2"/>
        <v>y</v>
      </c>
      <c r="K541" s="3" t="str">
        <f t="shared" si="3"/>
        <v>y</v>
      </c>
      <c r="L541" s="3" t="str">
        <f t="shared" si="4"/>
        <v/>
      </c>
      <c r="N541" s="3" t="str">
        <f t="shared" si="5"/>
        <v/>
      </c>
      <c r="O541" s="3" t="str">
        <f t="shared" si="6"/>
        <v/>
      </c>
      <c r="Q541" s="3" t="str">
        <f t="shared" si="7"/>
        <v/>
      </c>
      <c r="U541" s="3" t="str">
        <f t="shared" si="8"/>
        <v>Överlapp</v>
      </c>
      <c r="V541" s="3" t="str">
        <f t="shared" si="9"/>
        <v>Överlapp</v>
      </c>
      <c r="W541" s="3" t="str">
        <f t="shared" si="10"/>
        <v>Överlapp</v>
      </c>
      <c r="X541" s="3" t="str">
        <f t="shared" si="11"/>
        <v/>
      </c>
    </row>
    <row r="542">
      <c r="A542" s="1" t="s">
        <v>546</v>
      </c>
      <c r="B542" s="3" t="str">
        <f>IFERROR(__xludf.DUMMYFUNCTION("SPLIT(A542, "","")"),"51-93")</f>
        <v>51-93</v>
      </c>
      <c r="C542" s="3" t="str">
        <f>IFERROR(__xludf.DUMMYFUNCTION("""COMPUTED_VALUE"""),"50-93")</f>
        <v>50-93</v>
      </c>
      <c r="D542" s="3">
        <f>IFERROR(__xludf.DUMMYFUNCTION("SPLIT(B542, ""-"")"),51.0)</f>
        <v>51</v>
      </c>
      <c r="E542" s="3">
        <f>IFERROR(__xludf.DUMMYFUNCTION("""COMPUTED_VALUE"""),93.0)</f>
        <v>93</v>
      </c>
      <c r="F542" s="3">
        <f>IFERROR(__xludf.DUMMYFUNCTION("SPLIT(C542, ""-"")"),50.0)</f>
        <v>50</v>
      </c>
      <c r="G542" s="3">
        <f>IFERROR(__xludf.DUMMYFUNCTION("""COMPUTED_VALUE"""),93.0)</f>
        <v>93</v>
      </c>
      <c r="I542" s="3" t="str">
        <f t="shared" si="1"/>
        <v/>
      </c>
      <c r="J542" s="3" t="str">
        <f t="shared" si="2"/>
        <v>y</v>
      </c>
      <c r="K542" s="3" t="str">
        <f t="shared" si="3"/>
        <v>y</v>
      </c>
      <c r="L542" s="3" t="str">
        <f t="shared" si="4"/>
        <v>y</v>
      </c>
      <c r="N542" s="3" t="str">
        <f t="shared" si="5"/>
        <v/>
      </c>
      <c r="O542" s="3">
        <f t="shared" si="6"/>
        <v>1</v>
      </c>
      <c r="Q542" s="3">
        <f t="shared" si="7"/>
        <v>1</v>
      </c>
      <c r="U542" s="3" t="str">
        <f t="shared" si="8"/>
        <v>Överlapp</v>
      </c>
      <c r="V542" s="3" t="str">
        <f t="shared" si="9"/>
        <v>Överlapp</v>
      </c>
      <c r="W542" s="3" t="str">
        <f t="shared" si="10"/>
        <v>Överlapp</v>
      </c>
      <c r="X542" s="3" t="str">
        <f t="shared" si="11"/>
        <v/>
      </c>
    </row>
    <row r="543">
      <c r="A543" s="1" t="s">
        <v>547</v>
      </c>
      <c r="B543" s="3" t="str">
        <f>IFERROR(__xludf.DUMMYFUNCTION("SPLIT(A543, "","")"),"16-94")</f>
        <v>16-94</v>
      </c>
      <c r="C543" s="3" t="str">
        <f>IFERROR(__xludf.DUMMYFUNCTION("""COMPUTED_VALUE"""),"94-97")</f>
        <v>94-97</v>
      </c>
      <c r="D543" s="3">
        <f>IFERROR(__xludf.DUMMYFUNCTION("SPLIT(B543, ""-"")"),16.0)</f>
        <v>16</v>
      </c>
      <c r="E543" s="3">
        <f>IFERROR(__xludf.DUMMYFUNCTION("""COMPUTED_VALUE"""),94.0)</f>
        <v>94</v>
      </c>
      <c r="F543" s="3">
        <f>IFERROR(__xludf.DUMMYFUNCTION("SPLIT(C543, ""-"")"),94.0)</f>
        <v>94</v>
      </c>
      <c r="G543" s="3">
        <f>IFERROR(__xludf.DUMMYFUNCTION("""COMPUTED_VALUE"""),97.0)</f>
        <v>97</v>
      </c>
      <c r="I543" s="3" t="str">
        <f t="shared" si="1"/>
        <v>y</v>
      </c>
      <c r="J543" s="3" t="str">
        <f t="shared" si="2"/>
        <v/>
      </c>
      <c r="K543" s="3" t="str">
        <f t="shared" si="3"/>
        <v/>
      </c>
      <c r="L543" s="3" t="str">
        <f t="shared" si="4"/>
        <v>y</v>
      </c>
      <c r="N543" s="3" t="str">
        <f t="shared" si="5"/>
        <v/>
      </c>
      <c r="O543" s="3" t="str">
        <f t="shared" si="6"/>
        <v/>
      </c>
      <c r="Q543" s="3" t="str">
        <f t="shared" si="7"/>
        <v/>
      </c>
      <c r="U543" s="3" t="str">
        <f t="shared" si="8"/>
        <v>Överlapp</v>
      </c>
      <c r="V543" s="3" t="str">
        <f t="shared" si="9"/>
        <v>Överlapp</v>
      </c>
      <c r="W543" s="3" t="str">
        <f t="shared" si="10"/>
        <v>Överlapp</v>
      </c>
      <c r="X543" s="3" t="str">
        <f t="shared" si="11"/>
        <v/>
      </c>
    </row>
    <row r="544">
      <c r="A544" s="1" t="s">
        <v>548</v>
      </c>
      <c r="B544" s="3" t="str">
        <f>IFERROR(__xludf.DUMMYFUNCTION("SPLIT(A544, "","")"),"28-58")</f>
        <v>28-58</v>
      </c>
      <c r="C544" s="3" t="str">
        <f>IFERROR(__xludf.DUMMYFUNCTION("""COMPUTED_VALUE"""),"42-87")</f>
        <v>42-87</v>
      </c>
      <c r="D544" s="3">
        <f>IFERROR(__xludf.DUMMYFUNCTION("SPLIT(B544, ""-"")"),28.0)</f>
        <v>28</v>
      </c>
      <c r="E544" s="3">
        <f>IFERROR(__xludf.DUMMYFUNCTION("""COMPUTED_VALUE"""),58.0)</f>
        <v>58</v>
      </c>
      <c r="F544" s="3">
        <f>IFERROR(__xludf.DUMMYFUNCTION("SPLIT(C544, ""-"")"),42.0)</f>
        <v>42</v>
      </c>
      <c r="G544" s="3">
        <f>IFERROR(__xludf.DUMMYFUNCTION("""COMPUTED_VALUE"""),87.0)</f>
        <v>87</v>
      </c>
      <c r="I544" s="3" t="str">
        <f t="shared" si="1"/>
        <v>y</v>
      </c>
      <c r="J544" s="3" t="str">
        <f t="shared" si="2"/>
        <v/>
      </c>
      <c r="K544" s="3" t="str">
        <f t="shared" si="3"/>
        <v/>
      </c>
      <c r="L544" s="3" t="str">
        <f t="shared" si="4"/>
        <v>y</v>
      </c>
      <c r="N544" s="3" t="str">
        <f t="shared" si="5"/>
        <v/>
      </c>
      <c r="O544" s="3" t="str">
        <f t="shared" si="6"/>
        <v/>
      </c>
      <c r="Q544" s="3" t="str">
        <f t="shared" si="7"/>
        <v/>
      </c>
      <c r="U544" s="3">
        <f t="shared" si="8"/>
        <v>1</v>
      </c>
      <c r="V544" s="3" t="str">
        <f t="shared" si="9"/>
        <v>Överlapp</v>
      </c>
      <c r="W544" s="3" t="str">
        <f t="shared" si="10"/>
        <v>Överlapp</v>
      </c>
      <c r="X544" s="3" t="str">
        <f t="shared" si="11"/>
        <v/>
      </c>
    </row>
    <row r="545">
      <c r="A545" s="1" t="s">
        <v>549</v>
      </c>
      <c r="B545" s="3" t="str">
        <f>IFERROR(__xludf.DUMMYFUNCTION("SPLIT(A545, "","")"),"83-94")</f>
        <v>83-94</v>
      </c>
      <c r="C545" s="3" t="str">
        <f>IFERROR(__xludf.DUMMYFUNCTION("""COMPUTED_VALUE"""),"19-81")</f>
        <v>19-81</v>
      </c>
      <c r="D545" s="3">
        <f>IFERROR(__xludf.DUMMYFUNCTION("SPLIT(B545, ""-"")"),83.0)</f>
        <v>83</v>
      </c>
      <c r="E545" s="3">
        <f>IFERROR(__xludf.DUMMYFUNCTION("""COMPUTED_VALUE"""),94.0)</f>
        <v>94</v>
      </c>
      <c r="F545" s="3">
        <f>IFERROR(__xludf.DUMMYFUNCTION("SPLIT(C545, ""-"")"),19.0)</f>
        <v>19</v>
      </c>
      <c r="G545" s="3">
        <f>IFERROR(__xludf.DUMMYFUNCTION("""COMPUTED_VALUE"""),81.0)</f>
        <v>81</v>
      </c>
      <c r="I545" s="3" t="str">
        <f t="shared" si="1"/>
        <v/>
      </c>
      <c r="J545" s="3" t="str">
        <f t="shared" si="2"/>
        <v>y</v>
      </c>
      <c r="K545" s="3" t="str">
        <f t="shared" si="3"/>
        <v>y</v>
      </c>
      <c r="L545" s="3" t="str">
        <f t="shared" si="4"/>
        <v/>
      </c>
      <c r="N545" s="3" t="str">
        <f t="shared" si="5"/>
        <v/>
      </c>
      <c r="O545" s="3" t="str">
        <f t="shared" si="6"/>
        <v/>
      </c>
      <c r="Q545" s="3" t="str">
        <f t="shared" si="7"/>
        <v/>
      </c>
      <c r="U545" s="3">
        <f t="shared" si="8"/>
        <v>1</v>
      </c>
      <c r="V545" s="3" t="str">
        <f t="shared" si="9"/>
        <v>Överlapp</v>
      </c>
      <c r="W545" s="3">
        <f t="shared" si="10"/>
        <v>1</v>
      </c>
      <c r="X545" s="3">
        <f t="shared" si="11"/>
        <v>1</v>
      </c>
    </row>
    <row r="546">
      <c r="A546" s="1" t="s">
        <v>550</v>
      </c>
      <c r="B546" s="3" t="str">
        <f>IFERROR(__xludf.DUMMYFUNCTION("SPLIT(A546, "","")"),"28-84")</f>
        <v>28-84</v>
      </c>
      <c r="C546" s="3" t="str">
        <f>IFERROR(__xludf.DUMMYFUNCTION("""COMPUTED_VALUE"""),"29-84")</f>
        <v>29-84</v>
      </c>
      <c r="D546" s="3">
        <f>IFERROR(__xludf.DUMMYFUNCTION("SPLIT(B546, ""-"")"),28.0)</f>
        <v>28</v>
      </c>
      <c r="E546" s="3">
        <f>IFERROR(__xludf.DUMMYFUNCTION("""COMPUTED_VALUE"""),84.0)</f>
        <v>84</v>
      </c>
      <c r="F546" s="3">
        <f>IFERROR(__xludf.DUMMYFUNCTION("SPLIT(C546, ""-"")"),29.0)</f>
        <v>29</v>
      </c>
      <c r="G546" s="3">
        <f>IFERROR(__xludf.DUMMYFUNCTION("""COMPUTED_VALUE"""),84.0)</f>
        <v>84</v>
      </c>
      <c r="I546" s="3" t="str">
        <f t="shared" si="1"/>
        <v>y</v>
      </c>
      <c r="J546" s="3" t="str">
        <f t="shared" si="2"/>
        <v>y</v>
      </c>
      <c r="K546" s="3" t="str">
        <f t="shared" si="3"/>
        <v/>
      </c>
      <c r="L546" s="3" t="str">
        <f t="shared" si="4"/>
        <v>y</v>
      </c>
      <c r="N546" s="3">
        <f t="shared" si="5"/>
        <v>1</v>
      </c>
      <c r="O546" s="3" t="str">
        <f t="shared" si="6"/>
        <v/>
      </c>
      <c r="Q546" s="3">
        <f t="shared" si="7"/>
        <v>1</v>
      </c>
      <c r="U546" s="3" t="str">
        <f t="shared" si="8"/>
        <v>Överlapp</v>
      </c>
      <c r="V546" s="3" t="str">
        <f t="shared" si="9"/>
        <v>Överlapp</v>
      </c>
      <c r="W546" s="3" t="str">
        <f t="shared" si="10"/>
        <v>Överlapp</v>
      </c>
      <c r="X546" s="3" t="str">
        <f t="shared" si="11"/>
        <v/>
      </c>
    </row>
    <row r="547">
      <c r="A547" s="1" t="s">
        <v>551</v>
      </c>
      <c r="B547" s="3" t="str">
        <f>IFERROR(__xludf.DUMMYFUNCTION("SPLIT(A547, "","")"),"34-95")</f>
        <v>34-95</v>
      </c>
      <c r="C547" s="3" t="str">
        <f>IFERROR(__xludf.DUMMYFUNCTION("""COMPUTED_VALUE"""),"33-95")</f>
        <v>33-95</v>
      </c>
      <c r="D547" s="3">
        <f>IFERROR(__xludf.DUMMYFUNCTION("SPLIT(B547, ""-"")"),34.0)</f>
        <v>34</v>
      </c>
      <c r="E547" s="3">
        <f>IFERROR(__xludf.DUMMYFUNCTION("""COMPUTED_VALUE"""),95.0)</f>
        <v>95</v>
      </c>
      <c r="F547" s="3">
        <f>IFERROR(__xludf.DUMMYFUNCTION("SPLIT(C547, ""-"")"),33.0)</f>
        <v>33</v>
      </c>
      <c r="G547" s="3">
        <f>IFERROR(__xludf.DUMMYFUNCTION("""COMPUTED_VALUE"""),95.0)</f>
        <v>95</v>
      </c>
      <c r="I547" s="3" t="str">
        <f t="shared" si="1"/>
        <v/>
      </c>
      <c r="J547" s="3" t="str">
        <f t="shared" si="2"/>
        <v>y</v>
      </c>
      <c r="K547" s="3" t="str">
        <f t="shared" si="3"/>
        <v>y</v>
      </c>
      <c r="L547" s="3" t="str">
        <f t="shared" si="4"/>
        <v>y</v>
      </c>
      <c r="N547" s="3" t="str">
        <f t="shared" si="5"/>
        <v/>
      </c>
      <c r="O547" s="3">
        <f t="shared" si="6"/>
        <v>1</v>
      </c>
      <c r="Q547" s="3">
        <f t="shared" si="7"/>
        <v>1</v>
      </c>
      <c r="U547" s="3" t="str">
        <f t="shared" si="8"/>
        <v>Överlapp</v>
      </c>
      <c r="V547" s="3" t="str">
        <f t="shared" si="9"/>
        <v>Överlapp</v>
      </c>
      <c r="W547" s="3" t="str">
        <f t="shared" si="10"/>
        <v>Överlapp</v>
      </c>
      <c r="X547" s="3" t="str">
        <f t="shared" si="11"/>
        <v/>
      </c>
    </row>
    <row r="548">
      <c r="A548" s="1" t="s">
        <v>552</v>
      </c>
      <c r="B548" s="3" t="str">
        <f>IFERROR(__xludf.DUMMYFUNCTION("SPLIT(A548, "","")"),"10-93")</f>
        <v>10-93</v>
      </c>
      <c r="C548" s="3" t="str">
        <f>IFERROR(__xludf.DUMMYFUNCTION("""COMPUTED_VALUE"""),"10-54")</f>
        <v>10-54</v>
      </c>
      <c r="D548" s="3">
        <f>IFERROR(__xludf.DUMMYFUNCTION("SPLIT(B548, ""-"")"),10.0)</f>
        <v>10</v>
      </c>
      <c r="E548" s="3">
        <f>IFERROR(__xludf.DUMMYFUNCTION("""COMPUTED_VALUE"""),93.0)</f>
        <v>93</v>
      </c>
      <c r="F548" s="3">
        <f>IFERROR(__xludf.DUMMYFUNCTION("SPLIT(C548, ""-"")"),10.0)</f>
        <v>10</v>
      </c>
      <c r="G548" s="3">
        <f>IFERROR(__xludf.DUMMYFUNCTION("""COMPUTED_VALUE"""),54.0)</f>
        <v>54</v>
      </c>
      <c r="I548" s="3" t="str">
        <f t="shared" si="1"/>
        <v>y</v>
      </c>
      <c r="J548" s="3" t="str">
        <f t="shared" si="2"/>
        <v>y</v>
      </c>
      <c r="K548" s="3" t="str">
        <f t="shared" si="3"/>
        <v>y</v>
      </c>
      <c r="L548" s="3" t="str">
        <f t="shared" si="4"/>
        <v/>
      </c>
      <c r="N548" s="3">
        <f t="shared" si="5"/>
        <v>1</v>
      </c>
      <c r="O548" s="3" t="str">
        <f t="shared" si="6"/>
        <v/>
      </c>
      <c r="Q548" s="3">
        <f t="shared" si="7"/>
        <v>1</v>
      </c>
      <c r="U548" s="3" t="str">
        <f t="shared" si="8"/>
        <v>Överlapp</v>
      </c>
      <c r="V548" s="3" t="str">
        <f t="shared" si="9"/>
        <v>Överlapp</v>
      </c>
      <c r="W548" s="3" t="str">
        <f t="shared" si="10"/>
        <v>Överlapp</v>
      </c>
      <c r="X548" s="3" t="str">
        <f t="shared" si="11"/>
        <v/>
      </c>
    </row>
    <row r="549">
      <c r="A549" s="1" t="s">
        <v>553</v>
      </c>
      <c r="B549" s="3" t="str">
        <f>IFERROR(__xludf.DUMMYFUNCTION("SPLIT(A549, "","")"),"2-80")</f>
        <v>2-80</v>
      </c>
      <c r="C549" s="3" t="str">
        <f>IFERROR(__xludf.DUMMYFUNCTION("""COMPUTED_VALUE"""),"4-79")</f>
        <v>4-79</v>
      </c>
      <c r="D549" s="3">
        <f>IFERROR(__xludf.DUMMYFUNCTION("SPLIT(B549, ""-"")"),2.0)</f>
        <v>2</v>
      </c>
      <c r="E549" s="3">
        <f>IFERROR(__xludf.DUMMYFUNCTION("""COMPUTED_VALUE"""),80.0)</f>
        <v>80</v>
      </c>
      <c r="F549" s="3">
        <f>IFERROR(__xludf.DUMMYFUNCTION("SPLIT(C549, ""-"")"),4.0)</f>
        <v>4</v>
      </c>
      <c r="G549" s="3">
        <f>IFERROR(__xludf.DUMMYFUNCTION("""COMPUTED_VALUE"""),79.0)</f>
        <v>79</v>
      </c>
      <c r="I549" s="3" t="str">
        <f t="shared" si="1"/>
        <v>y</v>
      </c>
      <c r="J549" s="3" t="str">
        <f t="shared" si="2"/>
        <v>y</v>
      </c>
      <c r="K549" s="3" t="str">
        <f t="shared" si="3"/>
        <v/>
      </c>
      <c r="L549" s="3" t="str">
        <f t="shared" si="4"/>
        <v/>
      </c>
      <c r="N549" s="3">
        <f t="shared" si="5"/>
        <v>1</v>
      </c>
      <c r="O549" s="3" t="str">
        <f t="shared" si="6"/>
        <v/>
      </c>
      <c r="Q549" s="3">
        <f t="shared" si="7"/>
        <v>1</v>
      </c>
      <c r="U549" s="3">
        <f t="shared" si="8"/>
        <v>1</v>
      </c>
      <c r="V549" s="3" t="str">
        <f t="shared" si="9"/>
        <v>Överlapp</v>
      </c>
      <c r="W549" s="3" t="str">
        <f t="shared" si="10"/>
        <v>Överlapp</v>
      </c>
      <c r="X549" s="3" t="str">
        <f t="shared" si="11"/>
        <v/>
      </c>
    </row>
    <row r="550">
      <c r="A550" s="1" t="s">
        <v>554</v>
      </c>
      <c r="B550" s="3" t="str">
        <f>IFERROR(__xludf.DUMMYFUNCTION("SPLIT(A550, "","")"),"56-57")</f>
        <v>56-57</v>
      </c>
      <c r="C550" s="3" t="str">
        <f>IFERROR(__xludf.DUMMYFUNCTION("""COMPUTED_VALUE"""),"56-58")</f>
        <v>56-58</v>
      </c>
      <c r="D550" s="3">
        <f>IFERROR(__xludf.DUMMYFUNCTION("SPLIT(B550, ""-"")"),56.0)</f>
        <v>56</v>
      </c>
      <c r="E550" s="3">
        <f>IFERROR(__xludf.DUMMYFUNCTION("""COMPUTED_VALUE"""),57.0)</f>
        <v>57</v>
      </c>
      <c r="F550" s="3">
        <f>IFERROR(__xludf.DUMMYFUNCTION("SPLIT(C550, ""-"")"),56.0)</f>
        <v>56</v>
      </c>
      <c r="G550" s="3">
        <f>IFERROR(__xludf.DUMMYFUNCTION("""COMPUTED_VALUE"""),58.0)</f>
        <v>58</v>
      </c>
      <c r="I550" s="3" t="str">
        <f t="shared" si="1"/>
        <v>y</v>
      </c>
      <c r="J550" s="3" t="str">
        <f t="shared" si="2"/>
        <v/>
      </c>
      <c r="K550" s="3" t="str">
        <f t="shared" si="3"/>
        <v>y</v>
      </c>
      <c r="L550" s="3" t="str">
        <f t="shared" si="4"/>
        <v>y</v>
      </c>
      <c r="N550" s="3" t="str">
        <f t="shared" si="5"/>
        <v/>
      </c>
      <c r="O550" s="3">
        <f t="shared" si="6"/>
        <v>1</v>
      </c>
      <c r="Q550" s="3">
        <f t="shared" si="7"/>
        <v>1</v>
      </c>
      <c r="U550" s="3" t="str">
        <f t="shared" si="8"/>
        <v>Överlapp</v>
      </c>
      <c r="V550" s="3" t="str">
        <f t="shared" si="9"/>
        <v>Överlapp</v>
      </c>
      <c r="W550" s="3" t="str">
        <f t="shared" si="10"/>
        <v>Överlapp</v>
      </c>
      <c r="X550" s="3" t="str">
        <f t="shared" si="11"/>
        <v/>
      </c>
    </row>
    <row r="551">
      <c r="A551" s="1" t="s">
        <v>555</v>
      </c>
      <c r="B551" s="3" t="str">
        <f>IFERROR(__xludf.DUMMYFUNCTION("SPLIT(A551, "","")"),"52-75")</f>
        <v>52-75</v>
      </c>
      <c r="C551" s="3" t="str">
        <f>IFERROR(__xludf.DUMMYFUNCTION("""COMPUTED_VALUE"""),"51-66")</f>
        <v>51-66</v>
      </c>
      <c r="D551" s="3">
        <f>IFERROR(__xludf.DUMMYFUNCTION("SPLIT(B551, ""-"")"),52.0)</f>
        <v>52</v>
      </c>
      <c r="E551" s="3">
        <f>IFERROR(__xludf.DUMMYFUNCTION("""COMPUTED_VALUE"""),75.0)</f>
        <v>75</v>
      </c>
      <c r="F551" s="3">
        <f>IFERROR(__xludf.DUMMYFUNCTION("SPLIT(C551, ""-"")"),51.0)</f>
        <v>51</v>
      </c>
      <c r="G551" s="3">
        <f>IFERROR(__xludf.DUMMYFUNCTION("""COMPUTED_VALUE"""),66.0)</f>
        <v>66</v>
      </c>
      <c r="I551" s="3" t="str">
        <f t="shared" si="1"/>
        <v/>
      </c>
      <c r="J551" s="3" t="str">
        <f t="shared" si="2"/>
        <v>y</v>
      </c>
      <c r="K551" s="3" t="str">
        <f t="shared" si="3"/>
        <v>y</v>
      </c>
      <c r="L551" s="3" t="str">
        <f t="shared" si="4"/>
        <v/>
      </c>
      <c r="N551" s="3" t="str">
        <f t="shared" si="5"/>
        <v/>
      </c>
      <c r="O551" s="3" t="str">
        <f t="shared" si="6"/>
        <v/>
      </c>
      <c r="Q551" s="3" t="str">
        <f t="shared" si="7"/>
        <v/>
      </c>
      <c r="U551" s="3">
        <f t="shared" si="8"/>
        <v>1</v>
      </c>
      <c r="V551" s="3" t="str">
        <f t="shared" si="9"/>
        <v>Överlapp</v>
      </c>
      <c r="W551" s="3" t="str">
        <f t="shared" si="10"/>
        <v>Överlapp</v>
      </c>
      <c r="X551" s="3" t="str">
        <f t="shared" si="11"/>
        <v/>
      </c>
    </row>
    <row r="552">
      <c r="A552" s="1" t="s">
        <v>556</v>
      </c>
      <c r="B552" s="3" t="str">
        <f>IFERROR(__xludf.DUMMYFUNCTION("SPLIT(A552, "","")"),"69-78")</f>
        <v>69-78</v>
      </c>
      <c r="C552" s="3" t="str">
        <f>IFERROR(__xludf.DUMMYFUNCTION("""COMPUTED_VALUE"""),"70-71")</f>
        <v>70-71</v>
      </c>
      <c r="D552" s="3">
        <f>IFERROR(__xludf.DUMMYFUNCTION("SPLIT(B552, ""-"")"),69.0)</f>
        <v>69</v>
      </c>
      <c r="E552" s="3">
        <f>IFERROR(__xludf.DUMMYFUNCTION("""COMPUTED_VALUE"""),78.0)</f>
        <v>78</v>
      </c>
      <c r="F552" s="3">
        <f>IFERROR(__xludf.DUMMYFUNCTION("SPLIT(C552, ""-"")"),70.0)</f>
        <v>70</v>
      </c>
      <c r="G552" s="3">
        <f>IFERROR(__xludf.DUMMYFUNCTION("""COMPUTED_VALUE"""),71.0)</f>
        <v>71</v>
      </c>
      <c r="I552" s="3" t="str">
        <f t="shared" si="1"/>
        <v>y</v>
      </c>
      <c r="J552" s="3" t="str">
        <f t="shared" si="2"/>
        <v>y</v>
      </c>
      <c r="K552" s="3" t="str">
        <f t="shared" si="3"/>
        <v/>
      </c>
      <c r="L552" s="3" t="str">
        <f t="shared" si="4"/>
        <v/>
      </c>
      <c r="N552" s="3">
        <f t="shared" si="5"/>
        <v>1</v>
      </c>
      <c r="O552" s="3" t="str">
        <f t="shared" si="6"/>
        <v/>
      </c>
      <c r="Q552" s="3">
        <f t="shared" si="7"/>
        <v>1</v>
      </c>
      <c r="U552" s="3">
        <f t="shared" si="8"/>
        <v>1</v>
      </c>
      <c r="V552" s="3" t="str">
        <f t="shared" si="9"/>
        <v>Överlapp</v>
      </c>
      <c r="W552" s="3" t="str">
        <f t="shared" si="10"/>
        <v>Överlapp</v>
      </c>
      <c r="X552" s="3" t="str">
        <f t="shared" si="11"/>
        <v/>
      </c>
    </row>
    <row r="553">
      <c r="A553" s="1" t="s">
        <v>557</v>
      </c>
      <c r="B553" s="3" t="str">
        <f>IFERROR(__xludf.DUMMYFUNCTION("SPLIT(A553, "","")"),"26-87")</f>
        <v>26-87</v>
      </c>
      <c r="C553" s="3" t="str">
        <f>IFERROR(__xludf.DUMMYFUNCTION("""COMPUTED_VALUE"""),"26-87")</f>
        <v>26-87</v>
      </c>
      <c r="D553" s="3">
        <f>IFERROR(__xludf.DUMMYFUNCTION("SPLIT(B553, ""-"")"),26.0)</f>
        <v>26</v>
      </c>
      <c r="E553" s="3">
        <f>IFERROR(__xludf.DUMMYFUNCTION("""COMPUTED_VALUE"""),87.0)</f>
        <v>87</v>
      </c>
      <c r="F553" s="3">
        <f>IFERROR(__xludf.DUMMYFUNCTION("SPLIT(C553, ""-"")"),26.0)</f>
        <v>26</v>
      </c>
      <c r="G553" s="3">
        <f>IFERROR(__xludf.DUMMYFUNCTION("""COMPUTED_VALUE"""),87.0)</f>
        <v>87</v>
      </c>
      <c r="I553" s="3" t="str">
        <f t="shared" si="1"/>
        <v>y</v>
      </c>
      <c r="J553" s="3" t="str">
        <f t="shared" si="2"/>
        <v>y</v>
      </c>
      <c r="K553" s="3" t="str">
        <f t="shared" si="3"/>
        <v>y</v>
      </c>
      <c r="L553" s="3" t="str">
        <f t="shared" si="4"/>
        <v>y</v>
      </c>
      <c r="N553" s="3">
        <f t="shared" si="5"/>
        <v>1</v>
      </c>
      <c r="O553" s="3">
        <f t="shared" si="6"/>
        <v>1</v>
      </c>
      <c r="Q553" s="3">
        <f t="shared" si="7"/>
        <v>1</v>
      </c>
      <c r="U553" s="3" t="str">
        <f t="shared" si="8"/>
        <v>Överlapp</v>
      </c>
      <c r="V553" s="3" t="str">
        <f t="shared" si="9"/>
        <v>Överlapp</v>
      </c>
      <c r="W553" s="3" t="str">
        <f t="shared" si="10"/>
        <v>Överlapp</v>
      </c>
      <c r="X553" s="3" t="str">
        <f t="shared" si="11"/>
        <v/>
      </c>
    </row>
    <row r="554">
      <c r="A554" s="1" t="s">
        <v>558</v>
      </c>
      <c r="B554" s="3" t="str">
        <f>IFERROR(__xludf.DUMMYFUNCTION("SPLIT(A554, "","")"),"13-14")</f>
        <v>13-14</v>
      </c>
      <c r="C554" s="3" t="str">
        <f>IFERROR(__xludf.DUMMYFUNCTION("""COMPUTED_VALUE"""),"14-51")</f>
        <v>14-51</v>
      </c>
      <c r="D554" s="3">
        <f>IFERROR(__xludf.DUMMYFUNCTION("SPLIT(B554, ""-"")"),13.0)</f>
        <v>13</v>
      </c>
      <c r="E554" s="3">
        <f>IFERROR(__xludf.DUMMYFUNCTION("""COMPUTED_VALUE"""),14.0)</f>
        <v>14</v>
      </c>
      <c r="F554" s="3">
        <f>IFERROR(__xludf.DUMMYFUNCTION("SPLIT(C554, ""-"")"),14.0)</f>
        <v>14</v>
      </c>
      <c r="G554" s="3">
        <f>IFERROR(__xludf.DUMMYFUNCTION("""COMPUTED_VALUE"""),51.0)</f>
        <v>51</v>
      </c>
      <c r="I554" s="3" t="str">
        <f t="shared" si="1"/>
        <v>y</v>
      </c>
      <c r="J554" s="3" t="str">
        <f t="shared" si="2"/>
        <v/>
      </c>
      <c r="K554" s="3" t="str">
        <f t="shared" si="3"/>
        <v/>
      </c>
      <c r="L554" s="3" t="str">
        <f t="shared" si="4"/>
        <v>y</v>
      </c>
      <c r="N554" s="3" t="str">
        <f t="shared" si="5"/>
        <v/>
      </c>
      <c r="O554" s="3" t="str">
        <f t="shared" si="6"/>
        <v/>
      </c>
      <c r="Q554" s="3" t="str">
        <f t="shared" si="7"/>
        <v/>
      </c>
      <c r="U554" s="3" t="str">
        <f t="shared" si="8"/>
        <v>Överlapp</v>
      </c>
      <c r="V554" s="3" t="str">
        <f t="shared" si="9"/>
        <v>Överlapp</v>
      </c>
      <c r="W554" s="3" t="str">
        <f t="shared" si="10"/>
        <v>Överlapp</v>
      </c>
      <c r="X554" s="3" t="str">
        <f t="shared" si="11"/>
        <v/>
      </c>
    </row>
    <row r="555">
      <c r="A555" s="1" t="s">
        <v>559</v>
      </c>
      <c r="B555" s="3" t="str">
        <f>IFERROR(__xludf.DUMMYFUNCTION("SPLIT(A555, "","")"),"5-99")</f>
        <v>5-99</v>
      </c>
      <c r="C555" s="3" t="str">
        <f>IFERROR(__xludf.DUMMYFUNCTION("""COMPUTED_VALUE"""),"5-92")</f>
        <v>5-92</v>
      </c>
      <c r="D555" s="3">
        <f>IFERROR(__xludf.DUMMYFUNCTION("SPLIT(B555, ""-"")"),5.0)</f>
        <v>5</v>
      </c>
      <c r="E555" s="3">
        <f>IFERROR(__xludf.DUMMYFUNCTION("""COMPUTED_VALUE"""),99.0)</f>
        <v>99</v>
      </c>
      <c r="F555" s="3">
        <f>IFERROR(__xludf.DUMMYFUNCTION("SPLIT(C555, ""-"")"),5.0)</f>
        <v>5</v>
      </c>
      <c r="G555" s="3">
        <f>IFERROR(__xludf.DUMMYFUNCTION("""COMPUTED_VALUE"""),92.0)</f>
        <v>92</v>
      </c>
      <c r="I555" s="3" t="str">
        <f t="shared" si="1"/>
        <v>y</v>
      </c>
      <c r="J555" s="3" t="str">
        <f t="shared" si="2"/>
        <v>y</v>
      </c>
      <c r="K555" s="3" t="str">
        <f t="shared" si="3"/>
        <v>y</v>
      </c>
      <c r="L555" s="3" t="str">
        <f t="shared" si="4"/>
        <v/>
      </c>
      <c r="N555" s="3">
        <f t="shared" si="5"/>
        <v>1</v>
      </c>
      <c r="O555" s="3" t="str">
        <f t="shared" si="6"/>
        <v/>
      </c>
      <c r="Q555" s="3">
        <f t="shared" si="7"/>
        <v>1</v>
      </c>
      <c r="U555" s="3" t="str">
        <f t="shared" si="8"/>
        <v>Överlapp</v>
      </c>
      <c r="V555" s="3" t="str">
        <f t="shared" si="9"/>
        <v>Överlapp</v>
      </c>
      <c r="W555" s="3" t="str">
        <f t="shared" si="10"/>
        <v>Överlapp</v>
      </c>
      <c r="X555" s="3" t="str">
        <f t="shared" si="11"/>
        <v/>
      </c>
    </row>
    <row r="556">
      <c r="A556" s="1" t="s">
        <v>560</v>
      </c>
      <c r="B556" s="3" t="str">
        <f>IFERROR(__xludf.DUMMYFUNCTION("SPLIT(A556, "","")"),"61-62")</f>
        <v>61-62</v>
      </c>
      <c r="C556" s="3" t="str">
        <f>IFERROR(__xludf.DUMMYFUNCTION("""COMPUTED_VALUE"""),"3-62")</f>
        <v>3-62</v>
      </c>
      <c r="D556" s="3">
        <f>IFERROR(__xludf.DUMMYFUNCTION("SPLIT(B556, ""-"")"),61.0)</f>
        <v>61</v>
      </c>
      <c r="E556" s="3">
        <f>IFERROR(__xludf.DUMMYFUNCTION("""COMPUTED_VALUE"""),62.0)</f>
        <v>62</v>
      </c>
      <c r="F556" s="3">
        <f>IFERROR(__xludf.DUMMYFUNCTION("SPLIT(C556, ""-"")"),3.0)</f>
        <v>3</v>
      </c>
      <c r="G556" s="3">
        <f>IFERROR(__xludf.DUMMYFUNCTION("""COMPUTED_VALUE"""),62.0)</f>
        <v>62</v>
      </c>
      <c r="I556" s="3" t="str">
        <f t="shared" si="1"/>
        <v/>
      </c>
      <c r="J556" s="3" t="str">
        <f t="shared" si="2"/>
        <v>y</v>
      </c>
      <c r="K556" s="3" t="str">
        <f t="shared" si="3"/>
        <v>y</v>
      </c>
      <c r="L556" s="3" t="str">
        <f t="shared" si="4"/>
        <v>y</v>
      </c>
      <c r="N556" s="3" t="str">
        <f t="shared" si="5"/>
        <v/>
      </c>
      <c r="O556" s="3">
        <f t="shared" si="6"/>
        <v>1</v>
      </c>
      <c r="Q556" s="3">
        <f t="shared" si="7"/>
        <v>1</v>
      </c>
      <c r="U556" s="3" t="str">
        <f t="shared" si="8"/>
        <v>Överlapp</v>
      </c>
      <c r="V556" s="3" t="str">
        <f t="shared" si="9"/>
        <v>Överlapp</v>
      </c>
      <c r="W556" s="3" t="str">
        <f t="shared" si="10"/>
        <v>Överlapp</v>
      </c>
      <c r="X556" s="3" t="str">
        <f t="shared" si="11"/>
        <v/>
      </c>
    </row>
    <row r="557">
      <c r="A557" s="1" t="s">
        <v>561</v>
      </c>
      <c r="B557" s="3" t="str">
        <f>IFERROR(__xludf.DUMMYFUNCTION("SPLIT(A557, "","")"),"26-80")</f>
        <v>26-80</v>
      </c>
      <c r="C557" s="3" t="str">
        <f>IFERROR(__xludf.DUMMYFUNCTION("""COMPUTED_VALUE"""),"20-81")</f>
        <v>20-81</v>
      </c>
      <c r="D557" s="3">
        <f>IFERROR(__xludf.DUMMYFUNCTION("SPLIT(B557, ""-"")"),26.0)</f>
        <v>26</v>
      </c>
      <c r="E557" s="3">
        <f>IFERROR(__xludf.DUMMYFUNCTION("""COMPUTED_VALUE"""),80.0)</f>
        <v>80</v>
      </c>
      <c r="F557" s="3">
        <f>IFERROR(__xludf.DUMMYFUNCTION("SPLIT(C557, ""-"")"),20.0)</f>
        <v>20</v>
      </c>
      <c r="G557" s="3">
        <f>IFERROR(__xludf.DUMMYFUNCTION("""COMPUTED_VALUE"""),81.0)</f>
        <v>81</v>
      </c>
      <c r="I557" s="3" t="str">
        <f t="shared" si="1"/>
        <v/>
      </c>
      <c r="J557" s="3" t="str">
        <f t="shared" si="2"/>
        <v/>
      </c>
      <c r="K557" s="3" t="str">
        <f t="shared" si="3"/>
        <v>y</v>
      </c>
      <c r="L557" s="3" t="str">
        <f t="shared" si="4"/>
        <v>y</v>
      </c>
      <c r="N557" s="3" t="str">
        <f t="shared" si="5"/>
        <v/>
      </c>
      <c r="O557" s="3">
        <f t="shared" si="6"/>
        <v>1</v>
      </c>
      <c r="Q557" s="3">
        <f t="shared" si="7"/>
        <v>1</v>
      </c>
      <c r="U557" s="3">
        <f t="shared" si="8"/>
        <v>1</v>
      </c>
      <c r="V557" s="3" t="str">
        <f t="shared" si="9"/>
        <v>Överlapp</v>
      </c>
      <c r="W557" s="3" t="str">
        <f t="shared" si="10"/>
        <v>Överlapp</v>
      </c>
      <c r="X557" s="3" t="str">
        <f t="shared" si="11"/>
        <v/>
      </c>
    </row>
    <row r="558">
      <c r="A558" s="1" t="s">
        <v>562</v>
      </c>
      <c r="B558" s="3" t="str">
        <f>IFERROR(__xludf.DUMMYFUNCTION("SPLIT(A558, "","")"),"6-75")</f>
        <v>6-75</v>
      </c>
      <c r="C558" s="3" t="str">
        <f>IFERROR(__xludf.DUMMYFUNCTION("""COMPUTED_VALUE"""),"74-94")</f>
        <v>74-94</v>
      </c>
      <c r="D558" s="3">
        <f>IFERROR(__xludf.DUMMYFUNCTION("SPLIT(B558, ""-"")"),6.0)</f>
        <v>6</v>
      </c>
      <c r="E558" s="3">
        <f>IFERROR(__xludf.DUMMYFUNCTION("""COMPUTED_VALUE"""),75.0)</f>
        <v>75</v>
      </c>
      <c r="F558" s="3">
        <f>IFERROR(__xludf.DUMMYFUNCTION("SPLIT(C558, ""-"")"),74.0)</f>
        <v>74</v>
      </c>
      <c r="G558" s="3">
        <f>IFERROR(__xludf.DUMMYFUNCTION("""COMPUTED_VALUE"""),94.0)</f>
        <v>94</v>
      </c>
      <c r="I558" s="3" t="str">
        <f t="shared" si="1"/>
        <v>y</v>
      </c>
      <c r="J558" s="3" t="str">
        <f t="shared" si="2"/>
        <v/>
      </c>
      <c r="K558" s="3" t="str">
        <f t="shared" si="3"/>
        <v/>
      </c>
      <c r="L558" s="3" t="str">
        <f t="shared" si="4"/>
        <v>y</v>
      </c>
      <c r="N558" s="3" t="str">
        <f t="shared" si="5"/>
        <v/>
      </c>
      <c r="O558" s="3" t="str">
        <f t="shared" si="6"/>
        <v/>
      </c>
      <c r="Q558" s="3" t="str">
        <f t="shared" si="7"/>
        <v/>
      </c>
      <c r="U558" s="3">
        <f t="shared" si="8"/>
        <v>1</v>
      </c>
      <c r="V558" s="3" t="str">
        <f t="shared" si="9"/>
        <v>Överlapp</v>
      </c>
      <c r="W558" s="3" t="str">
        <f t="shared" si="10"/>
        <v>Överlapp</v>
      </c>
      <c r="X558" s="3" t="str">
        <f t="shared" si="11"/>
        <v/>
      </c>
    </row>
    <row r="559">
      <c r="A559" s="1" t="s">
        <v>563</v>
      </c>
      <c r="B559" s="3" t="str">
        <f>IFERROR(__xludf.DUMMYFUNCTION("SPLIT(A559, "","")"),"86-98")</f>
        <v>86-98</v>
      </c>
      <c r="C559" s="3" t="str">
        <f>IFERROR(__xludf.DUMMYFUNCTION("""COMPUTED_VALUE"""),"12-66")</f>
        <v>12-66</v>
      </c>
      <c r="D559" s="3">
        <f>IFERROR(__xludf.DUMMYFUNCTION("SPLIT(B559, ""-"")"),86.0)</f>
        <v>86</v>
      </c>
      <c r="E559" s="3">
        <f>IFERROR(__xludf.DUMMYFUNCTION("""COMPUTED_VALUE"""),98.0)</f>
        <v>98</v>
      </c>
      <c r="F559" s="3">
        <f>IFERROR(__xludf.DUMMYFUNCTION("SPLIT(C559, ""-"")"),12.0)</f>
        <v>12</v>
      </c>
      <c r="G559" s="3">
        <f>IFERROR(__xludf.DUMMYFUNCTION("""COMPUTED_VALUE"""),66.0)</f>
        <v>66</v>
      </c>
      <c r="I559" s="3" t="str">
        <f t="shared" si="1"/>
        <v/>
      </c>
      <c r="J559" s="3" t="str">
        <f t="shared" si="2"/>
        <v>y</v>
      </c>
      <c r="K559" s="3" t="str">
        <f t="shared" si="3"/>
        <v>y</v>
      </c>
      <c r="L559" s="3" t="str">
        <f t="shared" si="4"/>
        <v/>
      </c>
      <c r="N559" s="3" t="str">
        <f t="shared" si="5"/>
        <v/>
      </c>
      <c r="O559" s="3" t="str">
        <f t="shared" si="6"/>
        <v/>
      </c>
      <c r="Q559" s="3" t="str">
        <f t="shared" si="7"/>
        <v/>
      </c>
      <c r="U559" s="3">
        <f t="shared" si="8"/>
        <v>1</v>
      </c>
      <c r="V559" s="3" t="str">
        <f t="shared" si="9"/>
        <v>Överlapp</v>
      </c>
      <c r="W559" s="3">
        <f t="shared" si="10"/>
        <v>1</v>
      </c>
      <c r="X559" s="3">
        <f t="shared" si="11"/>
        <v>1</v>
      </c>
    </row>
    <row r="560">
      <c r="A560" s="1" t="s">
        <v>564</v>
      </c>
      <c r="B560" s="3" t="str">
        <f>IFERROR(__xludf.DUMMYFUNCTION("SPLIT(A560, "","")"),"57-61")</f>
        <v>57-61</v>
      </c>
      <c r="C560" s="3" t="str">
        <f>IFERROR(__xludf.DUMMYFUNCTION("""COMPUTED_VALUE"""),"15-63")</f>
        <v>15-63</v>
      </c>
      <c r="D560" s="3">
        <f>IFERROR(__xludf.DUMMYFUNCTION("SPLIT(B560, ""-"")"),57.0)</f>
        <v>57</v>
      </c>
      <c r="E560" s="3">
        <f>IFERROR(__xludf.DUMMYFUNCTION("""COMPUTED_VALUE"""),61.0)</f>
        <v>61</v>
      </c>
      <c r="F560" s="3">
        <f>IFERROR(__xludf.DUMMYFUNCTION("SPLIT(C560, ""-"")"),15.0)</f>
        <v>15</v>
      </c>
      <c r="G560" s="3">
        <f>IFERROR(__xludf.DUMMYFUNCTION("""COMPUTED_VALUE"""),63.0)</f>
        <v>63</v>
      </c>
      <c r="I560" s="3" t="str">
        <f t="shared" si="1"/>
        <v/>
      </c>
      <c r="J560" s="3" t="str">
        <f t="shared" si="2"/>
        <v/>
      </c>
      <c r="K560" s="3" t="str">
        <f t="shared" si="3"/>
        <v>y</v>
      </c>
      <c r="L560" s="3" t="str">
        <f t="shared" si="4"/>
        <v>y</v>
      </c>
      <c r="N560" s="3" t="str">
        <f t="shared" si="5"/>
        <v/>
      </c>
      <c r="O560" s="3">
        <f t="shared" si="6"/>
        <v>1</v>
      </c>
      <c r="Q560" s="3">
        <f t="shared" si="7"/>
        <v>1</v>
      </c>
      <c r="U560" s="3">
        <f t="shared" si="8"/>
        <v>1</v>
      </c>
      <c r="V560" s="3" t="str">
        <f t="shared" si="9"/>
        <v>Överlapp</v>
      </c>
      <c r="W560" s="3" t="str">
        <f t="shared" si="10"/>
        <v>Överlapp</v>
      </c>
      <c r="X560" s="3" t="str">
        <f t="shared" si="11"/>
        <v/>
      </c>
    </row>
    <row r="561">
      <c r="A561" s="1" t="s">
        <v>565</v>
      </c>
      <c r="B561" s="3" t="str">
        <f>IFERROR(__xludf.DUMMYFUNCTION("SPLIT(A561, "","")"),"78-86")</f>
        <v>78-86</v>
      </c>
      <c r="C561" s="3" t="str">
        <f>IFERROR(__xludf.DUMMYFUNCTION("""COMPUTED_VALUE"""),"45-85")</f>
        <v>45-85</v>
      </c>
      <c r="D561" s="3">
        <f>IFERROR(__xludf.DUMMYFUNCTION("SPLIT(B561, ""-"")"),78.0)</f>
        <v>78</v>
      </c>
      <c r="E561" s="3">
        <f>IFERROR(__xludf.DUMMYFUNCTION("""COMPUTED_VALUE"""),86.0)</f>
        <v>86</v>
      </c>
      <c r="F561" s="3">
        <f>IFERROR(__xludf.DUMMYFUNCTION("SPLIT(C561, ""-"")"),45.0)</f>
        <v>45</v>
      </c>
      <c r="G561" s="3">
        <f>IFERROR(__xludf.DUMMYFUNCTION("""COMPUTED_VALUE"""),85.0)</f>
        <v>85</v>
      </c>
      <c r="I561" s="3" t="str">
        <f t="shared" si="1"/>
        <v/>
      </c>
      <c r="J561" s="3" t="str">
        <f t="shared" si="2"/>
        <v>y</v>
      </c>
      <c r="K561" s="3" t="str">
        <f t="shared" si="3"/>
        <v>y</v>
      </c>
      <c r="L561" s="3" t="str">
        <f t="shared" si="4"/>
        <v/>
      </c>
      <c r="N561" s="3" t="str">
        <f t="shared" si="5"/>
        <v/>
      </c>
      <c r="O561" s="3" t="str">
        <f t="shared" si="6"/>
        <v/>
      </c>
      <c r="Q561" s="3" t="str">
        <f t="shared" si="7"/>
        <v/>
      </c>
      <c r="U561" s="3">
        <f t="shared" si="8"/>
        <v>1</v>
      </c>
      <c r="V561" s="3" t="str">
        <f t="shared" si="9"/>
        <v>Överlapp</v>
      </c>
      <c r="W561" s="3" t="str">
        <f t="shared" si="10"/>
        <v>Överlapp</v>
      </c>
      <c r="X561" s="3" t="str">
        <f t="shared" si="11"/>
        <v/>
      </c>
    </row>
    <row r="562">
      <c r="A562" s="1" t="s">
        <v>566</v>
      </c>
      <c r="B562" s="3" t="str">
        <f>IFERROR(__xludf.DUMMYFUNCTION("SPLIT(A562, "","")"),"3-89")</f>
        <v>3-89</v>
      </c>
      <c r="C562" s="3" t="str">
        <f>IFERROR(__xludf.DUMMYFUNCTION("""COMPUTED_VALUE"""),"4-90")</f>
        <v>4-90</v>
      </c>
      <c r="D562" s="3">
        <f>IFERROR(__xludf.DUMMYFUNCTION("SPLIT(B562, ""-"")"),3.0)</f>
        <v>3</v>
      </c>
      <c r="E562" s="3">
        <f>IFERROR(__xludf.DUMMYFUNCTION("""COMPUTED_VALUE"""),89.0)</f>
        <v>89</v>
      </c>
      <c r="F562" s="3">
        <f>IFERROR(__xludf.DUMMYFUNCTION("SPLIT(C562, ""-"")"),4.0)</f>
        <v>4</v>
      </c>
      <c r="G562" s="3">
        <f>IFERROR(__xludf.DUMMYFUNCTION("""COMPUTED_VALUE"""),90.0)</f>
        <v>90</v>
      </c>
      <c r="I562" s="3" t="str">
        <f t="shared" si="1"/>
        <v>y</v>
      </c>
      <c r="J562" s="3" t="str">
        <f t="shared" si="2"/>
        <v/>
      </c>
      <c r="K562" s="3" t="str">
        <f t="shared" si="3"/>
        <v/>
      </c>
      <c r="L562" s="3" t="str">
        <f t="shared" si="4"/>
        <v>y</v>
      </c>
      <c r="N562" s="3" t="str">
        <f t="shared" si="5"/>
        <v/>
      </c>
      <c r="O562" s="3" t="str">
        <f t="shared" si="6"/>
        <v/>
      </c>
      <c r="Q562" s="3" t="str">
        <f t="shared" si="7"/>
        <v/>
      </c>
      <c r="U562" s="3">
        <f t="shared" si="8"/>
        <v>1</v>
      </c>
      <c r="V562" s="3" t="str">
        <f t="shared" si="9"/>
        <v>Överlapp</v>
      </c>
      <c r="W562" s="3" t="str">
        <f t="shared" si="10"/>
        <v>Överlapp</v>
      </c>
      <c r="X562" s="3" t="str">
        <f t="shared" si="11"/>
        <v/>
      </c>
    </row>
    <row r="563">
      <c r="A563" s="1" t="s">
        <v>567</v>
      </c>
      <c r="B563" s="3" t="str">
        <f>IFERROR(__xludf.DUMMYFUNCTION("SPLIT(A563, "","")"),"42-42")</f>
        <v>42-42</v>
      </c>
      <c r="C563" s="3" t="str">
        <f>IFERROR(__xludf.DUMMYFUNCTION("""COMPUTED_VALUE"""),"43-64")</f>
        <v>43-64</v>
      </c>
      <c r="D563" s="3">
        <f>IFERROR(__xludf.DUMMYFUNCTION("SPLIT(B563, ""-"")"),42.0)</f>
        <v>42</v>
      </c>
      <c r="E563" s="3">
        <f>IFERROR(__xludf.DUMMYFUNCTION("""COMPUTED_VALUE"""),42.0)</f>
        <v>42</v>
      </c>
      <c r="F563" s="3">
        <f>IFERROR(__xludf.DUMMYFUNCTION("SPLIT(C563, ""-"")"),43.0)</f>
        <v>43</v>
      </c>
      <c r="G563" s="3">
        <f>IFERROR(__xludf.DUMMYFUNCTION("""COMPUTED_VALUE"""),64.0)</f>
        <v>64</v>
      </c>
      <c r="I563" s="3" t="str">
        <f t="shared" si="1"/>
        <v>y</v>
      </c>
      <c r="J563" s="3" t="str">
        <f t="shared" si="2"/>
        <v/>
      </c>
      <c r="K563" s="3" t="str">
        <f t="shared" si="3"/>
        <v/>
      </c>
      <c r="L563" s="3" t="str">
        <f t="shared" si="4"/>
        <v>y</v>
      </c>
      <c r="N563" s="3" t="str">
        <f t="shared" si="5"/>
        <v/>
      </c>
      <c r="O563" s="3" t="str">
        <f t="shared" si="6"/>
        <v/>
      </c>
      <c r="Q563" s="3" t="str">
        <f t="shared" si="7"/>
        <v/>
      </c>
      <c r="U563" s="3">
        <f t="shared" si="8"/>
        <v>1</v>
      </c>
      <c r="V563" s="3">
        <f t="shared" si="9"/>
        <v>1</v>
      </c>
      <c r="W563" s="3" t="str">
        <f t="shared" si="10"/>
        <v>Överlapp</v>
      </c>
      <c r="X563" s="3">
        <f t="shared" si="11"/>
        <v>1</v>
      </c>
    </row>
    <row r="564">
      <c r="A564" s="1" t="s">
        <v>568</v>
      </c>
      <c r="B564" s="3" t="str">
        <f>IFERROR(__xludf.DUMMYFUNCTION("SPLIT(A564, "","")"),"3-97")</f>
        <v>3-97</v>
      </c>
      <c r="C564" s="3" t="str">
        <f>IFERROR(__xludf.DUMMYFUNCTION("""COMPUTED_VALUE"""),"3-94")</f>
        <v>3-94</v>
      </c>
      <c r="D564" s="3">
        <f>IFERROR(__xludf.DUMMYFUNCTION("SPLIT(B564, ""-"")"),3.0)</f>
        <v>3</v>
      </c>
      <c r="E564" s="3">
        <f>IFERROR(__xludf.DUMMYFUNCTION("""COMPUTED_VALUE"""),97.0)</f>
        <v>97</v>
      </c>
      <c r="F564" s="3">
        <f>IFERROR(__xludf.DUMMYFUNCTION("SPLIT(C564, ""-"")"),3.0)</f>
        <v>3</v>
      </c>
      <c r="G564" s="3">
        <f>IFERROR(__xludf.DUMMYFUNCTION("""COMPUTED_VALUE"""),94.0)</f>
        <v>94</v>
      </c>
      <c r="I564" s="3" t="str">
        <f t="shared" si="1"/>
        <v>y</v>
      </c>
      <c r="J564" s="3" t="str">
        <f t="shared" si="2"/>
        <v>y</v>
      </c>
      <c r="K564" s="3" t="str">
        <f t="shared" si="3"/>
        <v>y</v>
      </c>
      <c r="L564" s="3" t="str">
        <f t="shared" si="4"/>
        <v/>
      </c>
      <c r="N564" s="3">
        <f t="shared" si="5"/>
        <v>1</v>
      </c>
      <c r="O564" s="3" t="str">
        <f t="shared" si="6"/>
        <v/>
      </c>
      <c r="Q564" s="3">
        <f t="shared" si="7"/>
        <v>1</v>
      </c>
      <c r="U564" s="3" t="str">
        <f t="shared" si="8"/>
        <v>Överlapp</v>
      </c>
      <c r="V564" s="3" t="str">
        <f t="shared" si="9"/>
        <v>Överlapp</v>
      </c>
      <c r="W564" s="3" t="str">
        <f t="shared" si="10"/>
        <v>Överlapp</v>
      </c>
      <c r="X564" s="3" t="str">
        <f t="shared" si="11"/>
        <v/>
      </c>
    </row>
    <row r="565">
      <c r="A565" s="1" t="s">
        <v>569</v>
      </c>
      <c r="B565" s="3" t="str">
        <f>IFERROR(__xludf.DUMMYFUNCTION("SPLIT(A565, "","")"),"80-96")</f>
        <v>80-96</v>
      </c>
      <c r="C565" s="3" t="str">
        <f>IFERROR(__xludf.DUMMYFUNCTION("""COMPUTED_VALUE"""),"79-79")</f>
        <v>79-79</v>
      </c>
      <c r="D565" s="3">
        <f>IFERROR(__xludf.DUMMYFUNCTION("SPLIT(B565, ""-"")"),80.0)</f>
        <v>80</v>
      </c>
      <c r="E565" s="3">
        <f>IFERROR(__xludf.DUMMYFUNCTION("""COMPUTED_VALUE"""),96.0)</f>
        <v>96</v>
      </c>
      <c r="F565" s="3">
        <f>IFERROR(__xludf.DUMMYFUNCTION("SPLIT(C565, ""-"")"),79.0)</f>
        <v>79</v>
      </c>
      <c r="G565" s="3">
        <f>IFERROR(__xludf.DUMMYFUNCTION("""COMPUTED_VALUE"""),79.0)</f>
        <v>79</v>
      </c>
      <c r="I565" s="3" t="str">
        <f t="shared" si="1"/>
        <v/>
      </c>
      <c r="J565" s="3" t="str">
        <f t="shared" si="2"/>
        <v>y</v>
      </c>
      <c r="K565" s="3" t="str">
        <f t="shared" si="3"/>
        <v>y</v>
      </c>
      <c r="L565" s="3" t="str">
        <f t="shared" si="4"/>
        <v/>
      </c>
      <c r="N565" s="3" t="str">
        <f t="shared" si="5"/>
        <v/>
      </c>
      <c r="O565" s="3" t="str">
        <f t="shared" si="6"/>
        <v/>
      </c>
      <c r="Q565" s="3" t="str">
        <f t="shared" si="7"/>
        <v/>
      </c>
      <c r="U565" s="3">
        <f t="shared" si="8"/>
        <v>1</v>
      </c>
      <c r="V565" s="3" t="str">
        <f t="shared" si="9"/>
        <v>Överlapp</v>
      </c>
      <c r="W565" s="3">
        <f t="shared" si="10"/>
        <v>1</v>
      </c>
      <c r="X565" s="3">
        <f t="shared" si="11"/>
        <v>1</v>
      </c>
    </row>
    <row r="566">
      <c r="A566" s="1" t="s">
        <v>570</v>
      </c>
      <c r="B566" s="3" t="str">
        <f>IFERROR(__xludf.DUMMYFUNCTION("SPLIT(A566, "","")"),"20-84")</f>
        <v>20-84</v>
      </c>
      <c r="C566" s="3" t="str">
        <f>IFERROR(__xludf.DUMMYFUNCTION("""COMPUTED_VALUE"""),"20-20")</f>
        <v>20-20</v>
      </c>
      <c r="D566" s="3">
        <f>IFERROR(__xludf.DUMMYFUNCTION("SPLIT(B566, ""-"")"),20.0)</f>
        <v>20</v>
      </c>
      <c r="E566" s="3">
        <f>IFERROR(__xludf.DUMMYFUNCTION("""COMPUTED_VALUE"""),84.0)</f>
        <v>84</v>
      </c>
      <c r="F566" s="3">
        <f>IFERROR(__xludf.DUMMYFUNCTION("SPLIT(C566, ""-"")"),20.0)</f>
        <v>20</v>
      </c>
      <c r="G566" s="3">
        <f>IFERROR(__xludf.DUMMYFUNCTION("""COMPUTED_VALUE"""),20.0)</f>
        <v>20</v>
      </c>
      <c r="I566" s="3" t="str">
        <f t="shared" si="1"/>
        <v>y</v>
      </c>
      <c r="J566" s="3" t="str">
        <f t="shared" si="2"/>
        <v>y</v>
      </c>
      <c r="K566" s="3" t="str">
        <f t="shared" si="3"/>
        <v>y</v>
      </c>
      <c r="L566" s="3" t="str">
        <f t="shared" si="4"/>
        <v/>
      </c>
      <c r="N566" s="3">
        <f t="shared" si="5"/>
        <v>1</v>
      </c>
      <c r="O566" s="3" t="str">
        <f t="shared" si="6"/>
        <v/>
      </c>
      <c r="Q566" s="3">
        <f t="shared" si="7"/>
        <v>1</v>
      </c>
      <c r="U566" s="3" t="str">
        <f t="shared" si="8"/>
        <v>Överlapp</v>
      </c>
      <c r="V566" s="3" t="str">
        <f t="shared" si="9"/>
        <v>Överlapp</v>
      </c>
      <c r="W566" s="3" t="str">
        <f t="shared" si="10"/>
        <v>Överlapp</v>
      </c>
      <c r="X566" s="3" t="str">
        <f t="shared" si="11"/>
        <v/>
      </c>
    </row>
    <row r="567">
      <c r="A567" s="1" t="s">
        <v>571</v>
      </c>
      <c r="B567" s="3" t="str">
        <f>IFERROR(__xludf.DUMMYFUNCTION("SPLIT(A567, "","")"),"89-89")</f>
        <v>89-89</v>
      </c>
      <c r="C567" s="3" t="str">
        <f>IFERROR(__xludf.DUMMYFUNCTION("""COMPUTED_VALUE"""),"1-90")</f>
        <v>1-90</v>
      </c>
      <c r="D567" s="3">
        <f>IFERROR(__xludf.DUMMYFUNCTION("SPLIT(B567, ""-"")"),89.0)</f>
        <v>89</v>
      </c>
      <c r="E567" s="3">
        <f>IFERROR(__xludf.DUMMYFUNCTION("""COMPUTED_VALUE"""),89.0)</f>
        <v>89</v>
      </c>
      <c r="F567" s="3">
        <f>IFERROR(__xludf.DUMMYFUNCTION("SPLIT(C567, ""-"")"),1.0)</f>
        <v>1</v>
      </c>
      <c r="G567" s="3">
        <f>IFERROR(__xludf.DUMMYFUNCTION("""COMPUTED_VALUE"""),90.0)</f>
        <v>90</v>
      </c>
      <c r="I567" s="3" t="str">
        <f t="shared" si="1"/>
        <v/>
      </c>
      <c r="J567" s="3" t="str">
        <f t="shared" si="2"/>
        <v/>
      </c>
      <c r="K567" s="3" t="str">
        <f t="shared" si="3"/>
        <v>y</v>
      </c>
      <c r="L567" s="3" t="str">
        <f t="shared" si="4"/>
        <v>y</v>
      </c>
      <c r="N567" s="3" t="str">
        <f t="shared" si="5"/>
        <v/>
      </c>
      <c r="O567" s="3">
        <f t="shared" si="6"/>
        <v>1</v>
      </c>
      <c r="Q567" s="3">
        <f t="shared" si="7"/>
        <v>1</v>
      </c>
      <c r="U567" s="3">
        <f t="shared" si="8"/>
        <v>1</v>
      </c>
      <c r="V567" s="3" t="str">
        <f t="shared" si="9"/>
        <v>Överlapp</v>
      </c>
      <c r="W567" s="3" t="str">
        <f t="shared" si="10"/>
        <v>Överlapp</v>
      </c>
      <c r="X567" s="3" t="str">
        <f t="shared" si="11"/>
        <v/>
      </c>
    </row>
    <row r="568">
      <c r="A568" s="1" t="s">
        <v>572</v>
      </c>
      <c r="B568" s="3" t="str">
        <f>IFERROR(__xludf.DUMMYFUNCTION("SPLIT(A568, "","")"),"58-85")</f>
        <v>58-85</v>
      </c>
      <c r="C568" s="3" t="str">
        <f>IFERROR(__xludf.DUMMYFUNCTION("""COMPUTED_VALUE"""),"58-58")</f>
        <v>58-58</v>
      </c>
      <c r="D568" s="3">
        <f>IFERROR(__xludf.DUMMYFUNCTION("SPLIT(B568, ""-"")"),58.0)</f>
        <v>58</v>
      </c>
      <c r="E568" s="3">
        <f>IFERROR(__xludf.DUMMYFUNCTION("""COMPUTED_VALUE"""),85.0)</f>
        <v>85</v>
      </c>
      <c r="F568" s="3">
        <f>IFERROR(__xludf.DUMMYFUNCTION("SPLIT(C568, ""-"")"),58.0)</f>
        <v>58</v>
      </c>
      <c r="G568" s="3">
        <f>IFERROR(__xludf.DUMMYFUNCTION("""COMPUTED_VALUE"""),58.0)</f>
        <v>58</v>
      </c>
      <c r="I568" s="3" t="str">
        <f t="shared" si="1"/>
        <v>y</v>
      </c>
      <c r="J568" s="3" t="str">
        <f t="shared" si="2"/>
        <v>y</v>
      </c>
      <c r="K568" s="3" t="str">
        <f t="shared" si="3"/>
        <v>y</v>
      </c>
      <c r="L568" s="3" t="str">
        <f t="shared" si="4"/>
        <v/>
      </c>
      <c r="N568" s="3">
        <f t="shared" si="5"/>
        <v>1</v>
      </c>
      <c r="O568" s="3" t="str">
        <f t="shared" si="6"/>
        <v/>
      </c>
      <c r="Q568" s="3">
        <f t="shared" si="7"/>
        <v>1</v>
      </c>
      <c r="U568" s="3" t="str">
        <f t="shared" si="8"/>
        <v>Överlapp</v>
      </c>
      <c r="V568" s="3" t="str">
        <f t="shared" si="9"/>
        <v>Överlapp</v>
      </c>
      <c r="W568" s="3" t="str">
        <f t="shared" si="10"/>
        <v>Överlapp</v>
      </c>
      <c r="X568" s="3" t="str">
        <f t="shared" si="11"/>
        <v/>
      </c>
    </row>
    <row r="569">
      <c r="A569" s="1" t="s">
        <v>573</v>
      </c>
      <c r="B569" s="3" t="str">
        <f>IFERROR(__xludf.DUMMYFUNCTION("SPLIT(A569, "","")"),"17-54")</f>
        <v>17-54</v>
      </c>
      <c r="C569" s="3" t="str">
        <f>IFERROR(__xludf.DUMMYFUNCTION("""COMPUTED_VALUE"""),"17-54")</f>
        <v>17-54</v>
      </c>
      <c r="D569" s="3">
        <f>IFERROR(__xludf.DUMMYFUNCTION("SPLIT(B569, ""-"")"),17.0)</f>
        <v>17</v>
      </c>
      <c r="E569" s="3">
        <f>IFERROR(__xludf.DUMMYFUNCTION("""COMPUTED_VALUE"""),54.0)</f>
        <v>54</v>
      </c>
      <c r="F569" s="3">
        <f>IFERROR(__xludf.DUMMYFUNCTION("SPLIT(C569, ""-"")"),17.0)</f>
        <v>17</v>
      </c>
      <c r="G569" s="3">
        <f>IFERROR(__xludf.DUMMYFUNCTION("""COMPUTED_VALUE"""),54.0)</f>
        <v>54</v>
      </c>
      <c r="I569" s="3" t="str">
        <f t="shared" si="1"/>
        <v>y</v>
      </c>
      <c r="J569" s="3" t="str">
        <f t="shared" si="2"/>
        <v>y</v>
      </c>
      <c r="K569" s="3" t="str">
        <f t="shared" si="3"/>
        <v>y</v>
      </c>
      <c r="L569" s="3" t="str">
        <f t="shared" si="4"/>
        <v>y</v>
      </c>
      <c r="N569" s="3">
        <f t="shared" si="5"/>
        <v>1</v>
      </c>
      <c r="O569" s="3">
        <f t="shared" si="6"/>
        <v>1</v>
      </c>
      <c r="Q569" s="3">
        <f t="shared" si="7"/>
        <v>1</v>
      </c>
      <c r="U569" s="3" t="str">
        <f t="shared" si="8"/>
        <v>Överlapp</v>
      </c>
      <c r="V569" s="3" t="str">
        <f t="shared" si="9"/>
        <v>Överlapp</v>
      </c>
      <c r="W569" s="3" t="str">
        <f t="shared" si="10"/>
        <v>Överlapp</v>
      </c>
      <c r="X569" s="3" t="str">
        <f t="shared" si="11"/>
        <v/>
      </c>
    </row>
    <row r="570">
      <c r="A570" s="1" t="s">
        <v>574</v>
      </c>
      <c r="B570" s="3" t="str">
        <f>IFERROR(__xludf.DUMMYFUNCTION("SPLIT(A570, "","")"),"19-70")</f>
        <v>19-70</v>
      </c>
      <c r="C570" s="3" t="str">
        <f>IFERROR(__xludf.DUMMYFUNCTION("""COMPUTED_VALUE"""),"16-76")</f>
        <v>16-76</v>
      </c>
      <c r="D570" s="3">
        <f>IFERROR(__xludf.DUMMYFUNCTION("SPLIT(B570, ""-"")"),19.0)</f>
        <v>19</v>
      </c>
      <c r="E570" s="3">
        <f>IFERROR(__xludf.DUMMYFUNCTION("""COMPUTED_VALUE"""),70.0)</f>
        <v>70</v>
      </c>
      <c r="F570" s="3">
        <f>IFERROR(__xludf.DUMMYFUNCTION("SPLIT(C570, ""-"")"),16.0)</f>
        <v>16</v>
      </c>
      <c r="G570" s="3">
        <f>IFERROR(__xludf.DUMMYFUNCTION("""COMPUTED_VALUE"""),76.0)</f>
        <v>76</v>
      </c>
      <c r="I570" s="3" t="str">
        <f t="shared" si="1"/>
        <v/>
      </c>
      <c r="J570" s="3" t="str">
        <f t="shared" si="2"/>
        <v/>
      </c>
      <c r="K570" s="3" t="str">
        <f t="shared" si="3"/>
        <v>y</v>
      </c>
      <c r="L570" s="3" t="str">
        <f t="shared" si="4"/>
        <v>y</v>
      </c>
      <c r="N570" s="3" t="str">
        <f t="shared" si="5"/>
        <v/>
      </c>
      <c r="O570" s="3">
        <f t="shared" si="6"/>
        <v>1</v>
      </c>
      <c r="Q570" s="3">
        <f t="shared" si="7"/>
        <v>1</v>
      </c>
      <c r="U570" s="3">
        <f t="shared" si="8"/>
        <v>1</v>
      </c>
      <c r="V570" s="3" t="str">
        <f t="shared" si="9"/>
        <v>Överlapp</v>
      </c>
      <c r="W570" s="3" t="str">
        <f t="shared" si="10"/>
        <v>Överlapp</v>
      </c>
      <c r="X570" s="3" t="str">
        <f t="shared" si="11"/>
        <v/>
      </c>
    </row>
    <row r="571">
      <c r="A571" s="1" t="s">
        <v>575</v>
      </c>
      <c r="B571" s="4">
        <f>IFERROR(__xludf.DUMMYFUNCTION("SPLIT(A571, "","")"),44778.0)</f>
        <v>44778</v>
      </c>
      <c r="C571" s="3" t="str">
        <f>IFERROR(__xludf.DUMMYFUNCTION("""COMPUTED_VALUE"""),"5-82")</f>
        <v>5-82</v>
      </c>
      <c r="D571" s="3">
        <f>IFERROR(__xludf.DUMMYFUNCTION("SPLIT(B571, ""-"")"),5.0)</f>
        <v>5</v>
      </c>
      <c r="E571" s="3">
        <f>IFERROR(__xludf.DUMMYFUNCTION("""COMPUTED_VALUE"""),8.0)</f>
        <v>8</v>
      </c>
      <c r="F571" s="3">
        <f>IFERROR(__xludf.DUMMYFUNCTION("SPLIT(C571, ""-"")"),5.0)</f>
        <v>5</v>
      </c>
      <c r="G571" s="3">
        <f>IFERROR(__xludf.DUMMYFUNCTION("""COMPUTED_VALUE"""),82.0)</f>
        <v>82</v>
      </c>
      <c r="I571" s="3" t="str">
        <f t="shared" si="1"/>
        <v>y</v>
      </c>
      <c r="J571" s="3" t="str">
        <f t="shared" si="2"/>
        <v/>
      </c>
      <c r="K571" s="3" t="str">
        <f t="shared" si="3"/>
        <v>y</v>
      </c>
      <c r="L571" s="3" t="str">
        <f t="shared" si="4"/>
        <v>y</v>
      </c>
      <c r="N571" s="3" t="str">
        <f t="shared" si="5"/>
        <v/>
      </c>
      <c r="O571" s="3">
        <f t="shared" si="6"/>
        <v>1</v>
      </c>
      <c r="Q571" s="3">
        <f t="shared" si="7"/>
        <v>1</v>
      </c>
      <c r="U571" s="3" t="str">
        <f t="shared" si="8"/>
        <v>Överlapp</v>
      </c>
      <c r="V571" s="3" t="str">
        <f t="shared" si="9"/>
        <v>Överlapp</v>
      </c>
      <c r="W571" s="3" t="str">
        <f t="shared" si="10"/>
        <v>Överlapp</v>
      </c>
      <c r="X571" s="3" t="str">
        <f t="shared" si="11"/>
        <v/>
      </c>
    </row>
    <row r="572">
      <c r="A572" s="1" t="s">
        <v>576</v>
      </c>
      <c r="B572" s="3" t="str">
        <f>IFERROR(__xludf.DUMMYFUNCTION("SPLIT(A572, "","")"),"25-99")</f>
        <v>25-99</v>
      </c>
      <c r="C572" s="3" t="str">
        <f>IFERROR(__xludf.DUMMYFUNCTION("""COMPUTED_VALUE"""),"52-85")</f>
        <v>52-85</v>
      </c>
      <c r="D572" s="3">
        <f>IFERROR(__xludf.DUMMYFUNCTION("SPLIT(B572, ""-"")"),25.0)</f>
        <v>25</v>
      </c>
      <c r="E572" s="3">
        <f>IFERROR(__xludf.DUMMYFUNCTION("""COMPUTED_VALUE"""),99.0)</f>
        <v>99</v>
      </c>
      <c r="F572" s="3">
        <f>IFERROR(__xludf.DUMMYFUNCTION("SPLIT(C572, ""-"")"),52.0)</f>
        <v>52</v>
      </c>
      <c r="G572" s="3">
        <f>IFERROR(__xludf.DUMMYFUNCTION("""COMPUTED_VALUE"""),85.0)</f>
        <v>85</v>
      </c>
      <c r="I572" s="3" t="str">
        <f t="shared" si="1"/>
        <v>y</v>
      </c>
      <c r="J572" s="3" t="str">
        <f t="shared" si="2"/>
        <v>y</v>
      </c>
      <c r="K572" s="3" t="str">
        <f t="shared" si="3"/>
        <v/>
      </c>
      <c r="L572" s="3" t="str">
        <f t="shared" si="4"/>
        <v/>
      </c>
      <c r="N572" s="3">
        <f t="shared" si="5"/>
        <v>1</v>
      </c>
      <c r="O572" s="3" t="str">
        <f t="shared" si="6"/>
        <v/>
      </c>
      <c r="Q572" s="3">
        <f t="shared" si="7"/>
        <v>1</v>
      </c>
      <c r="U572" s="3">
        <f t="shared" si="8"/>
        <v>1</v>
      </c>
      <c r="V572" s="3" t="str">
        <f t="shared" si="9"/>
        <v>Överlapp</v>
      </c>
      <c r="W572" s="3" t="str">
        <f t="shared" si="10"/>
        <v>Överlapp</v>
      </c>
      <c r="X572" s="3" t="str">
        <f t="shared" si="11"/>
        <v/>
      </c>
    </row>
    <row r="573">
      <c r="A573" s="1" t="s">
        <v>577</v>
      </c>
      <c r="B573" s="3" t="str">
        <f>IFERROR(__xludf.DUMMYFUNCTION("SPLIT(A573, "","")"),"3-95")</f>
        <v>3-95</v>
      </c>
      <c r="C573" s="3" t="str">
        <f>IFERROR(__xludf.DUMMYFUNCTION("""COMPUTED_VALUE"""),"11-96")</f>
        <v>11-96</v>
      </c>
      <c r="D573" s="3">
        <f>IFERROR(__xludf.DUMMYFUNCTION("SPLIT(B573, ""-"")"),3.0)</f>
        <v>3</v>
      </c>
      <c r="E573" s="3">
        <f>IFERROR(__xludf.DUMMYFUNCTION("""COMPUTED_VALUE"""),95.0)</f>
        <v>95</v>
      </c>
      <c r="F573" s="3">
        <f>IFERROR(__xludf.DUMMYFUNCTION("SPLIT(C573, ""-"")"),11.0)</f>
        <v>11</v>
      </c>
      <c r="G573" s="3">
        <f>IFERROR(__xludf.DUMMYFUNCTION("""COMPUTED_VALUE"""),96.0)</f>
        <v>96</v>
      </c>
      <c r="I573" s="3" t="str">
        <f t="shared" si="1"/>
        <v>y</v>
      </c>
      <c r="J573" s="3" t="str">
        <f t="shared" si="2"/>
        <v/>
      </c>
      <c r="K573" s="3" t="str">
        <f t="shared" si="3"/>
        <v/>
      </c>
      <c r="L573" s="3" t="str">
        <f t="shared" si="4"/>
        <v>y</v>
      </c>
      <c r="N573" s="3" t="str">
        <f t="shared" si="5"/>
        <v/>
      </c>
      <c r="O573" s="3" t="str">
        <f t="shared" si="6"/>
        <v/>
      </c>
      <c r="Q573" s="3" t="str">
        <f t="shared" si="7"/>
        <v/>
      </c>
      <c r="U573" s="3">
        <f t="shared" si="8"/>
        <v>1</v>
      </c>
      <c r="V573" s="3" t="str">
        <f t="shared" si="9"/>
        <v>Överlapp</v>
      </c>
      <c r="W573" s="3" t="str">
        <f t="shared" si="10"/>
        <v>Överlapp</v>
      </c>
      <c r="X573" s="3" t="str">
        <f t="shared" si="11"/>
        <v/>
      </c>
    </row>
    <row r="574">
      <c r="A574" s="1" t="s">
        <v>578</v>
      </c>
      <c r="B574" s="3" t="str">
        <f>IFERROR(__xludf.DUMMYFUNCTION("SPLIT(A574, "","")"),"14-86")</f>
        <v>14-86</v>
      </c>
      <c r="C574" s="3" t="str">
        <f>IFERROR(__xludf.DUMMYFUNCTION("""COMPUTED_VALUE"""),"1-15")</f>
        <v>1-15</v>
      </c>
      <c r="D574" s="3">
        <f>IFERROR(__xludf.DUMMYFUNCTION("SPLIT(B574, ""-"")"),14.0)</f>
        <v>14</v>
      </c>
      <c r="E574" s="3">
        <f>IFERROR(__xludf.DUMMYFUNCTION("""COMPUTED_VALUE"""),86.0)</f>
        <v>86</v>
      </c>
      <c r="F574" s="3">
        <f>IFERROR(__xludf.DUMMYFUNCTION("SPLIT(C574, ""-"")"),1.0)</f>
        <v>1</v>
      </c>
      <c r="G574" s="3">
        <f>IFERROR(__xludf.DUMMYFUNCTION("""COMPUTED_VALUE"""),15.0)</f>
        <v>15</v>
      </c>
      <c r="I574" s="3" t="str">
        <f t="shared" si="1"/>
        <v/>
      </c>
      <c r="J574" s="3" t="str">
        <f t="shared" si="2"/>
        <v>y</v>
      </c>
      <c r="K574" s="3" t="str">
        <f t="shared" si="3"/>
        <v>y</v>
      </c>
      <c r="L574" s="3" t="str">
        <f t="shared" si="4"/>
        <v/>
      </c>
      <c r="N574" s="3" t="str">
        <f t="shared" si="5"/>
        <v/>
      </c>
      <c r="O574" s="3" t="str">
        <f t="shared" si="6"/>
        <v/>
      </c>
      <c r="Q574" s="3" t="str">
        <f t="shared" si="7"/>
        <v/>
      </c>
      <c r="U574" s="3">
        <f t="shared" si="8"/>
        <v>1</v>
      </c>
      <c r="V574" s="3" t="str">
        <f t="shared" si="9"/>
        <v>Överlapp</v>
      </c>
      <c r="W574" s="3" t="str">
        <f t="shared" si="10"/>
        <v>Överlapp</v>
      </c>
      <c r="X574" s="3" t="str">
        <f t="shared" si="11"/>
        <v/>
      </c>
    </row>
    <row r="575">
      <c r="A575" s="1" t="s">
        <v>579</v>
      </c>
      <c r="B575" s="3" t="str">
        <f>IFERROR(__xludf.DUMMYFUNCTION("SPLIT(A575, "","")"),"52-69")</f>
        <v>52-69</v>
      </c>
      <c r="C575" s="3" t="str">
        <f>IFERROR(__xludf.DUMMYFUNCTION("""COMPUTED_VALUE"""),"26-99")</f>
        <v>26-99</v>
      </c>
      <c r="D575" s="3">
        <f>IFERROR(__xludf.DUMMYFUNCTION("SPLIT(B575, ""-"")"),52.0)</f>
        <v>52</v>
      </c>
      <c r="E575" s="3">
        <f>IFERROR(__xludf.DUMMYFUNCTION("""COMPUTED_VALUE"""),69.0)</f>
        <v>69</v>
      </c>
      <c r="F575" s="3">
        <f>IFERROR(__xludf.DUMMYFUNCTION("SPLIT(C575, ""-"")"),26.0)</f>
        <v>26</v>
      </c>
      <c r="G575" s="3">
        <f>IFERROR(__xludf.DUMMYFUNCTION("""COMPUTED_VALUE"""),99.0)</f>
        <v>99</v>
      </c>
      <c r="I575" s="3" t="str">
        <f t="shared" si="1"/>
        <v/>
      </c>
      <c r="J575" s="3" t="str">
        <f t="shared" si="2"/>
        <v/>
      </c>
      <c r="K575" s="3" t="str">
        <f t="shared" si="3"/>
        <v>y</v>
      </c>
      <c r="L575" s="3" t="str">
        <f t="shared" si="4"/>
        <v>y</v>
      </c>
      <c r="N575" s="3" t="str">
        <f t="shared" si="5"/>
        <v/>
      </c>
      <c r="O575" s="3">
        <f t="shared" si="6"/>
        <v>1</v>
      </c>
      <c r="Q575" s="3">
        <f t="shared" si="7"/>
        <v>1</v>
      </c>
      <c r="U575" s="3">
        <f t="shared" si="8"/>
        <v>1</v>
      </c>
      <c r="V575" s="3" t="str">
        <f t="shared" si="9"/>
        <v>Överlapp</v>
      </c>
      <c r="W575" s="3" t="str">
        <f t="shared" si="10"/>
        <v>Överlapp</v>
      </c>
      <c r="X575" s="3" t="str">
        <f t="shared" si="11"/>
        <v/>
      </c>
    </row>
    <row r="576">
      <c r="A576" s="1" t="s">
        <v>580</v>
      </c>
      <c r="B576" s="3" t="str">
        <f>IFERROR(__xludf.DUMMYFUNCTION("SPLIT(A576, "","")"),"4-18")</f>
        <v>4-18</v>
      </c>
      <c r="C576" s="3" t="str">
        <f>IFERROR(__xludf.DUMMYFUNCTION("""COMPUTED_VALUE"""),"16-31")</f>
        <v>16-31</v>
      </c>
      <c r="D576" s="3">
        <f>IFERROR(__xludf.DUMMYFUNCTION("SPLIT(B576, ""-"")"),4.0)</f>
        <v>4</v>
      </c>
      <c r="E576" s="3">
        <f>IFERROR(__xludf.DUMMYFUNCTION("""COMPUTED_VALUE"""),18.0)</f>
        <v>18</v>
      </c>
      <c r="F576" s="3">
        <f>IFERROR(__xludf.DUMMYFUNCTION("SPLIT(C576, ""-"")"),16.0)</f>
        <v>16</v>
      </c>
      <c r="G576" s="3">
        <f>IFERROR(__xludf.DUMMYFUNCTION("""COMPUTED_VALUE"""),31.0)</f>
        <v>31</v>
      </c>
      <c r="I576" s="3" t="str">
        <f t="shared" si="1"/>
        <v>y</v>
      </c>
      <c r="J576" s="3" t="str">
        <f t="shared" si="2"/>
        <v/>
      </c>
      <c r="K576" s="3" t="str">
        <f t="shared" si="3"/>
        <v/>
      </c>
      <c r="L576" s="3" t="str">
        <f t="shared" si="4"/>
        <v>y</v>
      </c>
      <c r="N576" s="3" t="str">
        <f t="shared" si="5"/>
        <v/>
      </c>
      <c r="O576" s="3" t="str">
        <f t="shared" si="6"/>
        <v/>
      </c>
      <c r="Q576" s="3" t="str">
        <f t="shared" si="7"/>
        <v/>
      </c>
      <c r="U576" s="3">
        <f t="shared" si="8"/>
        <v>1</v>
      </c>
      <c r="V576" s="3" t="str">
        <f t="shared" si="9"/>
        <v>Överlapp</v>
      </c>
      <c r="W576" s="3" t="str">
        <f t="shared" si="10"/>
        <v>Överlapp</v>
      </c>
      <c r="X576" s="3" t="str">
        <f t="shared" si="11"/>
        <v/>
      </c>
    </row>
    <row r="577">
      <c r="A577" s="1" t="s">
        <v>581</v>
      </c>
      <c r="B577" s="3" t="str">
        <f>IFERROR(__xludf.DUMMYFUNCTION("SPLIT(A577, "","")"),"23-73")</f>
        <v>23-73</v>
      </c>
      <c r="C577" s="3" t="str">
        <f>IFERROR(__xludf.DUMMYFUNCTION("""COMPUTED_VALUE"""),"1-74")</f>
        <v>1-74</v>
      </c>
      <c r="D577" s="3">
        <f>IFERROR(__xludf.DUMMYFUNCTION("SPLIT(B577, ""-"")"),23.0)</f>
        <v>23</v>
      </c>
      <c r="E577" s="3">
        <f>IFERROR(__xludf.DUMMYFUNCTION("""COMPUTED_VALUE"""),73.0)</f>
        <v>73</v>
      </c>
      <c r="F577" s="3">
        <f>IFERROR(__xludf.DUMMYFUNCTION("SPLIT(C577, ""-"")"),1.0)</f>
        <v>1</v>
      </c>
      <c r="G577" s="3">
        <f>IFERROR(__xludf.DUMMYFUNCTION("""COMPUTED_VALUE"""),74.0)</f>
        <v>74</v>
      </c>
      <c r="I577" s="3" t="str">
        <f t="shared" si="1"/>
        <v/>
      </c>
      <c r="J577" s="3" t="str">
        <f t="shared" si="2"/>
        <v/>
      </c>
      <c r="K577" s="3" t="str">
        <f t="shared" si="3"/>
        <v>y</v>
      </c>
      <c r="L577" s="3" t="str">
        <f t="shared" si="4"/>
        <v>y</v>
      </c>
      <c r="N577" s="3" t="str">
        <f t="shared" si="5"/>
        <v/>
      </c>
      <c r="O577" s="3">
        <f t="shared" si="6"/>
        <v>1</v>
      </c>
      <c r="Q577" s="3">
        <f t="shared" si="7"/>
        <v>1</v>
      </c>
      <c r="U577" s="3">
        <f t="shared" si="8"/>
        <v>1</v>
      </c>
      <c r="V577" s="3" t="str">
        <f t="shared" si="9"/>
        <v>Överlapp</v>
      </c>
      <c r="W577" s="3" t="str">
        <f t="shared" si="10"/>
        <v>Överlapp</v>
      </c>
      <c r="X577" s="3" t="str">
        <f t="shared" si="11"/>
        <v/>
      </c>
    </row>
    <row r="578">
      <c r="A578" s="1" t="s">
        <v>582</v>
      </c>
      <c r="B578" s="3" t="str">
        <f>IFERROR(__xludf.DUMMYFUNCTION("SPLIT(A578, "","")"),"53-53")</f>
        <v>53-53</v>
      </c>
      <c r="C578" s="3" t="str">
        <f>IFERROR(__xludf.DUMMYFUNCTION("""COMPUTED_VALUE"""),"53-74")</f>
        <v>53-74</v>
      </c>
      <c r="D578" s="3">
        <f>IFERROR(__xludf.DUMMYFUNCTION("SPLIT(B578, ""-"")"),53.0)</f>
        <v>53</v>
      </c>
      <c r="E578" s="3">
        <f>IFERROR(__xludf.DUMMYFUNCTION("""COMPUTED_VALUE"""),53.0)</f>
        <v>53</v>
      </c>
      <c r="F578" s="3">
        <f>IFERROR(__xludf.DUMMYFUNCTION("SPLIT(C578, ""-"")"),53.0)</f>
        <v>53</v>
      </c>
      <c r="G578" s="3">
        <f>IFERROR(__xludf.DUMMYFUNCTION("""COMPUTED_VALUE"""),74.0)</f>
        <v>74</v>
      </c>
      <c r="I578" s="3" t="str">
        <f t="shared" si="1"/>
        <v>y</v>
      </c>
      <c r="J578" s="3" t="str">
        <f t="shared" si="2"/>
        <v/>
      </c>
      <c r="K578" s="3" t="str">
        <f t="shared" si="3"/>
        <v>y</v>
      </c>
      <c r="L578" s="3" t="str">
        <f t="shared" si="4"/>
        <v>y</v>
      </c>
      <c r="N578" s="3" t="str">
        <f t="shared" si="5"/>
        <v/>
      </c>
      <c r="O578" s="3">
        <f t="shared" si="6"/>
        <v>1</v>
      </c>
      <c r="Q578" s="3">
        <f t="shared" si="7"/>
        <v>1</v>
      </c>
      <c r="U578" s="3" t="str">
        <f t="shared" si="8"/>
        <v>Överlapp</v>
      </c>
      <c r="V578" s="3" t="str">
        <f t="shared" si="9"/>
        <v>Överlapp</v>
      </c>
      <c r="W578" s="3" t="str">
        <f t="shared" si="10"/>
        <v>Överlapp</v>
      </c>
      <c r="X578" s="3" t="str">
        <f t="shared" si="11"/>
        <v/>
      </c>
    </row>
    <row r="579">
      <c r="A579" s="1" t="s">
        <v>583</v>
      </c>
      <c r="B579" s="3" t="str">
        <f>IFERROR(__xludf.DUMMYFUNCTION("SPLIT(A579, "","")"),"22-55")</f>
        <v>22-55</v>
      </c>
      <c r="C579" s="3" t="str">
        <f>IFERROR(__xludf.DUMMYFUNCTION("""COMPUTED_VALUE"""),"22-56")</f>
        <v>22-56</v>
      </c>
      <c r="D579" s="3">
        <f>IFERROR(__xludf.DUMMYFUNCTION("SPLIT(B579, ""-"")"),22.0)</f>
        <v>22</v>
      </c>
      <c r="E579" s="3">
        <f>IFERROR(__xludf.DUMMYFUNCTION("""COMPUTED_VALUE"""),55.0)</f>
        <v>55</v>
      </c>
      <c r="F579" s="3">
        <f>IFERROR(__xludf.DUMMYFUNCTION("SPLIT(C579, ""-"")"),22.0)</f>
        <v>22</v>
      </c>
      <c r="G579" s="3">
        <f>IFERROR(__xludf.DUMMYFUNCTION("""COMPUTED_VALUE"""),56.0)</f>
        <v>56</v>
      </c>
      <c r="I579" s="3" t="str">
        <f t="shared" si="1"/>
        <v>y</v>
      </c>
      <c r="J579" s="3" t="str">
        <f t="shared" si="2"/>
        <v/>
      </c>
      <c r="K579" s="3" t="str">
        <f t="shared" si="3"/>
        <v>y</v>
      </c>
      <c r="L579" s="3" t="str">
        <f t="shared" si="4"/>
        <v>y</v>
      </c>
      <c r="N579" s="3" t="str">
        <f t="shared" si="5"/>
        <v/>
      </c>
      <c r="O579" s="3">
        <f t="shared" si="6"/>
        <v>1</v>
      </c>
      <c r="Q579" s="3">
        <f t="shared" si="7"/>
        <v>1</v>
      </c>
      <c r="U579" s="3" t="str">
        <f t="shared" si="8"/>
        <v>Överlapp</v>
      </c>
      <c r="V579" s="3" t="str">
        <f t="shared" si="9"/>
        <v>Överlapp</v>
      </c>
      <c r="W579" s="3" t="str">
        <f t="shared" si="10"/>
        <v>Överlapp</v>
      </c>
      <c r="X579" s="3" t="str">
        <f t="shared" si="11"/>
        <v/>
      </c>
    </row>
    <row r="580">
      <c r="A580" s="1" t="s">
        <v>584</v>
      </c>
      <c r="B580" s="3" t="str">
        <f>IFERROR(__xludf.DUMMYFUNCTION("SPLIT(A580, "","")"),"13-58")</f>
        <v>13-58</v>
      </c>
      <c r="C580" s="3" t="str">
        <f>IFERROR(__xludf.DUMMYFUNCTION("""COMPUTED_VALUE"""),"1-13")</f>
        <v>1-13</v>
      </c>
      <c r="D580" s="3">
        <f>IFERROR(__xludf.DUMMYFUNCTION("SPLIT(B580, ""-"")"),13.0)</f>
        <v>13</v>
      </c>
      <c r="E580" s="3">
        <f>IFERROR(__xludf.DUMMYFUNCTION("""COMPUTED_VALUE"""),58.0)</f>
        <v>58</v>
      </c>
      <c r="F580" s="3">
        <f>IFERROR(__xludf.DUMMYFUNCTION("SPLIT(C580, ""-"")"),1.0)</f>
        <v>1</v>
      </c>
      <c r="G580" s="3">
        <f>IFERROR(__xludf.DUMMYFUNCTION("""COMPUTED_VALUE"""),13.0)</f>
        <v>13</v>
      </c>
      <c r="I580" s="3" t="str">
        <f t="shared" si="1"/>
        <v/>
      </c>
      <c r="J580" s="3" t="str">
        <f t="shared" si="2"/>
        <v>y</v>
      </c>
      <c r="K580" s="3" t="str">
        <f t="shared" si="3"/>
        <v>y</v>
      </c>
      <c r="L580" s="3" t="str">
        <f t="shared" si="4"/>
        <v/>
      </c>
      <c r="N580" s="3" t="str">
        <f t="shared" si="5"/>
        <v/>
      </c>
      <c r="O580" s="3" t="str">
        <f t="shared" si="6"/>
        <v/>
      </c>
      <c r="Q580" s="3" t="str">
        <f t="shared" si="7"/>
        <v/>
      </c>
      <c r="U580" s="3" t="str">
        <f t="shared" si="8"/>
        <v>Överlapp</v>
      </c>
      <c r="V580" s="3" t="str">
        <f t="shared" si="9"/>
        <v>Överlapp</v>
      </c>
      <c r="W580" s="3" t="str">
        <f t="shared" si="10"/>
        <v>Överlapp</v>
      </c>
      <c r="X580" s="3" t="str">
        <f t="shared" si="11"/>
        <v/>
      </c>
    </row>
    <row r="581">
      <c r="A581" s="1" t="s">
        <v>585</v>
      </c>
      <c r="B581" s="3" t="str">
        <f>IFERROR(__xludf.DUMMYFUNCTION("SPLIT(A581, "","")"),"4-55")</f>
        <v>4-55</v>
      </c>
      <c r="C581" s="3" t="str">
        <f>IFERROR(__xludf.DUMMYFUNCTION("""COMPUTED_VALUE"""),"51-68")</f>
        <v>51-68</v>
      </c>
      <c r="D581" s="3">
        <f>IFERROR(__xludf.DUMMYFUNCTION("SPLIT(B581, ""-"")"),4.0)</f>
        <v>4</v>
      </c>
      <c r="E581" s="3">
        <f>IFERROR(__xludf.DUMMYFUNCTION("""COMPUTED_VALUE"""),55.0)</f>
        <v>55</v>
      </c>
      <c r="F581" s="3">
        <f>IFERROR(__xludf.DUMMYFUNCTION("SPLIT(C581, ""-"")"),51.0)</f>
        <v>51</v>
      </c>
      <c r="G581" s="3">
        <f>IFERROR(__xludf.DUMMYFUNCTION("""COMPUTED_VALUE"""),68.0)</f>
        <v>68</v>
      </c>
      <c r="I581" s="3" t="str">
        <f t="shared" si="1"/>
        <v>y</v>
      </c>
      <c r="J581" s="3" t="str">
        <f t="shared" si="2"/>
        <v/>
      </c>
      <c r="K581" s="3" t="str">
        <f t="shared" si="3"/>
        <v/>
      </c>
      <c r="L581" s="3" t="str">
        <f t="shared" si="4"/>
        <v>y</v>
      </c>
      <c r="N581" s="3" t="str">
        <f t="shared" si="5"/>
        <v/>
      </c>
      <c r="O581" s="3" t="str">
        <f t="shared" si="6"/>
        <v/>
      </c>
      <c r="Q581" s="3" t="str">
        <f t="shared" si="7"/>
        <v/>
      </c>
      <c r="U581" s="3">
        <f t="shared" si="8"/>
        <v>1</v>
      </c>
      <c r="V581" s="3" t="str">
        <f t="shared" si="9"/>
        <v>Överlapp</v>
      </c>
      <c r="W581" s="3" t="str">
        <f t="shared" si="10"/>
        <v>Överlapp</v>
      </c>
      <c r="X581" s="3" t="str">
        <f t="shared" si="11"/>
        <v/>
      </c>
    </row>
    <row r="582">
      <c r="A582" s="1" t="s">
        <v>586</v>
      </c>
      <c r="B582" s="3" t="str">
        <f>IFERROR(__xludf.DUMMYFUNCTION("SPLIT(A582, "","")"),"27-99")</f>
        <v>27-99</v>
      </c>
      <c r="C582" s="3" t="str">
        <f>IFERROR(__xludf.DUMMYFUNCTION("""COMPUTED_VALUE"""),"28-28")</f>
        <v>28-28</v>
      </c>
      <c r="D582" s="3">
        <f>IFERROR(__xludf.DUMMYFUNCTION("SPLIT(B582, ""-"")"),27.0)</f>
        <v>27</v>
      </c>
      <c r="E582" s="3">
        <f>IFERROR(__xludf.DUMMYFUNCTION("""COMPUTED_VALUE"""),99.0)</f>
        <v>99</v>
      </c>
      <c r="F582" s="3">
        <f>IFERROR(__xludf.DUMMYFUNCTION("SPLIT(C582, ""-"")"),28.0)</f>
        <v>28</v>
      </c>
      <c r="G582" s="3">
        <f>IFERROR(__xludf.DUMMYFUNCTION("""COMPUTED_VALUE"""),28.0)</f>
        <v>28</v>
      </c>
      <c r="I582" s="3" t="str">
        <f t="shared" si="1"/>
        <v>y</v>
      </c>
      <c r="J582" s="3" t="str">
        <f t="shared" si="2"/>
        <v>y</v>
      </c>
      <c r="K582" s="3" t="str">
        <f t="shared" si="3"/>
        <v/>
      </c>
      <c r="L582" s="3" t="str">
        <f t="shared" si="4"/>
        <v/>
      </c>
      <c r="N582" s="3">
        <f t="shared" si="5"/>
        <v>1</v>
      </c>
      <c r="O582" s="3" t="str">
        <f t="shared" si="6"/>
        <v/>
      </c>
      <c r="Q582" s="3">
        <f t="shared" si="7"/>
        <v>1</v>
      </c>
      <c r="U582" s="3">
        <f t="shared" si="8"/>
        <v>1</v>
      </c>
      <c r="V582" s="3" t="str">
        <f t="shared" si="9"/>
        <v>Överlapp</v>
      </c>
      <c r="W582" s="3" t="str">
        <f t="shared" si="10"/>
        <v>Överlapp</v>
      </c>
      <c r="X582" s="3" t="str">
        <f t="shared" si="11"/>
        <v/>
      </c>
    </row>
    <row r="583">
      <c r="A583" s="1" t="s">
        <v>587</v>
      </c>
      <c r="B583" s="3" t="str">
        <f>IFERROR(__xludf.DUMMYFUNCTION("SPLIT(A583, "","")"),"10-58")</f>
        <v>10-58</v>
      </c>
      <c r="C583" s="3" t="str">
        <f>IFERROR(__xludf.DUMMYFUNCTION("""COMPUTED_VALUE"""),"10-58")</f>
        <v>10-58</v>
      </c>
      <c r="D583" s="3">
        <f>IFERROR(__xludf.DUMMYFUNCTION("SPLIT(B583, ""-"")"),10.0)</f>
        <v>10</v>
      </c>
      <c r="E583" s="3">
        <f>IFERROR(__xludf.DUMMYFUNCTION("""COMPUTED_VALUE"""),58.0)</f>
        <v>58</v>
      </c>
      <c r="F583" s="3">
        <f>IFERROR(__xludf.DUMMYFUNCTION("SPLIT(C583, ""-"")"),10.0)</f>
        <v>10</v>
      </c>
      <c r="G583" s="3">
        <f>IFERROR(__xludf.DUMMYFUNCTION("""COMPUTED_VALUE"""),58.0)</f>
        <v>58</v>
      </c>
      <c r="I583" s="3" t="str">
        <f t="shared" si="1"/>
        <v>y</v>
      </c>
      <c r="J583" s="3" t="str">
        <f t="shared" si="2"/>
        <v>y</v>
      </c>
      <c r="K583" s="3" t="str">
        <f t="shared" si="3"/>
        <v>y</v>
      </c>
      <c r="L583" s="3" t="str">
        <f t="shared" si="4"/>
        <v>y</v>
      </c>
      <c r="N583" s="3">
        <f t="shared" si="5"/>
        <v>1</v>
      </c>
      <c r="O583" s="3">
        <f t="shared" si="6"/>
        <v>1</v>
      </c>
      <c r="Q583" s="3">
        <f t="shared" si="7"/>
        <v>1</v>
      </c>
      <c r="U583" s="3" t="str">
        <f t="shared" si="8"/>
        <v>Överlapp</v>
      </c>
      <c r="V583" s="3" t="str">
        <f t="shared" si="9"/>
        <v>Överlapp</v>
      </c>
      <c r="W583" s="3" t="str">
        <f t="shared" si="10"/>
        <v>Överlapp</v>
      </c>
      <c r="X583" s="3" t="str">
        <f t="shared" si="11"/>
        <v/>
      </c>
    </row>
    <row r="584">
      <c r="A584" s="1" t="s">
        <v>588</v>
      </c>
      <c r="B584" s="3" t="str">
        <f>IFERROR(__xludf.DUMMYFUNCTION("SPLIT(A584, "","")"),"40-84")</f>
        <v>40-84</v>
      </c>
      <c r="C584" s="3" t="str">
        <f>IFERROR(__xludf.DUMMYFUNCTION("""COMPUTED_VALUE"""),"47-75")</f>
        <v>47-75</v>
      </c>
      <c r="D584" s="3">
        <f>IFERROR(__xludf.DUMMYFUNCTION("SPLIT(B584, ""-"")"),40.0)</f>
        <v>40</v>
      </c>
      <c r="E584" s="3">
        <f>IFERROR(__xludf.DUMMYFUNCTION("""COMPUTED_VALUE"""),84.0)</f>
        <v>84</v>
      </c>
      <c r="F584" s="3">
        <f>IFERROR(__xludf.DUMMYFUNCTION("SPLIT(C584, ""-"")"),47.0)</f>
        <v>47</v>
      </c>
      <c r="G584" s="3">
        <f>IFERROR(__xludf.DUMMYFUNCTION("""COMPUTED_VALUE"""),75.0)</f>
        <v>75</v>
      </c>
      <c r="I584" s="3" t="str">
        <f t="shared" si="1"/>
        <v>y</v>
      </c>
      <c r="J584" s="3" t="str">
        <f t="shared" si="2"/>
        <v>y</v>
      </c>
      <c r="K584" s="3" t="str">
        <f t="shared" si="3"/>
        <v/>
      </c>
      <c r="L584" s="3" t="str">
        <f t="shared" si="4"/>
        <v/>
      </c>
      <c r="N584" s="3">
        <f t="shared" si="5"/>
        <v>1</v>
      </c>
      <c r="O584" s="3" t="str">
        <f t="shared" si="6"/>
        <v/>
      </c>
      <c r="Q584" s="3">
        <f t="shared" si="7"/>
        <v>1</v>
      </c>
      <c r="U584" s="3">
        <f t="shared" si="8"/>
        <v>1</v>
      </c>
      <c r="V584" s="3" t="str">
        <f t="shared" si="9"/>
        <v>Överlapp</v>
      </c>
      <c r="W584" s="3" t="str">
        <f t="shared" si="10"/>
        <v>Överlapp</v>
      </c>
      <c r="X584" s="3" t="str">
        <f t="shared" si="11"/>
        <v/>
      </c>
    </row>
    <row r="585">
      <c r="A585" s="1" t="s">
        <v>589</v>
      </c>
      <c r="B585" s="3" t="str">
        <f>IFERROR(__xludf.DUMMYFUNCTION("SPLIT(A585, "","")"),"63-93")</f>
        <v>63-93</v>
      </c>
      <c r="C585" s="3" t="str">
        <f>IFERROR(__xludf.DUMMYFUNCTION("""COMPUTED_VALUE"""),"62-94")</f>
        <v>62-94</v>
      </c>
      <c r="D585" s="3">
        <f>IFERROR(__xludf.DUMMYFUNCTION("SPLIT(B585, ""-"")"),63.0)</f>
        <v>63</v>
      </c>
      <c r="E585" s="3">
        <f>IFERROR(__xludf.DUMMYFUNCTION("""COMPUTED_VALUE"""),93.0)</f>
        <v>93</v>
      </c>
      <c r="F585" s="3">
        <f>IFERROR(__xludf.DUMMYFUNCTION("SPLIT(C585, ""-"")"),62.0)</f>
        <v>62</v>
      </c>
      <c r="G585" s="3">
        <f>IFERROR(__xludf.DUMMYFUNCTION("""COMPUTED_VALUE"""),94.0)</f>
        <v>94</v>
      </c>
      <c r="I585" s="3" t="str">
        <f t="shared" si="1"/>
        <v/>
      </c>
      <c r="J585" s="3" t="str">
        <f t="shared" si="2"/>
        <v/>
      </c>
      <c r="K585" s="3" t="str">
        <f t="shared" si="3"/>
        <v>y</v>
      </c>
      <c r="L585" s="3" t="str">
        <f t="shared" si="4"/>
        <v>y</v>
      </c>
      <c r="N585" s="3" t="str">
        <f t="shared" si="5"/>
        <v/>
      </c>
      <c r="O585" s="3">
        <f t="shared" si="6"/>
        <v>1</v>
      </c>
      <c r="Q585" s="3">
        <f t="shared" si="7"/>
        <v>1</v>
      </c>
      <c r="U585" s="3">
        <f t="shared" si="8"/>
        <v>1</v>
      </c>
      <c r="V585" s="3" t="str">
        <f t="shared" si="9"/>
        <v>Överlapp</v>
      </c>
      <c r="W585" s="3" t="str">
        <f t="shared" si="10"/>
        <v>Överlapp</v>
      </c>
      <c r="X585" s="3" t="str">
        <f t="shared" si="11"/>
        <v/>
      </c>
    </row>
    <row r="586">
      <c r="A586" s="1" t="s">
        <v>590</v>
      </c>
      <c r="B586" s="3" t="str">
        <f>IFERROR(__xludf.DUMMYFUNCTION("SPLIT(A586, "","")"),"76-78")</f>
        <v>76-78</v>
      </c>
      <c r="C586" s="3" t="str">
        <f>IFERROR(__xludf.DUMMYFUNCTION("""COMPUTED_VALUE"""),"69-84")</f>
        <v>69-84</v>
      </c>
      <c r="D586" s="3">
        <f>IFERROR(__xludf.DUMMYFUNCTION("SPLIT(B586, ""-"")"),76.0)</f>
        <v>76</v>
      </c>
      <c r="E586" s="3">
        <f>IFERROR(__xludf.DUMMYFUNCTION("""COMPUTED_VALUE"""),78.0)</f>
        <v>78</v>
      </c>
      <c r="F586" s="3">
        <f>IFERROR(__xludf.DUMMYFUNCTION("SPLIT(C586, ""-"")"),69.0)</f>
        <v>69</v>
      </c>
      <c r="G586" s="3">
        <f>IFERROR(__xludf.DUMMYFUNCTION("""COMPUTED_VALUE"""),84.0)</f>
        <v>84</v>
      </c>
      <c r="I586" s="3" t="str">
        <f t="shared" si="1"/>
        <v/>
      </c>
      <c r="J586" s="3" t="str">
        <f t="shared" si="2"/>
        <v/>
      </c>
      <c r="K586" s="3" t="str">
        <f t="shared" si="3"/>
        <v>y</v>
      </c>
      <c r="L586" s="3" t="str">
        <f t="shared" si="4"/>
        <v>y</v>
      </c>
      <c r="N586" s="3" t="str">
        <f t="shared" si="5"/>
        <v/>
      </c>
      <c r="O586" s="3">
        <f t="shared" si="6"/>
        <v>1</v>
      </c>
      <c r="Q586" s="3">
        <f t="shared" si="7"/>
        <v>1</v>
      </c>
      <c r="U586" s="3">
        <f t="shared" si="8"/>
        <v>1</v>
      </c>
      <c r="V586" s="3" t="str">
        <f t="shared" si="9"/>
        <v>Överlapp</v>
      </c>
      <c r="W586" s="3" t="str">
        <f t="shared" si="10"/>
        <v>Överlapp</v>
      </c>
      <c r="X586" s="3" t="str">
        <f t="shared" si="11"/>
        <v/>
      </c>
    </row>
    <row r="587">
      <c r="A587" s="1" t="s">
        <v>591</v>
      </c>
      <c r="B587" s="3" t="str">
        <f>IFERROR(__xludf.DUMMYFUNCTION("SPLIT(A587, "","")"),"24-76")</f>
        <v>24-76</v>
      </c>
      <c r="C587" s="3" t="str">
        <f>IFERROR(__xludf.DUMMYFUNCTION("""COMPUTED_VALUE"""),"64-75")</f>
        <v>64-75</v>
      </c>
      <c r="D587" s="3">
        <f>IFERROR(__xludf.DUMMYFUNCTION("SPLIT(B587, ""-"")"),24.0)</f>
        <v>24</v>
      </c>
      <c r="E587" s="3">
        <f>IFERROR(__xludf.DUMMYFUNCTION("""COMPUTED_VALUE"""),76.0)</f>
        <v>76</v>
      </c>
      <c r="F587" s="3">
        <f>IFERROR(__xludf.DUMMYFUNCTION("SPLIT(C587, ""-"")"),64.0)</f>
        <v>64</v>
      </c>
      <c r="G587" s="3">
        <f>IFERROR(__xludf.DUMMYFUNCTION("""COMPUTED_VALUE"""),75.0)</f>
        <v>75</v>
      </c>
      <c r="I587" s="3" t="str">
        <f t="shared" si="1"/>
        <v>y</v>
      </c>
      <c r="J587" s="3" t="str">
        <f t="shared" si="2"/>
        <v>y</v>
      </c>
      <c r="K587" s="3" t="str">
        <f t="shared" si="3"/>
        <v/>
      </c>
      <c r="L587" s="3" t="str">
        <f t="shared" si="4"/>
        <v/>
      </c>
      <c r="N587" s="3">
        <f t="shared" si="5"/>
        <v>1</v>
      </c>
      <c r="O587" s="3" t="str">
        <f t="shared" si="6"/>
        <v/>
      </c>
      <c r="Q587" s="3">
        <f t="shared" si="7"/>
        <v>1</v>
      </c>
      <c r="U587" s="3">
        <f t="shared" si="8"/>
        <v>1</v>
      </c>
      <c r="V587" s="3" t="str">
        <f t="shared" si="9"/>
        <v>Överlapp</v>
      </c>
      <c r="W587" s="3" t="str">
        <f t="shared" si="10"/>
        <v>Överlapp</v>
      </c>
      <c r="X587" s="3" t="str">
        <f t="shared" si="11"/>
        <v/>
      </c>
    </row>
    <row r="588">
      <c r="A588" s="1" t="s">
        <v>592</v>
      </c>
      <c r="B588" s="3" t="str">
        <f>IFERROR(__xludf.DUMMYFUNCTION("SPLIT(A588, "","")"),"70-90")</f>
        <v>70-90</v>
      </c>
      <c r="C588" s="3" t="str">
        <f>IFERROR(__xludf.DUMMYFUNCTION("""COMPUTED_VALUE"""),"65-89")</f>
        <v>65-89</v>
      </c>
      <c r="D588" s="3">
        <f>IFERROR(__xludf.DUMMYFUNCTION("SPLIT(B588, ""-"")"),70.0)</f>
        <v>70</v>
      </c>
      <c r="E588" s="3">
        <f>IFERROR(__xludf.DUMMYFUNCTION("""COMPUTED_VALUE"""),90.0)</f>
        <v>90</v>
      </c>
      <c r="F588" s="3">
        <f>IFERROR(__xludf.DUMMYFUNCTION("SPLIT(C588, ""-"")"),65.0)</f>
        <v>65</v>
      </c>
      <c r="G588" s="3">
        <f>IFERROR(__xludf.DUMMYFUNCTION("""COMPUTED_VALUE"""),89.0)</f>
        <v>89</v>
      </c>
      <c r="I588" s="3" t="str">
        <f t="shared" si="1"/>
        <v/>
      </c>
      <c r="J588" s="3" t="str">
        <f t="shared" si="2"/>
        <v>y</v>
      </c>
      <c r="K588" s="3" t="str">
        <f t="shared" si="3"/>
        <v>y</v>
      </c>
      <c r="L588" s="3" t="str">
        <f t="shared" si="4"/>
        <v/>
      </c>
      <c r="N588" s="3" t="str">
        <f t="shared" si="5"/>
        <v/>
      </c>
      <c r="O588" s="3" t="str">
        <f t="shared" si="6"/>
        <v/>
      </c>
      <c r="Q588" s="3" t="str">
        <f t="shared" si="7"/>
        <v/>
      </c>
      <c r="U588" s="3">
        <f t="shared" si="8"/>
        <v>1</v>
      </c>
      <c r="V588" s="3" t="str">
        <f t="shared" si="9"/>
        <v>Överlapp</v>
      </c>
      <c r="W588" s="3" t="str">
        <f t="shared" si="10"/>
        <v>Överlapp</v>
      </c>
      <c r="X588" s="3" t="str">
        <f t="shared" si="11"/>
        <v/>
      </c>
    </row>
    <row r="589">
      <c r="A589" s="1" t="s">
        <v>593</v>
      </c>
      <c r="B589" s="3" t="str">
        <f>IFERROR(__xludf.DUMMYFUNCTION("SPLIT(A589, "","")"),"5-88")</f>
        <v>5-88</v>
      </c>
      <c r="C589" s="3" t="str">
        <f>IFERROR(__xludf.DUMMYFUNCTION("""COMPUTED_VALUE"""),"4-73")</f>
        <v>4-73</v>
      </c>
      <c r="D589" s="3">
        <f>IFERROR(__xludf.DUMMYFUNCTION("SPLIT(B589, ""-"")"),5.0)</f>
        <v>5</v>
      </c>
      <c r="E589" s="3">
        <f>IFERROR(__xludf.DUMMYFUNCTION("""COMPUTED_VALUE"""),88.0)</f>
        <v>88</v>
      </c>
      <c r="F589" s="3">
        <f>IFERROR(__xludf.DUMMYFUNCTION("SPLIT(C589, ""-"")"),4.0)</f>
        <v>4</v>
      </c>
      <c r="G589" s="3">
        <f>IFERROR(__xludf.DUMMYFUNCTION("""COMPUTED_VALUE"""),73.0)</f>
        <v>73</v>
      </c>
      <c r="I589" s="3" t="str">
        <f t="shared" si="1"/>
        <v/>
      </c>
      <c r="J589" s="3" t="str">
        <f t="shared" si="2"/>
        <v>y</v>
      </c>
      <c r="K589" s="3" t="str">
        <f t="shared" si="3"/>
        <v>y</v>
      </c>
      <c r="L589" s="3" t="str">
        <f t="shared" si="4"/>
        <v/>
      </c>
      <c r="N589" s="3" t="str">
        <f t="shared" si="5"/>
        <v/>
      </c>
      <c r="O589" s="3" t="str">
        <f t="shared" si="6"/>
        <v/>
      </c>
      <c r="Q589" s="3" t="str">
        <f t="shared" si="7"/>
        <v/>
      </c>
      <c r="U589" s="3">
        <f t="shared" si="8"/>
        <v>1</v>
      </c>
      <c r="V589" s="3" t="str">
        <f t="shared" si="9"/>
        <v>Överlapp</v>
      </c>
      <c r="W589" s="3" t="str">
        <f t="shared" si="10"/>
        <v>Överlapp</v>
      </c>
      <c r="X589" s="3" t="str">
        <f t="shared" si="11"/>
        <v/>
      </c>
    </row>
    <row r="590">
      <c r="A590" s="1" t="s">
        <v>594</v>
      </c>
      <c r="B590" s="3" t="str">
        <f>IFERROR(__xludf.DUMMYFUNCTION("SPLIT(A590, "","")"),"34-79")</f>
        <v>34-79</v>
      </c>
      <c r="C590" s="3" t="str">
        <f>IFERROR(__xludf.DUMMYFUNCTION("""COMPUTED_VALUE"""),"35-78")</f>
        <v>35-78</v>
      </c>
      <c r="D590" s="3">
        <f>IFERROR(__xludf.DUMMYFUNCTION("SPLIT(B590, ""-"")"),34.0)</f>
        <v>34</v>
      </c>
      <c r="E590" s="3">
        <f>IFERROR(__xludf.DUMMYFUNCTION("""COMPUTED_VALUE"""),79.0)</f>
        <v>79</v>
      </c>
      <c r="F590" s="3">
        <f>IFERROR(__xludf.DUMMYFUNCTION("SPLIT(C590, ""-"")"),35.0)</f>
        <v>35</v>
      </c>
      <c r="G590" s="3">
        <f>IFERROR(__xludf.DUMMYFUNCTION("""COMPUTED_VALUE"""),78.0)</f>
        <v>78</v>
      </c>
      <c r="I590" s="3" t="str">
        <f t="shared" si="1"/>
        <v>y</v>
      </c>
      <c r="J590" s="3" t="str">
        <f t="shared" si="2"/>
        <v>y</v>
      </c>
      <c r="K590" s="3" t="str">
        <f t="shared" si="3"/>
        <v/>
      </c>
      <c r="L590" s="3" t="str">
        <f t="shared" si="4"/>
        <v/>
      </c>
      <c r="N590" s="3">
        <f t="shared" si="5"/>
        <v>1</v>
      </c>
      <c r="O590" s="3" t="str">
        <f t="shared" si="6"/>
        <v/>
      </c>
      <c r="Q590" s="3">
        <f t="shared" si="7"/>
        <v>1</v>
      </c>
      <c r="U590" s="3">
        <f t="shared" si="8"/>
        <v>1</v>
      </c>
      <c r="V590" s="3" t="str">
        <f t="shared" si="9"/>
        <v>Överlapp</v>
      </c>
      <c r="W590" s="3" t="str">
        <f t="shared" si="10"/>
        <v>Överlapp</v>
      </c>
      <c r="X590" s="3" t="str">
        <f t="shared" si="11"/>
        <v/>
      </c>
    </row>
    <row r="591">
      <c r="A591" s="1" t="s">
        <v>595</v>
      </c>
      <c r="B591" s="3" t="str">
        <f>IFERROR(__xludf.DUMMYFUNCTION("SPLIT(A591, "","")"),"10-27")</f>
        <v>10-27</v>
      </c>
      <c r="C591" s="3" t="str">
        <f>IFERROR(__xludf.DUMMYFUNCTION("""COMPUTED_VALUE"""),"11-26")</f>
        <v>11-26</v>
      </c>
      <c r="D591" s="3">
        <f>IFERROR(__xludf.DUMMYFUNCTION("SPLIT(B591, ""-"")"),10.0)</f>
        <v>10</v>
      </c>
      <c r="E591" s="3">
        <f>IFERROR(__xludf.DUMMYFUNCTION("""COMPUTED_VALUE"""),27.0)</f>
        <v>27</v>
      </c>
      <c r="F591" s="3">
        <f>IFERROR(__xludf.DUMMYFUNCTION("SPLIT(C591, ""-"")"),11.0)</f>
        <v>11</v>
      </c>
      <c r="G591" s="3">
        <f>IFERROR(__xludf.DUMMYFUNCTION("""COMPUTED_VALUE"""),26.0)</f>
        <v>26</v>
      </c>
      <c r="I591" s="3" t="str">
        <f t="shared" si="1"/>
        <v>y</v>
      </c>
      <c r="J591" s="3" t="str">
        <f t="shared" si="2"/>
        <v>y</v>
      </c>
      <c r="K591" s="3" t="str">
        <f t="shared" si="3"/>
        <v/>
      </c>
      <c r="L591" s="3" t="str">
        <f t="shared" si="4"/>
        <v/>
      </c>
      <c r="N591" s="3">
        <f t="shared" si="5"/>
        <v>1</v>
      </c>
      <c r="O591" s="3" t="str">
        <f t="shared" si="6"/>
        <v/>
      </c>
      <c r="Q591" s="3">
        <f t="shared" si="7"/>
        <v>1</v>
      </c>
      <c r="U591" s="3">
        <f t="shared" si="8"/>
        <v>1</v>
      </c>
      <c r="V591" s="3" t="str">
        <f t="shared" si="9"/>
        <v>Överlapp</v>
      </c>
      <c r="W591" s="3" t="str">
        <f t="shared" si="10"/>
        <v>Överlapp</v>
      </c>
      <c r="X591" s="3" t="str">
        <f t="shared" si="11"/>
        <v/>
      </c>
    </row>
    <row r="592">
      <c r="A592" s="1" t="s">
        <v>596</v>
      </c>
      <c r="B592" s="3" t="str">
        <f>IFERROR(__xludf.DUMMYFUNCTION("SPLIT(A592, "","")"),"11-13")</f>
        <v>11-13</v>
      </c>
      <c r="C592" s="3" t="str">
        <f>IFERROR(__xludf.DUMMYFUNCTION("""COMPUTED_VALUE"""),"14-31")</f>
        <v>14-31</v>
      </c>
      <c r="D592" s="3">
        <f>IFERROR(__xludf.DUMMYFUNCTION("SPLIT(B592, ""-"")"),11.0)</f>
        <v>11</v>
      </c>
      <c r="E592" s="3">
        <f>IFERROR(__xludf.DUMMYFUNCTION("""COMPUTED_VALUE"""),13.0)</f>
        <v>13</v>
      </c>
      <c r="F592" s="3">
        <f>IFERROR(__xludf.DUMMYFUNCTION("SPLIT(C592, ""-"")"),14.0)</f>
        <v>14</v>
      </c>
      <c r="G592" s="3">
        <f>IFERROR(__xludf.DUMMYFUNCTION("""COMPUTED_VALUE"""),31.0)</f>
        <v>31</v>
      </c>
      <c r="I592" s="3" t="str">
        <f t="shared" si="1"/>
        <v>y</v>
      </c>
      <c r="J592" s="3" t="str">
        <f t="shared" si="2"/>
        <v/>
      </c>
      <c r="K592" s="3" t="str">
        <f t="shared" si="3"/>
        <v/>
      </c>
      <c r="L592" s="3" t="str">
        <f t="shared" si="4"/>
        <v>y</v>
      </c>
      <c r="N592" s="3" t="str">
        <f t="shared" si="5"/>
        <v/>
      </c>
      <c r="O592" s="3" t="str">
        <f t="shared" si="6"/>
        <v/>
      </c>
      <c r="Q592" s="3" t="str">
        <f t="shared" si="7"/>
        <v/>
      </c>
      <c r="U592" s="3">
        <f t="shared" si="8"/>
        <v>1</v>
      </c>
      <c r="V592" s="3">
        <f t="shared" si="9"/>
        <v>1</v>
      </c>
      <c r="W592" s="3" t="str">
        <f t="shared" si="10"/>
        <v>Överlapp</v>
      </c>
      <c r="X592" s="3">
        <f t="shared" si="11"/>
        <v>1</v>
      </c>
    </row>
    <row r="593">
      <c r="A593" s="1" t="s">
        <v>597</v>
      </c>
      <c r="B593" s="3" t="str">
        <f>IFERROR(__xludf.DUMMYFUNCTION("SPLIT(A593, "","")"),"29-29")</f>
        <v>29-29</v>
      </c>
      <c r="C593" s="3" t="str">
        <f>IFERROR(__xludf.DUMMYFUNCTION("""COMPUTED_VALUE"""),"29-99")</f>
        <v>29-99</v>
      </c>
      <c r="D593" s="3">
        <f>IFERROR(__xludf.DUMMYFUNCTION("SPLIT(B593, ""-"")"),29.0)</f>
        <v>29</v>
      </c>
      <c r="E593" s="3">
        <f>IFERROR(__xludf.DUMMYFUNCTION("""COMPUTED_VALUE"""),29.0)</f>
        <v>29</v>
      </c>
      <c r="F593" s="3">
        <f>IFERROR(__xludf.DUMMYFUNCTION("SPLIT(C593, ""-"")"),29.0)</f>
        <v>29</v>
      </c>
      <c r="G593" s="3">
        <f>IFERROR(__xludf.DUMMYFUNCTION("""COMPUTED_VALUE"""),99.0)</f>
        <v>99</v>
      </c>
      <c r="I593" s="3" t="str">
        <f t="shared" si="1"/>
        <v>y</v>
      </c>
      <c r="J593" s="3" t="str">
        <f t="shared" si="2"/>
        <v/>
      </c>
      <c r="K593" s="3" t="str">
        <f t="shared" si="3"/>
        <v>y</v>
      </c>
      <c r="L593" s="3" t="str">
        <f t="shared" si="4"/>
        <v>y</v>
      </c>
      <c r="N593" s="3" t="str">
        <f t="shared" si="5"/>
        <v/>
      </c>
      <c r="O593" s="3">
        <f t="shared" si="6"/>
        <v>1</v>
      </c>
      <c r="Q593" s="3">
        <f t="shared" si="7"/>
        <v>1</v>
      </c>
      <c r="U593" s="3" t="str">
        <f t="shared" si="8"/>
        <v>Överlapp</v>
      </c>
      <c r="V593" s="3" t="str">
        <f t="shared" si="9"/>
        <v>Överlapp</v>
      </c>
      <c r="W593" s="3" t="str">
        <f t="shared" si="10"/>
        <v>Överlapp</v>
      </c>
      <c r="X593" s="3" t="str">
        <f t="shared" si="11"/>
        <v/>
      </c>
    </row>
    <row r="594">
      <c r="A594" s="1" t="s">
        <v>598</v>
      </c>
      <c r="B594" s="3" t="str">
        <f>IFERROR(__xludf.DUMMYFUNCTION("SPLIT(A594, "","")"),"46-75")</f>
        <v>46-75</v>
      </c>
      <c r="C594" s="3" t="str">
        <f>IFERROR(__xludf.DUMMYFUNCTION("""COMPUTED_VALUE"""),"19-83")</f>
        <v>19-83</v>
      </c>
      <c r="D594" s="3">
        <f>IFERROR(__xludf.DUMMYFUNCTION("SPLIT(B594, ""-"")"),46.0)</f>
        <v>46</v>
      </c>
      <c r="E594" s="3">
        <f>IFERROR(__xludf.DUMMYFUNCTION("""COMPUTED_VALUE"""),75.0)</f>
        <v>75</v>
      </c>
      <c r="F594" s="3">
        <f>IFERROR(__xludf.DUMMYFUNCTION("SPLIT(C594, ""-"")"),19.0)</f>
        <v>19</v>
      </c>
      <c r="G594" s="3">
        <f>IFERROR(__xludf.DUMMYFUNCTION("""COMPUTED_VALUE"""),83.0)</f>
        <v>83</v>
      </c>
      <c r="I594" s="3" t="str">
        <f t="shared" si="1"/>
        <v/>
      </c>
      <c r="J594" s="3" t="str">
        <f t="shared" si="2"/>
        <v/>
      </c>
      <c r="K594" s="3" t="str">
        <f t="shared" si="3"/>
        <v>y</v>
      </c>
      <c r="L594" s="3" t="str">
        <f t="shared" si="4"/>
        <v>y</v>
      </c>
      <c r="N594" s="3" t="str">
        <f t="shared" si="5"/>
        <v/>
      </c>
      <c r="O594" s="3">
        <f t="shared" si="6"/>
        <v>1</v>
      </c>
      <c r="Q594" s="3">
        <f t="shared" si="7"/>
        <v>1</v>
      </c>
      <c r="U594" s="3">
        <f t="shared" si="8"/>
        <v>1</v>
      </c>
      <c r="V594" s="3" t="str">
        <f t="shared" si="9"/>
        <v>Överlapp</v>
      </c>
      <c r="W594" s="3" t="str">
        <f t="shared" si="10"/>
        <v>Överlapp</v>
      </c>
      <c r="X594" s="3" t="str">
        <f t="shared" si="11"/>
        <v/>
      </c>
    </row>
    <row r="595">
      <c r="A595" s="1" t="s">
        <v>599</v>
      </c>
      <c r="B595" s="3" t="str">
        <f>IFERROR(__xludf.DUMMYFUNCTION("SPLIT(A595, "","")"),"11-84")</f>
        <v>11-84</v>
      </c>
      <c r="C595" s="3" t="str">
        <f>IFERROR(__xludf.DUMMYFUNCTION("""COMPUTED_VALUE"""),"12-60")</f>
        <v>12-60</v>
      </c>
      <c r="D595" s="3">
        <f>IFERROR(__xludf.DUMMYFUNCTION("SPLIT(B595, ""-"")"),11.0)</f>
        <v>11</v>
      </c>
      <c r="E595" s="3">
        <f>IFERROR(__xludf.DUMMYFUNCTION("""COMPUTED_VALUE"""),84.0)</f>
        <v>84</v>
      </c>
      <c r="F595" s="3">
        <f>IFERROR(__xludf.DUMMYFUNCTION("SPLIT(C595, ""-"")"),12.0)</f>
        <v>12</v>
      </c>
      <c r="G595" s="3">
        <f>IFERROR(__xludf.DUMMYFUNCTION("""COMPUTED_VALUE"""),60.0)</f>
        <v>60</v>
      </c>
      <c r="I595" s="3" t="str">
        <f t="shared" si="1"/>
        <v>y</v>
      </c>
      <c r="J595" s="3" t="str">
        <f t="shared" si="2"/>
        <v>y</v>
      </c>
      <c r="K595" s="3" t="str">
        <f t="shared" si="3"/>
        <v/>
      </c>
      <c r="L595" s="3" t="str">
        <f t="shared" si="4"/>
        <v/>
      </c>
      <c r="N595" s="3">
        <f t="shared" si="5"/>
        <v>1</v>
      </c>
      <c r="O595" s="3" t="str">
        <f t="shared" si="6"/>
        <v/>
      </c>
      <c r="Q595" s="3">
        <f t="shared" si="7"/>
        <v>1</v>
      </c>
      <c r="U595" s="3">
        <f t="shared" si="8"/>
        <v>1</v>
      </c>
      <c r="V595" s="3" t="str">
        <f t="shared" si="9"/>
        <v>Överlapp</v>
      </c>
      <c r="W595" s="3" t="str">
        <f t="shared" si="10"/>
        <v>Överlapp</v>
      </c>
      <c r="X595" s="3" t="str">
        <f t="shared" si="11"/>
        <v/>
      </c>
    </row>
    <row r="596">
      <c r="A596" s="1" t="s">
        <v>600</v>
      </c>
      <c r="B596" s="3" t="str">
        <f>IFERROR(__xludf.DUMMYFUNCTION("SPLIT(A596, "","")"),"4-84")</f>
        <v>4-84</v>
      </c>
      <c r="C596" s="3" t="str">
        <f>IFERROR(__xludf.DUMMYFUNCTION("""COMPUTED_VALUE"""),"4-83")</f>
        <v>4-83</v>
      </c>
      <c r="D596" s="3">
        <f>IFERROR(__xludf.DUMMYFUNCTION("SPLIT(B596, ""-"")"),4.0)</f>
        <v>4</v>
      </c>
      <c r="E596" s="3">
        <f>IFERROR(__xludf.DUMMYFUNCTION("""COMPUTED_VALUE"""),84.0)</f>
        <v>84</v>
      </c>
      <c r="F596" s="3">
        <f>IFERROR(__xludf.DUMMYFUNCTION("SPLIT(C596, ""-"")"),4.0)</f>
        <v>4</v>
      </c>
      <c r="G596" s="3">
        <f>IFERROR(__xludf.DUMMYFUNCTION("""COMPUTED_VALUE"""),83.0)</f>
        <v>83</v>
      </c>
      <c r="I596" s="3" t="str">
        <f t="shared" si="1"/>
        <v>y</v>
      </c>
      <c r="J596" s="3" t="str">
        <f t="shared" si="2"/>
        <v>y</v>
      </c>
      <c r="K596" s="3" t="str">
        <f t="shared" si="3"/>
        <v>y</v>
      </c>
      <c r="L596" s="3" t="str">
        <f t="shared" si="4"/>
        <v/>
      </c>
      <c r="N596" s="3">
        <f t="shared" si="5"/>
        <v>1</v>
      </c>
      <c r="O596" s="3" t="str">
        <f t="shared" si="6"/>
        <v/>
      </c>
      <c r="Q596" s="3">
        <f t="shared" si="7"/>
        <v>1</v>
      </c>
      <c r="U596" s="3" t="str">
        <f t="shared" si="8"/>
        <v>Överlapp</v>
      </c>
      <c r="V596" s="3" t="str">
        <f t="shared" si="9"/>
        <v>Överlapp</v>
      </c>
      <c r="W596" s="3" t="str">
        <f t="shared" si="10"/>
        <v>Överlapp</v>
      </c>
      <c r="X596" s="3" t="str">
        <f t="shared" si="11"/>
        <v/>
      </c>
    </row>
    <row r="597">
      <c r="A597" s="1" t="s">
        <v>601</v>
      </c>
      <c r="B597" s="3" t="str">
        <f>IFERROR(__xludf.DUMMYFUNCTION("SPLIT(A597, "","")"),"56-79")</f>
        <v>56-79</v>
      </c>
      <c r="C597" s="3" t="str">
        <f>IFERROR(__xludf.DUMMYFUNCTION("""COMPUTED_VALUE"""),"55-80")</f>
        <v>55-80</v>
      </c>
      <c r="D597" s="3">
        <f>IFERROR(__xludf.DUMMYFUNCTION("SPLIT(B597, ""-"")"),56.0)</f>
        <v>56</v>
      </c>
      <c r="E597" s="3">
        <f>IFERROR(__xludf.DUMMYFUNCTION("""COMPUTED_VALUE"""),79.0)</f>
        <v>79</v>
      </c>
      <c r="F597" s="3">
        <f>IFERROR(__xludf.DUMMYFUNCTION("SPLIT(C597, ""-"")"),55.0)</f>
        <v>55</v>
      </c>
      <c r="G597" s="3">
        <f>IFERROR(__xludf.DUMMYFUNCTION("""COMPUTED_VALUE"""),80.0)</f>
        <v>80</v>
      </c>
      <c r="I597" s="3" t="str">
        <f t="shared" si="1"/>
        <v/>
      </c>
      <c r="J597" s="3" t="str">
        <f t="shared" si="2"/>
        <v/>
      </c>
      <c r="K597" s="3" t="str">
        <f t="shared" si="3"/>
        <v>y</v>
      </c>
      <c r="L597" s="3" t="str">
        <f t="shared" si="4"/>
        <v>y</v>
      </c>
      <c r="N597" s="3" t="str">
        <f t="shared" si="5"/>
        <v/>
      </c>
      <c r="O597" s="3">
        <f t="shared" si="6"/>
        <v>1</v>
      </c>
      <c r="Q597" s="3">
        <f t="shared" si="7"/>
        <v>1</v>
      </c>
      <c r="U597" s="3">
        <f t="shared" si="8"/>
        <v>1</v>
      </c>
      <c r="V597" s="3" t="str">
        <f t="shared" si="9"/>
        <v>Överlapp</v>
      </c>
      <c r="W597" s="3" t="str">
        <f t="shared" si="10"/>
        <v>Överlapp</v>
      </c>
      <c r="X597" s="3" t="str">
        <f t="shared" si="11"/>
        <v/>
      </c>
    </row>
    <row r="598">
      <c r="A598" s="1" t="s">
        <v>602</v>
      </c>
      <c r="B598" s="3" t="str">
        <f>IFERROR(__xludf.DUMMYFUNCTION("SPLIT(A598, "","")"),"2-54")</f>
        <v>2-54</v>
      </c>
      <c r="C598" s="3" t="str">
        <f>IFERROR(__xludf.DUMMYFUNCTION("""COMPUTED_VALUE"""),"3-46")</f>
        <v>3-46</v>
      </c>
      <c r="D598" s="3">
        <f>IFERROR(__xludf.DUMMYFUNCTION("SPLIT(B598, ""-"")"),2.0)</f>
        <v>2</v>
      </c>
      <c r="E598" s="3">
        <f>IFERROR(__xludf.DUMMYFUNCTION("""COMPUTED_VALUE"""),54.0)</f>
        <v>54</v>
      </c>
      <c r="F598" s="3">
        <f>IFERROR(__xludf.DUMMYFUNCTION("SPLIT(C598, ""-"")"),3.0)</f>
        <v>3</v>
      </c>
      <c r="G598" s="3">
        <f>IFERROR(__xludf.DUMMYFUNCTION("""COMPUTED_VALUE"""),46.0)</f>
        <v>46</v>
      </c>
      <c r="I598" s="3" t="str">
        <f t="shared" si="1"/>
        <v>y</v>
      </c>
      <c r="J598" s="3" t="str">
        <f t="shared" si="2"/>
        <v>y</v>
      </c>
      <c r="K598" s="3" t="str">
        <f t="shared" si="3"/>
        <v/>
      </c>
      <c r="L598" s="3" t="str">
        <f t="shared" si="4"/>
        <v/>
      </c>
      <c r="N598" s="3">
        <f t="shared" si="5"/>
        <v>1</v>
      </c>
      <c r="O598" s="3" t="str">
        <f t="shared" si="6"/>
        <v/>
      </c>
      <c r="Q598" s="3">
        <f t="shared" si="7"/>
        <v>1</v>
      </c>
      <c r="U598" s="3">
        <f t="shared" si="8"/>
        <v>1</v>
      </c>
      <c r="V598" s="3" t="str">
        <f t="shared" si="9"/>
        <v>Överlapp</v>
      </c>
      <c r="W598" s="3" t="str">
        <f t="shared" si="10"/>
        <v>Överlapp</v>
      </c>
      <c r="X598" s="3" t="str">
        <f t="shared" si="11"/>
        <v/>
      </c>
    </row>
    <row r="599">
      <c r="A599" s="1" t="s">
        <v>603</v>
      </c>
      <c r="B599" s="3" t="str">
        <f>IFERROR(__xludf.DUMMYFUNCTION("SPLIT(A599, "","")"),"13-24")</f>
        <v>13-24</v>
      </c>
      <c r="C599" s="3" t="str">
        <f>IFERROR(__xludf.DUMMYFUNCTION("""COMPUTED_VALUE"""),"95-99")</f>
        <v>95-99</v>
      </c>
      <c r="D599" s="3">
        <f>IFERROR(__xludf.DUMMYFUNCTION("SPLIT(B599, ""-"")"),13.0)</f>
        <v>13</v>
      </c>
      <c r="E599" s="3">
        <f>IFERROR(__xludf.DUMMYFUNCTION("""COMPUTED_VALUE"""),24.0)</f>
        <v>24</v>
      </c>
      <c r="F599" s="3">
        <f>IFERROR(__xludf.DUMMYFUNCTION("SPLIT(C599, ""-"")"),95.0)</f>
        <v>95</v>
      </c>
      <c r="G599" s="3">
        <f>IFERROR(__xludf.DUMMYFUNCTION("""COMPUTED_VALUE"""),99.0)</f>
        <v>99</v>
      </c>
      <c r="I599" s="3" t="str">
        <f t="shared" si="1"/>
        <v>y</v>
      </c>
      <c r="J599" s="3" t="str">
        <f t="shared" si="2"/>
        <v/>
      </c>
      <c r="K599" s="3" t="str">
        <f t="shared" si="3"/>
        <v/>
      </c>
      <c r="L599" s="3" t="str">
        <f t="shared" si="4"/>
        <v>y</v>
      </c>
      <c r="N599" s="3" t="str">
        <f t="shared" si="5"/>
        <v/>
      </c>
      <c r="O599" s="3" t="str">
        <f t="shared" si="6"/>
        <v/>
      </c>
      <c r="Q599" s="3" t="str">
        <f t="shared" si="7"/>
        <v/>
      </c>
      <c r="U599" s="3">
        <f t="shared" si="8"/>
        <v>1</v>
      </c>
      <c r="V599" s="3">
        <f t="shared" si="9"/>
        <v>1</v>
      </c>
      <c r="W599" s="3" t="str">
        <f t="shared" si="10"/>
        <v>Överlapp</v>
      </c>
      <c r="X599" s="3">
        <f t="shared" si="11"/>
        <v>1</v>
      </c>
    </row>
    <row r="600">
      <c r="A600" s="1" t="s">
        <v>604</v>
      </c>
      <c r="B600" s="3" t="str">
        <f>IFERROR(__xludf.DUMMYFUNCTION("SPLIT(A600, "","")"),"24-95")</f>
        <v>24-95</v>
      </c>
      <c r="C600" s="3" t="str">
        <f>IFERROR(__xludf.DUMMYFUNCTION("""COMPUTED_VALUE"""),"27-95")</f>
        <v>27-95</v>
      </c>
      <c r="D600" s="3">
        <f>IFERROR(__xludf.DUMMYFUNCTION("SPLIT(B600, ""-"")"),24.0)</f>
        <v>24</v>
      </c>
      <c r="E600" s="3">
        <f>IFERROR(__xludf.DUMMYFUNCTION("""COMPUTED_VALUE"""),95.0)</f>
        <v>95</v>
      </c>
      <c r="F600" s="3">
        <f>IFERROR(__xludf.DUMMYFUNCTION("SPLIT(C600, ""-"")"),27.0)</f>
        <v>27</v>
      </c>
      <c r="G600" s="3">
        <f>IFERROR(__xludf.DUMMYFUNCTION("""COMPUTED_VALUE"""),95.0)</f>
        <v>95</v>
      </c>
      <c r="I600" s="3" t="str">
        <f t="shared" si="1"/>
        <v>y</v>
      </c>
      <c r="J600" s="3" t="str">
        <f t="shared" si="2"/>
        <v>y</v>
      </c>
      <c r="K600" s="3" t="str">
        <f t="shared" si="3"/>
        <v/>
      </c>
      <c r="L600" s="3" t="str">
        <f t="shared" si="4"/>
        <v>y</v>
      </c>
      <c r="N600" s="3">
        <f t="shared" si="5"/>
        <v>1</v>
      </c>
      <c r="O600" s="3" t="str">
        <f t="shared" si="6"/>
        <v/>
      </c>
      <c r="Q600" s="3">
        <f t="shared" si="7"/>
        <v>1</v>
      </c>
      <c r="U600" s="3" t="str">
        <f t="shared" si="8"/>
        <v>Överlapp</v>
      </c>
      <c r="V600" s="3" t="str">
        <f t="shared" si="9"/>
        <v>Överlapp</v>
      </c>
      <c r="W600" s="3" t="str">
        <f t="shared" si="10"/>
        <v>Överlapp</v>
      </c>
      <c r="X600" s="3" t="str">
        <f t="shared" si="11"/>
        <v/>
      </c>
    </row>
    <row r="601">
      <c r="A601" s="1" t="s">
        <v>605</v>
      </c>
      <c r="B601" s="3" t="str">
        <f>IFERROR(__xludf.DUMMYFUNCTION("SPLIT(A601, "","")"),"60-76")</f>
        <v>60-76</v>
      </c>
      <c r="C601" s="3" t="str">
        <f>IFERROR(__xludf.DUMMYFUNCTION("""COMPUTED_VALUE"""),"76-76")</f>
        <v>76-76</v>
      </c>
      <c r="D601" s="3">
        <f>IFERROR(__xludf.DUMMYFUNCTION("SPLIT(B601, ""-"")"),60.0)</f>
        <v>60</v>
      </c>
      <c r="E601" s="3">
        <f>IFERROR(__xludf.DUMMYFUNCTION("""COMPUTED_VALUE"""),76.0)</f>
        <v>76</v>
      </c>
      <c r="F601" s="3">
        <f>IFERROR(__xludf.DUMMYFUNCTION("SPLIT(C601, ""-"")"),76.0)</f>
        <v>76</v>
      </c>
      <c r="G601" s="3">
        <f>IFERROR(__xludf.DUMMYFUNCTION("""COMPUTED_VALUE"""),76.0)</f>
        <v>76</v>
      </c>
      <c r="I601" s="3" t="str">
        <f t="shared" si="1"/>
        <v>y</v>
      </c>
      <c r="J601" s="3" t="str">
        <f t="shared" si="2"/>
        <v>y</v>
      </c>
      <c r="K601" s="3" t="str">
        <f t="shared" si="3"/>
        <v/>
      </c>
      <c r="L601" s="3" t="str">
        <f t="shared" si="4"/>
        <v>y</v>
      </c>
      <c r="N601" s="3">
        <f t="shared" si="5"/>
        <v>1</v>
      </c>
      <c r="O601" s="3" t="str">
        <f t="shared" si="6"/>
        <v/>
      </c>
      <c r="Q601" s="3">
        <f t="shared" si="7"/>
        <v>1</v>
      </c>
      <c r="U601" s="3" t="str">
        <f t="shared" si="8"/>
        <v>Överlapp</v>
      </c>
      <c r="V601" s="3" t="str">
        <f t="shared" si="9"/>
        <v>Överlapp</v>
      </c>
      <c r="W601" s="3" t="str">
        <f t="shared" si="10"/>
        <v>Överlapp</v>
      </c>
      <c r="X601" s="3" t="str">
        <f t="shared" si="11"/>
        <v/>
      </c>
    </row>
    <row r="602">
      <c r="A602" s="1" t="s">
        <v>606</v>
      </c>
      <c r="B602" s="3" t="str">
        <f>IFERROR(__xludf.DUMMYFUNCTION("SPLIT(A602, "","")"),"27-70")</f>
        <v>27-70</v>
      </c>
      <c r="C602" s="3" t="str">
        <f>IFERROR(__xludf.DUMMYFUNCTION("""COMPUTED_VALUE"""),"27-28")</f>
        <v>27-28</v>
      </c>
      <c r="D602" s="3">
        <f>IFERROR(__xludf.DUMMYFUNCTION("SPLIT(B602, ""-"")"),27.0)</f>
        <v>27</v>
      </c>
      <c r="E602" s="3">
        <f>IFERROR(__xludf.DUMMYFUNCTION("""COMPUTED_VALUE"""),70.0)</f>
        <v>70</v>
      </c>
      <c r="F602" s="3">
        <f>IFERROR(__xludf.DUMMYFUNCTION("SPLIT(C602, ""-"")"),27.0)</f>
        <v>27</v>
      </c>
      <c r="G602" s="3">
        <f>IFERROR(__xludf.DUMMYFUNCTION("""COMPUTED_VALUE"""),28.0)</f>
        <v>28</v>
      </c>
      <c r="I602" s="3" t="str">
        <f t="shared" si="1"/>
        <v>y</v>
      </c>
      <c r="J602" s="3" t="str">
        <f t="shared" si="2"/>
        <v>y</v>
      </c>
      <c r="K602" s="3" t="str">
        <f t="shared" si="3"/>
        <v>y</v>
      </c>
      <c r="L602" s="3" t="str">
        <f t="shared" si="4"/>
        <v/>
      </c>
      <c r="N602" s="3">
        <f t="shared" si="5"/>
        <v>1</v>
      </c>
      <c r="O602" s="3" t="str">
        <f t="shared" si="6"/>
        <v/>
      </c>
      <c r="Q602" s="3">
        <f t="shared" si="7"/>
        <v>1</v>
      </c>
      <c r="U602" s="3" t="str">
        <f t="shared" si="8"/>
        <v>Överlapp</v>
      </c>
      <c r="V602" s="3" t="str">
        <f t="shared" si="9"/>
        <v>Överlapp</v>
      </c>
      <c r="W602" s="3" t="str">
        <f t="shared" si="10"/>
        <v>Överlapp</v>
      </c>
      <c r="X602" s="3" t="str">
        <f t="shared" si="11"/>
        <v/>
      </c>
    </row>
    <row r="603">
      <c r="A603" s="1" t="s">
        <v>607</v>
      </c>
      <c r="B603" s="3" t="str">
        <f>IFERROR(__xludf.DUMMYFUNCTION("SPLIT(A603, "","")"),"47-48")</f>
        <v>47-48</v>
      </c>
      <c r="C603" s="3" t="str">
        <f>IFERROR(__xludf.DUMMYFUNCTION("""COMPUTED_VALUE"""),"3-47")</f>
        <v>3-47</v>
      </c>
      <c r="D603" s="3">
        <f>IFERROR(__xludf.DUMMYFUNCTION("SPLIT(B603, ""-"")"),47.0)</f>
        <v>47</v>
      </c>
      <c r="E603" s="3">
        <f>IFERROR(__xludf.DUMMYFUNCTION("""COMPUTED_VALUE"""),48.0)</f>
        <v>48</v>
      </c>
      <c r="F603" s="3">
        <f>IFERROR(__xludf.DUMMYFUNCTION("SPLIT(C603, ""-"")"),3.0)</f>
        <v>3</v>
      </c>
      <c r="G603" s="3">
        <f>IFERROR(__xludf.DUMMYFUNCTION("""COMPUTED_VALUE"""),47.0)</f>
        <v>47</v>
      </c>
      <c r="I603" s="3" t="str">
        <f t="shared" si="1"/>
        <v/>
      </c>
      <c r="J603" s="3" t="str">
        <f t="shared" si="2"/>
        <v>y</v>
      </c>
      <c r="K603" s="3" t="str">
        <f t="shared" si="3"/>
        <v>y</v>
      </c>
      <c r="L603" s="3" t="str">
        <f t="shared" si="4"/>
        <v/>
      </c>
      <c r="N603" s="3" t="str">
        <f t="shared" si="5"/>
        <v/>
      </c>
      <c r="O603" s="3" t="str">
        <f t="shared" si="6"/>
        <v/>
      </c>
      <c r="Q603" s="3" t="str">
        <f t="shared" si="7"/>
        <v/>
      </c>
      <c r="U603" s="3" t="str">
        <f t="shared" si="8"/>
        <v>Överlapp</v>
      </c>
      <c r="V603" s="3" t="str">
        <f t="shared" si="9"/>
        <v>Överlapp</v>
      </c>
      <c r="W603" s="3" t="str">
        <f t="shared" si="10"/>
        <v>Överlapp</v>
      </c>
      <c r="X603" s="3" t="str">
        <f t="shared" si="11"/>
        <v/>
      </c>
    </row>
    <row r="604">
      <c r="A604" s="1" t="s">
        <v>608</v>
      </c>
      <c r="B604" s="3" t="str">
        <f>IFERROR(__xludf.DUMMYFUNCTION("SPLIT(A604, "","")"),"2-92")</f>
        <v>2-92</v>
      </c>
      <c r="C604" s="3" t="str">
        <f>IFERROR(__xludf.DUMMYFUNCTION("""COMPUTED_VALUE"""),"3-42")</f>
        <v>3-42</v>
      </c>
      <c r="D604" s="3">
        <f>IFERROR(__xludf.DUMMYFUNCTION("SPLIT(B604, ""-"")"),2.0)</f>
        <v>2</v>
      </c>
      <c r="E604" s="3">
        <f>IFERROR(__xludf.DUMMYFUNCTION("""COMPUTED_VALUE"""),92.0)</f>
        <v>92</v>
      </c>
      <c r="F604" s="3">
        <f>IFERROR(__xludf.DUMMYFUNCTION("SPLIT(C604, ""-"")"),3.0)</f>
        <v>3</v>
      </c>
      <c r="G604" s="3">
        <f>IFERROR(__xludf.DUMMYFUNCTION("""COMPUTED_VALUE"""),42.0)</f>
        <v>42</v>
      </c>
      <c r="I604" s="3" t="str">
        <f t="shared" si="1"/>
        <v>y</v>
      </c>
      <c r="J604" s="3" t="str">
        <f t="shared" si="2"/>
        <v>y</v>
      </c>
      <c r="K604" s="3" t="str">
        <f t="shared" si="3"/>
        <v/>
      </c>
      <c r="L604" s="3" t="str">
        <f t="shared" si="4"/>
        <v/>
      </c>
      <c r="N604" s="3">
        <f t="shared" si="5"/>
        <v>1</v>
      </c>
      <c r="O604" s="3" t="str">
        <f t="shared" si="6"/>
        <v/>
      </c>
      <c r="Q604" s="3">
        <f t="shared" si="7"/>
        <v>1</v>
      </c>
      <c r="U604" s="3">
        <f t="shared" si="8"/>
        <v>1</v>
      </c>
      <c r="V604" s="3" t="str">
        <f t="shared" si="9"/>
        <v>Överlapp</v>
      </c>
      <c r="W604" s="3" t="str">
        <f t="shared" si="10"/>
        <v>Överlapp</v>
      </c>
      <c r="X604" s="3" t="str">
        <f t="shared" si="11"/>
        <v/>
      </c>
    </row>
    <row r="605">
      <c r="A605" s="1" t="s">
        <v>609</v>
      </c>
      <c r="B605" s="3" t="str">
        <f>IFERROR(__xludf.DUMMYFUNCTION("SPLIT(A605, "","")"),"1-31")</f>
        <v>1-31</v>
      </c>
      <c r="C605" s="3" t="str">
        <f>IFERROR(__xludf.DUMMYFUNCTION("""COMPUTED_VALUE"""),"3-69")</f>
        <v>3-69</v>
      </c>
      <c r="D605" s="3">
        <f>IFERROR(__xludf.DUMMYFUNCTION("SPLIT(B605, ""-"")"),1.0)</f>
        <v>1</v>
      </c>
      <c r="E605" s="3">
        <f>IFERROR(__xludf.DUMMYFUNCTION("""COMPUTED_VALUE"""),31.0)</f>
        <v>31</v>
      </c>
      <c r="F605" s="3">
        <f>IFERROR(__xludf.DUMMYFUNCTION("SPLIT(C605, ""-"")"),3.0)</f>
        <v>3</v>
      </c>
      <c r="G605" s="3">
        <f>IFERROR(__xludf.DUMMYFUNCTION("""COMPUTED_VALUE"""),69.0)</f>
        <v>69</v>
      </c>
      <c r="I605" s="3" t="str">
        <f t="shared" si="1"/>
        <v>y</v>
      </c>
      <c r="J605" s="3" t="str">
        <f t="shared" si="2"/>
        <v/>
      </c>
      <c r="K605" s="3" t="str">
        <f t="shared" si="3"/>
        <v/>
      </c>
      <c r="L605" s="3" t="str">
        <f t="shared" si="4"/>
        <v>y</v>
      </c>
      <c r="N605" s="3" t="str">
        <f t="shared" si="5"/>
        <v/>
      </c>
      <c r="O605" s="3" t="str">
        <f t="shared" si="6"/>
        <v/>
      </c>
      <c r="Q605" s="3" t="str">
        <f t="shared" si="7"/>
        <v/>
      </c>
      <c r="U605" s="3">
        <f t="shared" si="8"/>
        <v>1</v>
      </c>
      <c r="V605" s="3" t="str">
        <f t="shared" si="9"/>
        <v>Överlapp</v>
      </c>
      <c r="W605" s="3" t="str">
        <f t="shared" si="10"/>
        <v>Överlapp</v>
      </c>
      <c r="X605" s="3" t="str">
        <f t="shared" si="11"/>
        <v/>
      </c>
    </row>
    <row r="606">
      <c r="A606" s="1" t="s">
        <v>610</v>
      </c>
      <c r="B606" s="3" t="str">
        <f>IFERROR(__xludf.DUMMYFUNCTION("SPLIT(A606, "","")"),"1-97")</f>
        <v>1-97</v>
      </c>
      <c r="C606" s="3" t="str">
        <f>IFERROR(__xludf.DUMMYFUNCTION("""COMPUTED_VALUE"""),"1-96")</f>
        <v>1-96</v>
      </c>
      <c r="D606" s="3">
        <f>IFERROR(__xludf.DUMMYFUNCTION("SPLIT(B606, ""-"")"),1.0)</f>
        <v>1</v>
      </c>
      <c r="E606" s="3">
        <f>IFERROR(__xludf.DUMMYFUNCTION("""COMPUTED_VALUE"""),97.0)</f>
        <v>97</v>
      </c>
      <c r="F606" s="3">
        <f>IFERROR(__xludf.DUMMYFUNCTION("SPLIT(C606, ""-"")"),1.0)</f>
        <v>1</v>
      </c>
      <c r="G606" s="3">
        <f>IFERROR(__xludf.DUMMYFUNCTION("""COMPUTED_VALUE"""),96.0)</f>
        <v>96</v>
      </c>
      <c r="I606" s="3" t="str">
        <f t="shared" si="1"/>
        <v>y</v>
      </c>
      <c r="J606" s="3" t="str">
        <f t="shared" si="2"/>
        <v>y</v>
      </c>
      <c r="K606" s="3" t="str">
        <f t="shared" si="3"/>
        <v>y</v>
      </c>
      <c r="L606" s="3" t="str">
        <f t="shared" si="4"/>
        <v/>
      </c>
      <c r="N606" s="3">
        <f t="shared" si="5"/>
        <v>1</v>
      </c>
      <c r="O606" s="3" t="str">
        <f t="shared" si="6"/>
        <v/>
      </c>
      <c r="Q606" s="3">
        <f t="shared" si="7"/>
        <v>1</v>
      </c>
      <c r="U606" s="3" t="str">
        <f t="shared" si="8"/>
        <v>Överlapp</v>
      </c>
      <c r="V606" s="3" t="str">
        <f t="shared" si="9"/>
        <v>Överlapp</v>
      </c>
      <c r="W606" s="3" t="str">
        <f t="shared" si="10"/>
        <v>Överlapp</v>
      </c>
      <c r="X606" s="3" t="str">
        <f t="shared" si="11"/>
        <v/>
      </c>
    </row>
    <row r="607">
      <c r="A607" s="1" t="s">
        <v>611</v>
      </c>
      <c r="B607" s="3" t="str">
        <f>IFERROR(__xludf.DUMMYFUNCTION("SPLIT(A607, "","")"),"94-96")</f>
        <v>94-96</v>
      </c>
      <c r="C607" s="3" t="str">
        <f>IFERROR(__xludf.DUMMYFUNCTION("""COMPUTED_VALUE"""),"25-95")</f>
        <v>25-95</v>
      </c>
      <c r="D607" s="3">
        <f>IFERROR(__xludf.DUMMYFUNCTION("SPLIT(B607, ""-"")"),94.0)</f>
        <v>94</v>
      </c>
      <c r="E607" s="3">
        <f>IFERROR(__xludf.DUMMYFUNCTION("""COMPUTED_VALUE"""),96.0)</f>
        <v>96</v>
      </c>
      <c r="F607" s="3">
        <f>IFERROR(__xludf.DUMMYFUNCTION("SPLIT(C607, ""-"")"),25.0)</f>
        <v>25</v>
      </c>
      <c r="G607" s="3">
        <f>IFERROR(__xludf.DUMMYFUNCTION("""COMPUTED_VALUE"""),95.0)</f>
        <v>95</v>
      </c>
      <c r="I607" s="3" t="str">
        <f t="shared" si="1"/>
        <v/>
      </c>
      <c r="J607" s="3" t="str">
        <f t="shared" si="2"/>
        <v>y</v>
      </c>
      <c r="K607" s="3" t="str">
        <f t="shared" si="3"/>
        <v>y</v>
      </c>
      <c r="L607" s="3" t="str">
        <f t="shared" si="4"/>
        <v/>
      </c>
      <c r="N607" s="3" t="str">
        <f t="shared" si="5"/>
        <v/>
      </c>
      <c r="O607" s="3" t="str">
        <f t="shared" si="6"/>
        <v/>
      </c>
      <c r="Q607" s="3" t="str">
        <f t="shared" si="7"/>
        <v/>
      </c>
      <c r="U607" s="3">
        <f t="shared" si="8"/>
        <v>1</v>
      </c>
      <c r="V607" s="3" t="str">
        <f t="shared" si="9"/>
        <v>Överlapp</v>
      </c>
      <c r="W607" s="3" t="str">
        <f t="shared" si="10"/>
        <v>Överlapp</v>
      </c>
      <c r="X607" s="3" t="str">
        <f t="shared" si="11"/>
        <v/>
      </c>
    </row>
    <row r="608">
      <c r="A608" s="1" t="s">
        <v>612</v>
      </c>
      <c r="B608" s="3" t="str">
        <f>IFERROR(__xludf.DUMMYFUNCTION("SPLIT(A608, "","")"),"23-81")</f>
        <v>23-81</v>
      </c>
      <c r="C608" s="3" t="str">
        <f>IFERROR(__xludf.DUMMYFUNCTION("""COMPUTED_VALUE"""),"22-81")</f>
        <v>22-81</v>
      </c>
      <c r="D608" s="3">
        <f>IFERROR(__xludf.DUMMYFUNCTION("SPLIT(B608, ""-"")"),23.0)</f>
        <v>23</v>
      </c>
      <c r="E608" s="3">
        <f>IFERROR(__xludf.DUMMYFUNCTION("""COMPUTED_VALUE"""),81.0)</f>
        <v>81</v>
      </c>
      <c r="F608" s="3">
        <f>IFERROR(__xludf.DUMMYFUNCTION("SPLIT(C608, ""-"")"),22.0)</f>
        <v>22</v>
      </c>
      <c r="G608" s="3">
        <f>IFERROR(__xludf.DUMMYFUNCTION("""COMPUTED_VALUE"""),81.0)</f>
        <v>81</v>
      </c>
      <c r="I608" s="3" t="str">
        <f t="shared" si="1"/>
        <v/>
      </c>
      <c r="J608" s="3" t="str">
        <f t="shared" si="2"/>
        <v>y</v>
      </c>
      <c r="K608" s="3" t="str">
        <f t="shared" si="3"/>
        <v>y</v>
      </c>
      <c r="L608" s="3" t="str">
        <f t="shared" si="4"/>
        <v>y</v>
      </c>
      <c r="N608" s="3" t="str">
        <f t="shared" si="5"/>
        <v/>
      </c>
      <c r="O608" s="3">
        <f t="shared" si="6"/>
        <v>1</v>
      </c>
      <c r="Q608" s="3">
        <f t="shared" si="7"/>
        <v>1</v>
      </c>
      <c r="U608" s="3" t="str">
        <f t="shared" si="8"/>
        <v>Överlapp</v>
      </c>
      <c r="V608" s="3" t="str">
        <f t="shared" si="9"/>
        <v>Överlapp</v>
      </c>
      <c r="W608" s="3" t="str">
        <f t="shared" si="10"/>
        <v>Överlapp</v>
      </c>
      <c r="X608" s="3" t="str">
        <f t="shared" si="11"/>
        <v/>
      </c>
    </row>
    <row r="609">
      <c r="A609" s="1" t="s">
        <v>613</v>
      </c>
      <c r="B609" s="3" t="str">
        <f>IFERROR(__xludf.DUMMYFUNCTION("SPLIT(A609, "","")"),"9-71")</f>
        <v>9-71</v>
      </c>
      <c r="C609" s="3" t="str">
        <f>IFERROR(__xludf.DUMMYFUNCTION("""COMPUTED_VALUE"""),"10-83")</f>
        <v>10-83</v>
      </c>
      <c r="D609" s="3">
        <f>IFERROR(__xludf.DUMMYFUNCTION("SPLIT(B609, ""-"")"),9.0)</f>
        <v>9</v>
      </c>
      <c r="E609" s="3">
        <f>IFERROR(__xludf.DUMMYFUNCTION("""COMPUTED_VALUE"""),71.0)</f>
        <v>71</v>
      </c>
      <c r="F609" s="3">
        <f>IFERROR(__xludf.DUMMYFUNCTION("SPLIT(C609, ""-"")"),10.0)</f>
        <v>10</v>
      </c>
      <c r="G609" s="3">
        <f>IFERROR(__xludf.DUMMYFUNCTION("""COMPUTED_VALUE"""),83.0)</f>
        <v>83</v>
      </c>
      <c r="I609" s="3" t="str">
        <f t="shared" si="1"/>
        <v>y</v>
      </c>
      <c r="J609" s="3" t="str">
        <f t="shared" si="2"/>
        <v/>
      </c>
      <c r="K609" s="3" t="str">
        <f t="shared" si="3"/>
        <v/>
      </c>
      <c r="L609" s="3" t="str">
        <f t="shared" si="4"/>
        <v>y</v>
      </c>
      <c r="N609" s="3" t="str">
        <f t="shared" si="5"/>
        <v/>
      </c>
      <c r="O609" s="3" t="str">
        <f t="shared" si="6"/>
        <v/>
      </c>
      <c r="Q609" s="3" t="str">
        <f t="shared" si="7"/>
        <v/>
      </c>
      <c r="U609" s="3">
        <f t="shared" si="8"/>
        <v>1</v>
      </c>
      <c r="V609" s="3" t="str">
        <f t="shared" si="9"/>
        <v>Överlapp</v>
      </c>
      <c r="W609" s="3" t="str">
        <f t="shared" si="10"/>
        <v>Överlapp</v>
      </c>
      <c r="X609" s="3" t="str">
        <f t="shared" si="11"/>
        <v/>
      </c>
    </row>
    <row r="610">
      <c r="A610" s="1" t="s">
        <v>141</v>
      </c>
      <c r="B610" s="3" t="str">
        <f>IFERROR(__xludf.DUMMYFUNCTION("SPLIT(A610, "","")"),"37-88")</f>
        <v>37-88</v>
      </c>
      <c r="C610" s="3" t="str">
        <f>IFERROR(__xludf.DUMMYFUNCTION("""COMPUTED_VALUE"""),"37-89")</f>
        <v>37-89</v>
      </c>
      <c r="D610" s="3">
        <f>IFERROR(__xludf.DUMMYFUNCTION("SPLIT(B610, ""-"")"),37.0)</f>
        <v>37</v>
      </c>
      <c r="E610" s="3">
        <f>IFERROR(__xludf.DUMMYFUNCTION("""COMPUTED_VALUE"""),88.0)</f>
        <v>88</v>
      </c>
      <c r="F610" s="3">
        <f>IFERROR(__xludf.DUMMYFUNCTION("SPLIT(C610, ""-"")"),37.0)</f>
        <v>37</v>
      </c>
      <c r="G610" s="3">
        <f>IFERROR(__xludf.DUMMYFUNCTION("""COMPUTED_VALUE"""),89.0)</f>
        <v>89</v>
      </c>
      <c r="I610" s="3" t="str">
        <f t="shared" si="1"/>
        <v>y</v>
      </c>
      <c r="J610" s="3" t="str">
        <f t="shared" si="2"/>
        <v/>
      </c>
      <c r="K610" s="3" t="str">
        <f t="shared" si="3"/>
        <v>y</v>
      </c>
      <c r="L610" s="3" t="str">
        <f t="shared" si="4"/>
        <v>y</v>
      </c>
      <c r="N610" s="3" t="str">
        <f t="shared" si="5"/>
        <v/>
      </c>
      <c r="O610" s="3">
        <f t="shared" si="6"/>
        <v>1</v>
      </c>
      <c r="Q610" s="3">
        <f t="shared" si="7"/>
        <v>1</v>
      </c>
      <c r="U610" s="3" t="str">
        <f t="shared" si="8"/>
        <v>Överlapp</v>
      </c>
      <c r="V610" s="3" t="str">
        <f t="shared" si="9"/>
        <v>Överlapp</v>
      </c>
      <c r="W610" s="3" t="str">
        <f t="shared" si="10"/>
        <v>Överlapp</v>
      </c>
      <c r="X610" s="3" t="str">
        <f t="shared" si="11"/>
        <v/>
      </c>
    </row>
    <row r="611">
      <c r="A611" s="1" t="s">
        <v>614</v>
      </c>
      <c r="B611" s="4">
        <f>IFERROR(__xludf.DUMMYFUNCTION("SPLIT(A611, "","")"),44781.0)</f>
        <v>44781</v>
      </c>
      <c r="C611" s="3" t="str">
        <f>IFERROR(__xludf.DUMMYFUNCTION("""COMPUTED_VALUE"""),"9-87")</f>
        <v>9-87</v>
      </c>
      <c r="D611" s="3">
        <f>IFERROR(__xludf.DUMMYFUNCTION("SPLIT(B611, ""-"")"),8.0)</f>
        <v>8</v>
      </c>
      <c r="E611" s="3">
        <f>IFERROR(__xludf.DUMMYFUNCTION("""COMPUTED_VALUE"""),8.0)</f>
        <v>8</v>
      </c>
      <c r="F611" s="3">
        <f>IFERROR(__xludf.DUMMYFUNCTION("SPLIT(C611, ""-"")"),9.0)</f>
        <v>9</v>
      </c>
      <c r="G611" s="3">
        <f>IFERROR(__xludf.DUMMYFUNCTION("""COMPUTED_VALUE"""),87.0)</f>
        <v>87</v>
      </c>
      <c r="I611" s="3" t="str">
        <f t="shared" si="1"/>
        <v>y</v>
      </c>
      <c r="J611" s="3" t="str">
        <f t="shared" si="2"/>
        <v/>
      </c>
      <c r="K611" s="3" t="str">
        <f t="shared" si="3"/>
        <v/>
      </c>
      <c r="L611" s="3" t="str">
        <f t="shared" si="4"/>
        <v>y</v>
      </c>
      <c r="N611" s="3" t="str">
        <f t="shared" si="5"/>
        <v/>
      </c>
      <c r="O611" s="3" t="str">
        <f t="shared" si="6"/>
        <v/>
      </c>
      <c r="Q611" s="3" t="str">
        <f t="shared" si="7"/>
        <v/>
      </c>
      <c r="U611" s="3">
        <f t="shared" si="8"/>
        <v>1</v>
      </c>
      <c r="V611" s="3">
        <f t="shared" si="9"/>
        <v>1</v>
      </c>
      <c r="W611" s="3" t="str">
        <f t="shared" si="10"/>
        <v>Överlapp</v>
      </c>
      <c r="X611" s="3">
        <f t="shared" si="11"/>
        <v>1</v>
      </c>
    </row>
    <row r="612">
      <c r="A612" s="1" t="s">
        <v>615</v>
      </c>
      <c r="B612" s="3" t="str">
        <f>IFERROR(__xludf.DUMMYFUNCTION("SPLIT(A612, "","")"),"94-95")</f>
        <v>94-95</v>
      </c>
      <c r="C612" s="3" t="str">
        <f>IFERROR(__xludf.DUMMYFUNCTION("""COMPUTED_VALUE"""),"59-94")</f>
        <v>59-94</v>
      </c>
      <c r="D612" s="3">
        <f>IFERROR(__xludf.DUMMYFUNCTION("SPLIT(B612, ""-"")"),94.0)</f>
        <v>94</v>
      </c>
      <c r="E612" s="3">
        <f>IFERROR(__xludf.DUMMYFUNCTION("""COMPUTED_VALUE"""),95.0)</f>
        <v>95</v>
      </c>
      <c r="F612" s="3">
        <f>IFERROR(__xludf.DUMMYFUNCTION("SPLIT(C612, ""-"")"),59.0)</f>
        <v>59</v>
      </c>
      <c r="G612" s="3">
        <f>IFERROR(__xludf.DUMMYFUNCTION("""COMPUTED_VALUE"""),94.0)</f>
        <v>94</v>
      </c>
      <c r="I612" s="3" t="str">
        <f t="shared" si="1"/>
        <v/>
      </c>
      <c r="J612" s="3" t="str">
        <f t="shared" si="2"/>
        <v>y</v>
      </c>
      <c r="K612" s="3" t="str">
        <f t="shared" si="3"/>
        <v>y</v>
      </c>
      <c r="L612" s="3" t="str">
        <f t="shared" si="4"/>
        <v/>
      </c>
      <c r="N612" s="3" t="str">
        <f t="shared" si="5"/>
        <v/>
      </c>
      <c r="O612" s="3" t="str">
        <f t="shared" si="6"/>
        <v/>
      </c>
      <c r="Q612" s="3" t="str">
        <f t="shared" si="7"/>
        <v/>
      </c>
      <c r="U612" s="3" t="str">
        <f t="shared" si="8"/>
        <v>Överlapp</v>
      </c>
      <c r="V612" s="3" t="str">
        <f t="shared" si="9"/>
        <v>Överlapp</v>
      </c>
      <c r="W612" s="3" t="str">
        <f t="shared" si="10"/>
        <v>Överlapp</v>
      </c>
      <c r="X612" s="3" t="str">
        <f t="shared" si="11"/>
        <v/>
      </c>
    </row>
    <row r="613">
      <c r="A613" s="1" t="s">
        <v>616</v>
      </c>
      <c r="B613" s="3" t="str">
        <f>IFERROR(__xludf.DUMMYFUNCTION("SPLIT(A613, "","")"),"76-95")</f>
        <v>76-95</v>
      </c>
      <c r="C613" s="3" t="str">
        <f>IFERROR(__xludf.DUMMYFUNCTION("""COMPUTED_VALUE"""),"12-96")</f>
        <v>12-96</v>
      </c>
      <c r="D613" s="3">
        <f>IFERROR(__xludf.DUMMYFUNCTION("SPLIT(B613, ""-"")"),76.0)</f>
        <v>76</v>
      </c>
      <c r="E613" s="3">
        <f>IFERROR(__xludf.DUMMYFUNCTION("""COMPUTED_VALUE"""),95.0)</f>
        <v>95</v>
      </c>
      <c r="F613" s="3">
        <f>IFERROR(__xludf.DUMMYFUNCTION("SPLIT(C613, ""-"")"),12.0)</f>
        <v>12</v>
      </c>
      <c r="G613" s="3">
        <f>IFERROR(__xludf.DUMMYFUNCTION("""COMPUTED_VALUE"""),96.0)</f>
        <v>96</v>
      </c>
      <c r="I613" s="3" t="str">
        <f t="shared" si="1"/>
        <v/>
      </c>
      <c r="J613" s="3" t="str">
        <f t="shared" si="2"/>
        <v/>
      </c>
      <c r="K613" s="3" t="str">
        <f t="shared" si="3"/>
        <v>y</v>
      </c>
      <c r="L613" s="3" t="str">
        <f t="shared" si="4"/>
        <v>y</v>
      </c>
      <c r="N613" s="3" t="str">
        <f t="shared" si="5"/>
        <v/>
      </c>
      <c r="O613" s="3">
        <f t="shared" si="6"/>
        <v>1</v>
      </c>
      <c r="Q613" s="3">
        <f t="shared" si="7"/>
        <v>1</v>
      </c>
      <c r="U613" s="3">
        <f t="shared" si="8"/>
        <v>1</v>
      </c>
      <c r="V613" s="3" t="str">
        <f t="shared" si="9"/>
        <v>Överlapp</v>
      </c>
      <c r="W613" s="3" t="str">
        <f t="shared" si="10"/>
        <v>Överlapp</v>
      </c>
      <c r="X613" s="3" t="str">
        <f t="shared" si="11"/>
        <v/>
      </c>
    </row>
    <row r="614">
      <c r="A614" s="1" t="s">
        <v>617</v>
      </c>
      <c r="B614" s="3" t="str">
        <f>IFERROR(__xludf.DUMMYFUNCTION("SPLIT(A614, "","")"),"12-63")</f>
        <v>12-63</v>
      </c>
      <c r="C614" s="3" t="str">
        <f>IFERROR(__xludf.DUMMYFUNCTION("""COMPUTED_VALUE"""),"28-94")</f>
        <v>28-94</v>
      </c>
      <c r="D614" s="3">
        <f>IFERROR(__xludf.DUMMYFUNCTION("SPLIT(B614, ""-"")"),12.0)</f>
        <v>12</v>
      </c>
      <c r="E614" s="3">
        <f>IFERROR(__xludf.DUMMYFUNCTION("""COMPUTED_VALUE"""),63.0)</f>
        <v>63</v>
      </c>
      <c r="F614" s="3">
        <f>IFERROR(__xludf.DUMMYFUNCTION("SPLIT(C614, ""-"")"),28.0)</f>
        <v>28</v>
      </c>
      <c r="G614" s="3">
        <f>IFERROR(__xludf.DUMMYFUNCTION("""COMPUTED_VALUE"""),94.0)</f>
        <v>94</v>
      </c>
      <c r="I614" s="3" t="str">
        <f t="shared" si="1"/>
        <v>y</v>
      </c>
      <c r="J614" s="3" t="str">
        <f t="shared" si="2"/>
        <v/>
      </c>
      <c r="K614" s="3" t="str">
        <f t="shared" si="3"/>
        <v/>
      </c>
      <c r="L614" s="3" t="str">
        <f t="shared" si="4"/>
        <v>y</v>
      </c>
      <c r="N614" s="3" t="str">
        <f t="shared" si="5"/>
        <v/>
      </c>
      <c r="O614" s="3" t="str">
        <f t="shared" si="6"/>
        <v/>
      </c>
      <c r="Q614" s="3" t="str">
        <f t="shared" si="7"/>
        <v/>
      </c>
      <c r="U614" s="3">
        <f t="shared" si="8"/>
        <v>1</v>
      </c>
      <c r="V614" s="3" t="str">
        <f t="shared" si="9"/>
        <v>Överlapp</v>
      </c>
      <c r="W614" s="3" t="str">
        <f t="shared" si="10"/>
        <v>Överlapp</v>
      </c>
      <c r="X614" s="3" t="str">
        <f t="shared" si="11"/>
        <v/>
      </c>
    </row>
    <row r="615">
      <c r="A615" s="1" t="s">
        <v>618</v>
      </c>
      <c r="B615" s="3" t="str">
        <f>IFERROR(__xludf.DUMMYFUNCTION("SPLIT(A615, "","")"),"5-98")</f>
        <v>5-98</v>
      </c>
      <c r="C615" s="3" t="str">
        <f>IFERROR(__xludf.DUMMYFUNCTION("""COMPUTED_VALUE"""),"4-98")</f>
        <v>4-98</v>
      </c>
      <c r="D615" s="3">
        <f>IFERROR(__xludf.DUMMYFUNCTION("SPLIT(B615, ""-"")"),5.0)</f>
        <v>5</v>
      </c>
      <c r="E615" s="3">
        <f>IFERROR(__xludf.DUMMYFUNCTION("""COMPUTED_VALUE"""),98.0)</f>
        <v>98</v>
      </c>
      <c r="F615" s="3">
        <f>IFERROR(__xludf.DUMMYFUNCTION("SPLIT(C615, ""-"")"),4.0)</f>
        <v>4</v>
      </c>
      <c r="G615" s="3">
        <f>IFERROR(__xludf.DUMMYFUNCTION("""COMPUTED_VALUE"""),98.0)</f>
        <v>98</v>
      </c>
      <c r="I615" s="3" t="str">
        <f t="shared" si="1"/>
        <v/>
      </c>
      <c r="J615" s="3" t="str">
        <f t="shared" si="2"/>
        <v>y</v>
      </c>
      <c r="K615" s="3" t="str">
        <f t="shared" si="3"/>
        <v>y</v>
      </c>
      <c r="L615" s="3" t="str">
        <f t="shared" si="4"/>
        <v>y</v>
      </c>
      <c r="N615" s="3" t="str">
        <f t="shared" si="5"/>
        <v/>
      </c>
      <c r="O615" s="3">
        <f t="shared" si="6"/>
        <v>1</v>
      </c>
      <c r="Q615" s="3">
        <f t="shared" si="7"/>
        <v>1</v>
      </c>
      <c r="U615" s="3" t="str">
        <f t="shared" si="8"/>
        <v>Överlapp</v>
      </c>
      <c r="V615" s="3" t="str">
        <f t="shared" si="9"/>
        <v>Överlapp</v>
      </c>
      <c r="W615" s="3" t="str">
        <f t="shared" si="10"/>
        <v>Överlapp</v>
      </c>
      <c r="X615" s="3" t="str">
        <f t="shared" si="11"/>
        <v/>
      </c>
    </row>
    <row r="616">
      <c r="A616" s="1" t="s">
        <v>619</v>
      </c>
      <c r="B616" s="3" t="str">
        <f>IFERROR(__xludf.DUMMYFUNCTION("SPLIT(A616, "","")"),"1-94")</f>
        <v>1-94</v>
      </c>
      <c r="C616" s="3" t="str">
        <f>IFERROR(__xludf.DUMMYFUNCTION("""COMPUTED_VALUE"""),"2-93")</f>
        <v>2-93</v>
      </c>
      <c r="D616" s="3">
        <f>IFERROR(__xludf.DUMMYFUNCTION("SPLIT(B616, ""-"")"),1.0)</f>
        <v>1</v>
      </c>
      <c r="E616" s="3">
        <f>IFERROR(__xludf.DUMMYFUNCTION("""COMPUTED_VALUE"""),94.0)</f>
        <v>94</v>
      </c>
      <c r="F616" s="3">
        <f>IFERROR(__xludf.DUMMYFUNCTION("SPLIT(C616, ""-"")"),2.0)</f>
        <v>2</v>
      </c>
      <c r="G616" s="3">
        <f>IFERROR(__xludf.DUMMYFUNCTION("""COMPUTED_VALUE"""),93.0)</f>
        <v>93</v>
      </c>
      <c r="I616" s="3" t="str">
        <f t="shared" si="1"/>
        <v>y</v>
      </c>
      <c r="J616" s="3" t="str">
        <f t="shared" si="2"/>
        <v>y</v>
      </c>
      <c r="K616" s="3" t="str">
        <f t="shared" si="3"/>
        <v/>
      </c>
      <c r="L616" s="3" t="str">
        <f t="shared" si="4"/>
        <v/>
      </c>
      <c r="N616" s="3">
        <f t="shared" si="5"/>
        <v>1</v>
      </c>
      <c r="O616" s="3" t="str">
        <f t="shared" si="6"/>
        <v/>
      </c>
      <c r="Q616" s="3">
        <f t="shared" si="7"/>
        <v>1</v>
      </c>
      <c r="U616" s="3">
        <f t="shared" si="8"/>
        <v>1</v>
      </c>
      <c r="V616" s="3" t="str">
        <f t="shared" si="9"/>
        <v>Överlapp</v>
      </c>
      <c r="W616" s="3" t="str">
        <f t="shared" si="10"/>
        <v>Överlapp</v>
      </c>
      <c r="X616" s="3" t="str">
        <f t="shared" si="11"/>
        <v/>
      </c>
    </row>
    <row r="617">
      <c r="A617" s="1" t="s">
        <v>620</v>
      </c>
      <c r="B617" s="3" t="str">
        <f>IFERROR(__xludf.DUMMYFUNCTION("SPLIT(A617, "","")"),"74-75")</f>
        <v>74-75</v>
      </c>
      <c r="C617" s="3" t="str">
        <f>IFERROR(__xludf.DUMMYFUNCTION("""COMPUTED_VALUE"""),"75-86")</f>
        <v>75-86</v>
      </c>
      <c r="D617" s="3">
        <f>IFERROR(__xludf.DUMMYFUNCTION("SPLIT(B617, ""-"")"),74.0)</f>
        <v>74</v>
      </c>
      <c r="E617" s="3">
        <f>IFERROR(__xludf.DUMMYFUNCTION("""COMPUTED_VALUE"""),75.0)</f>
        <v>75</v>
      </c>
      <c r="F617" s="3">
        <f>IFERROR(__xludf.DUMMYFUNCTION("SPLIT(C617, ""-"")"),75.0)</f>
        <v>75</v>
      </c>
      <c r="G617" s="3">
        <f>IFERROR(__xludf.DUMMYFUNCTION("""COMPUTED_VALUE"""),86.0)</f>
        <v>86</v>
      </c>
      <c r="I617" s="3" t="str">
        <f t="shared" si="1"/>
        <v>y</v>
      </c>
      <c r="J617" s="3" t="str">
        <f t="shared" si="2"/>
        <v/>
      </c>
      <c r="K617" s="3" t="str">
        <f t="shared" si="3"/>
        <v/>
      </c>
      <c r="L617" s="3" t="str">
        <f t="shared" si="4"/>
        <v>y</v>
      </c>
      <c r="N617" s="3" t="str">
        <f t="shared" si="5"/>
        <v/>
      </c>
      <c r="O617" s="3" t="str">
        <f t="shared" si="6"/>
        <v/>
      </c>
      <c r="Q617" s="3" t="str">
        <f t="shared" si="7"/>
        <v/>
      </c>
      <c r="U617" s="3" t="str">
        <f t="shared" si="8"/>
        <v>Överlapp</v>
      </c>
      <c r="V617" s="3" t="str">
        <f t="shared" si="9"/>
        <v>Överlapp</v>
      </c>
      <c r="W617" s="3" t="str">
        <f t="shared" si="10"/>
        <v>Överlapp</v>
      </c>
      <c r="X617" s="3" t="str">
        <f t="shared" si="11"/>
        <v/>
      </c>
    </row>
    <row r="618">
      <c r="A618" s="1" t="s">
        <v>621</v>
      </c>
      <c r="B618" s="3" t="str">
        <f>IFERROR(__xludf.DUMMYFUNCTION("SPLIT(A618, "","")"),"6-24")</f>
        <v>6-24</v>
      </c>
      <c r="C618" s="3" t="str">
        <f>IFERROR(__xludf.DUMMYFUNCTION("""COMPUTED_VALUE"""),"23-87")</f>
        <v>23-87</v>
      </c>
      <c r="D618" s="3">
        <f>IFERROR(__xludf.DUMMYFUNCTION("SPLIT(B618, ""-"")"),6.0)</f>
        <v>6</v>
      </c>
      <c r="E618" s="3">
        <f>IFERROR(__xludf.DUMMYFUNCTION("""COMPUTED_VALUE"""),24.0)</f>
        <v>24</v>
      </c>
      <c r="F618" s="3">
        <f>IFERROR(__xludf.DUMMYFUNCTION("SPLIT(C618, ""-"")"),23.0)</f>
        <v>23</v>
      </c>
      <c r="G618" s="3">
        <f>IFERROR(__xludf.DUMMYFUNCTION("""COMPUTED_VALUE"""),87.0)</f>
        <v>87</v>
      </c>
      <c r="I618" s="3" t="str">
        <f t="shared" si="1"/>
        <v>y</v>
      </c>
      <c r="J618" s="3" t="str">
        <f t="shared" si="2"/>
        <v/>
      </c>
      <c r="K618" s="3" t="str">
        <f t="shared" si="3"/>
        <v/>
      </c>
      <c r="L618" s="3" t="str">
        <f t="shared" si="4"/>
        <v>y</v>
      </c>
      <c r="N618" s="3" t="str">
        <f t="shared" si="5"/>
        <v/>
      </c>
      <c r="O618" s="3" t="str">
        <f t="shared" si="6"/>
        <v/>
      </c>
      <c r="Q618" s="3" t="str">
        <f t="shared" si="7"/>
        <v/>
      </c>
      <c r="U618" s="3">
        <f t="shared" si="8"/>
        <v>1</v>
      </c>
      <c r="V618" s="3" t="str">
        <f t="shared" si="9"/>
        <v>Överlapp</v>
      </c>
      <c r="W618" s="3" t="str">
        <f t="shared" si="10"/>
        <v>Överlapp</v>
      </c>
      <c r="X618" s="3" t="str">
        <f t="shared" si="11"/>
        <v/>
      </c>
    </row>
    <row r="619">
      <c r="A619" s="1" t="s">
        <v>622</v>
      </c>
      <c r="B619" s="3" t="str">
        <f>IFERROR(__xludf.DUMMYFUNCTION("SPLIT(A619, "","")"),"2-91")</f>
        <v>2-91</v>
      </c>
      <c r="C619" s="4">
        <f>IFERROR(__xludf.DUMMYFUNCTION("""COMPUTED_VALUE"""),44562.0)</f>
        <v>44562</v>
      </c>
      <c r="D619" s="3">
        <f>IFERROR(__xludf.DUMMYFUNCTION("SPLIT(B619, ""-"")"),2.0)</f>
        <v>2</v>
      </c>
      <c r="E619" s="3">
        <f>IFERROR(__xludf.DUMMYFUNCTION("""COMPUTED_VALUE"""),91.0)</f>
        <v>91</v>
      </c>
      <c r="F619" s="3">
        <f>IFERROR(__xludf.DUMMYFUNCTION("SPLIT(C619, ""-"")"),1.0)</f>
        <v>1</v>
      </c>
      <c r="G619" s="3">
        <f>IFERROR(__xludf.DUMMYFUNCTION("""COMPUTED_VALUE"""),1.0)</f>
        <v>1</v>
      </c>
      <c r="I619" s="3" t="str">
        <f t="shared" si="1"/>
        <v/>
      </c>
      <c r="J619" s="3" t="str">
        <f t="shared" si="2"/>
        <v>y</v>
      </c>
      <c r="K619" s="3" t="str">
        <f t="shared" si="3"/>
        <v>y</v>
      </c>
      <c r="L619" s="3" t="str">
        <f t="shared" si="4"/>
        <v/>
      </c>
      <c r="N619" s="3" t="str">
        <f t="shared" si="5"/>
        <v/>
      </c>
      <c r="O619" s="3" t="str">
        <f t="shared" si="6"/>
        <v/>
      </c>
      <c r="Q619" s="3" t="str">
        <f t="shared" si="7"/>
        <v/>
      </c>
      <c r="U619" s="3">
        <f t="shared" si="8"/>
        <v>1</v>
      </c>
      <c r="V619" s="3" t="str">
        <f t="shared" si="9"/>
        <v>Överlapp</v>
      </c>
      <c r="W619" s="3">
        <f t="shared" si="10"/>
        <v>1</v>
      </c>
      <c r="X619" s="3">
        <f t="shared" si="11"/>
        <v>1</v>
      </c>
    </row>
    <row r="620">
      <c r="A620" s="1" t="s">
        <v>623</v>
      </c>
      <c r="B620" s="3" t="str">
        <f>IFERROR(__xludf.DUMMYFUNCTION("SPLIT(A620, "","")"),"21-61")</f>
        <v>21-61</v>
      </c>
      <c r="C620" s="3" t="str">
        <f>IFERROR(__xludf.DUMMYFUNCTION("""COMPUTED_VALUE"""),"60-60")</f>
        <v>60-60</v>
      </c>
      <c r="D620" s="3">
        <f>IFERROR(__xludf.DUMMYFUNCTION("SPLIT(B620, ""-"")"),21.0)</f>
        <v>21</v>
      </c>
      <c r="E620" s="3">
        <f>IFERROR(__xludf.DUMMYFUNCTION("""COMPUTED_VALUE"""),61.0)</f>
        <v>61</v>
      </c>
      <c r="F620" s="3">
        <f>IFERROR(__xludf.DUMMYFUNCTION("SPLIT(C620, ""-"")"),60.0)</f>
        <v>60</v>
      </c>
      <c r="G620" s="3">
        <f>IFERROR(__xludf.DUMMYFUNCTION("""COMPUTED_VALUE"""),60.0)</f>
        <v>60</v>
      </c>
      <c r="I620" s="3" t="str">
        <f t="shared" si="1"/>
        <v>y</v>
      </c>
      <c r="J620" s="3" t="str">
        <f t="shared" si="2"/>
        <v>y</v>
      </c>
      <c r="K620" s="3" t="str">
        <f t="shared" si="3"/>
        <v/>
      </c>
      <c r="L620" s="3" t="str">
        <f t="shared" si="4"/>
        <v/>
      </c>
      <c r="N620" s="3">
        <f t="shared" si="5"/>
        <v>1</v>
      </c>
      <c r="O620" s="3" t="str">
        <f t="shared" si="6"/>
        <v/>
      </c>
      <c r="Q620" s="3">
        <f t="shared" si="7"/>
        <v>1</v>
      </c>
      <c r="U620" s="3">
        <f t="shared" si="8"/>
        <v>1</v>
      </c>
      <c r="V620" s="3" t="str">
        <f t="shared" si="9"/>
        <v>Överlapp</v>
      </c>
      <c r="W620" s="3" t="str">
        <f t="shared" si="10"/>
        <v>Överlapp</v>
      </c>
      <c r="X620" s="3" t="str">
        <f t="shared" si="11"/>
        <v/>
      </c>
    </row>
    <row r="621">
      <c r="A621" s="1" t="s">
        <v>624</v>
      </c>
      <c r="B621" s="3" t="str">
        <f>IFERROR(__xludf.DUMMYFUNCTION("SPLIT(A621, "","")"),"84-93")</f>
        <v>84-93</v>
      </c>
      <c r="C621" s="3" t="str">
        <f>IFERROR(__xludf.DUMMYFUNCTION("""COMPUTED_VALUE"""),"34-97")</f>
        <v>34-97</v>
      </c>
      <c r="D621" s="3">
        <f>IFERROR(__xludf.DUMMYFUNCTION("SPLIT(B621, ""-"")"),84.0)</f>
        <v>84</v>
      </c>
      <c r="E621" s="3">
        <f>IFERROR(__xludf.DUMMYFUNCTION("""COMPUTED_VALUE"""),93.0)</f>
        <v>93</v>
      </c>
      <c r="F621" s="3">
        <f>IFERROR(__xludf.DUMMYFUNCTION("SPLIT(C621, ""-"")"),34.0)</f>
        <v>34</v>
      </c>
      <c r="G621" s="3">
        <f>IFERROR(__xludf.DUMMYFUNCTION("""COMPUTED_VALUE"""),97.0)</f>
        <v>97</v>
      </c>
      <c r="I621" s="3" t="str">
        <f t="shared" si="1"/>
        <v/>
      </c>
      <c r="J621" s="3" t="str">
        <f t="shared" si="2"/>
        <v/>
      </c>
      <c r="K621" s="3" t="str">
        <f t="shared" si="3"/>
        <v>y</v>
      </c>
      <c r="L621" s="3" t="str">
        <f t="shared" si="4"/>
        <v>y</v>
      </c>
      <c r="N621" s="3" t="str">
        <f t="shared" si="5"/>
        <v/>
      </c>
      <c r="O621" s="3">
        <f t="shared" si="6"/>
        <v>1</v>
      </c>
      <c r="Q621" s="3">
        <f t="shared" si="7"/>
        <v>1</v>
      </c>
      <c r="U621" s="3">
        <f t="shared" si="8"/>
        <v>1</v>
      </c>
      <c r="V621" s="3" t="str">
        <f t="shared" si="9"/>
        <v>Överlapp</v>
      </c>
      <c r="W621" s="3" t="str">
        <f t="shared" si="10"/>
        <v>Överlapp</v>
      </c>
      <c r="X621" s="3" t="str">
        <f t="shared" si="11"/>
        <v/>
      </c>
    </row>
    <row r="622">
      <c r="A622" s="1" t="s">
        <v>625</v>
      </c>
      <c r="B622" s="3" t="str">
        <f>IFERROR(__xludf.DUMMYFUNCTION("SPLIT(A622, "","")"),"63-81")</f>
        <v>63-81</v>
      </c>
      <c r="C622" s="3" t="str">
        <f>IFERROR(__xludf.DUMMYFUNCTION("""COMPUTED_VALUE"""),"60-80")</f>
        <v>60-80</v>
      </c>
      <c r="D622" s="3">
        <f>IFERROR(__xludf.DUMMYFUNCTION("SPLIT(B622, ""-"")"),63.0)</f>
        <v>63</v>
      </c>
      <c r="E622" s="3">
        <f>IFERROR(__xludf.DUMMYFUNCTION("""COMPUTED_VALUE"""),81.0)</f>
        <v>81</v>
      </c>
      <c r="F622" s="3">
        <f>IFERROR(__xludf.DUMMYFUNCTION("SPLIT(C622, ""-"")"),60.0)</f>
        <v>60</v>
      </c>
      <c r="G622" s="3">
        <f>IFERROR(__xludf.DUMMYFUNCTION("""COMPUTED_VALUE"""),80.0)</f>
        <v>80</v>
      </c>
      <c r="I622" s="3" t="str">
        <f t="shared" si="1"/>
        <v/>
      </c>
      <c r="J622" s="3" t="str">
        <f t="shared" si="2"/>
        <v>y</v>
      </c>
      <c r="K622" s="3" t="str">
        <f t="shared" si="3"/>
        <v>y</v>
      </c>
      <c r="L622" s="3" t="str">
        <f t="shared" si="4"/>
        <v/>
      </c>
      <c r="N622" s="3" t="str">
        <f t="shared" si="5"/>
        <v/>
      </c>
      <c r="O622" s="3" t="str">
        <f t="shared" si="6"/>
        <v/>
      </c>
      <c r="Q622" s="3" t="str">
        <f t="shared" si="7"/>
        <v/>
      </c>
      <c r="U622" s="3">
        <f t="shared" si="8"/>
        <v>1</v>
      </c>
      <c r="V622" s="3" t="str">
        <f t="shared" si="9"/>
        <v>Överlapp</v>
      </c>
      <c r="W622" s="3" t="str">
        <f t="shared" si="10"/>
        <v>Överlapp</v>
      </c>
      <c r="X622" s="3" t="str">
        <f t="shared" si="11"/>
        <v/>
      </c>
    </row>
    <row r="623">
      <c r="A623" s="1" t="s">
        <v>626</v>
      </c>
      <c r="B623" s="3" t="str">
        <f>IFERROR(__xludf.DUMMYFUNCTION("SPLIT(A623, "","")"),"3-97")</f>
        <v>3-97</v>
      </c>
      <c r="C623" s="4">
        <f>IFERROR(__xludf.DUMMYFUNCTION("""COMPUTED_VALUE"""),44655.0)</f>
        <v>44655</v>
      </c>
      <c r="D623" s="3">
        <f>IFERROR(__xludf.DUMMYFUNCTION("SPLIT(B623, ""-"")"),3.0)</f>
        <v>3</v>
      </c>
      <c r="E623" s="3">
        <f>IFERROR(__xludf.DUMMYFUNCTION("""COMPUTED_VALUE"""),97.0)</f>
        <v>97</v>
      </c>
      <c r="F623" s="3">
        <f>IFERROR(__xludf.DUMMYFUNCTION("SPLIT(C623, ""-"")"),4.0)</f>
        <v>4</v>
      </c>
      <c r="G623" s="3">
        <f>IFERROR(__xludf.DUMMYFUNCTION("""COMPUTED_VALUE"""),4.0)</f>
        <v>4</v>
      </c>
      <c r="I623" s="3" t="str">
        <f t="shared" si="1"/>
        <v>y</v>
      </c>
      <c r="J623" s="3" t="str">
        <f t="shared" si="2"/>
        <v>y</v>
      </c>
      <c r="K623" s="3" t="str">
        <f t="shared" si="3"/>
        <v/>
      </c>
      <c r="L623" s="3" t="str">
        <f t="shared" si="4"/>
        <v/>
      </c>
      <c r="N623" s="3">
        <f t="shared" si="5"/>
        <v>1</v>
      </c>
      <c r="O623" s="3" t="str">
        <f t="shared" si="6"/>
        <v/>
      </c>
      <c r="Q623" s="3">
        <f t="shared" si="7"/>
        <v>1</v>
      </c>
      <c r="U623" s="3">
        <f t="shared" si="8"/>
        <v>1</v>
      </c>
      <c r="V623" s="3" t="str">
        <f t="shared" si="9"/>
        <v>Överlapp</v>
      </c>
      <c r="W623" s="3" t="str">
        <f t="shared" si="10"/>
        <v>Överlapp</v>
      </c>
      <c r="X623" s="3" t="str">
        <f t="shared" si="11"/>
        <v/>
      </c>
    </row>
    <row r="624">
      <c r="A624" s="1" t="s">
        <v>627</v>
      </c>
      <c r="B624" s="3" t="str">
        <f>IFERROR(__xludf.DUMMYFUNCTION("SPLIT(A624, "","")"),"88-94")</f>
        <v>88-94</v>
      </c>
      <c r="C624" s="3" t="str">
        <f>IFERROR(__xludf.DUMMYFUNCTION("""COMPUTED_VALUE"""),"18-82")</f>
        <v>18-82</v>
      </c>
      <c r="D624" s="3">
        <f>IFERROR(__xludf.DUMMYFUNCTION("SPLIT(B624, ""-"")"),88.0)</f>
        <v>88</v>
      </c>
      <c r="E624" s="3">
        <f>IFERROR(__xludf.DUMMYFUNCTION("""COMPUTED_VALUE"""),94.0)</f>
        <v>94</v>
      </c>
      <c r="F624" s="3">
        <f>IFERROR(__xludf.DUMMYFUNCTION("SPLIT(C624, ""-"")"),18.0)</f>
        <v>18</v>
      </c>
      <c r="G624" s="3">
        <f>IFERROR(__xludf.DUMMYFUNCTION("""COMPUTED_VALUE"""),82.0)</f>
        <v>82</v>
      </c>
      <c r="I624" s="3" t="str">
        <f t="shared" si="1"/>
        <v/>
      </c>
      <c r="J624" s="3" t="str">
        <f t="shared" si="2"/>
        <v>y</v>
      </c>
      <c r="K624" s="3" t="str">
        <f t="shared" si="3"/>
        <v>y</v>
      </c>
      <c r="L624" s="3" t="str">
        <f t="shared" si="4"/>
        <v/>
      </c>
      <c r="N624" s="3" t="str">
        <f t="shared" si="5"/>
        <v/>
      </c>
      <c r="O624" s="3" t="str">
        <f t="shared" si="6"/>
        <v/>
      </c>
      <c r="Q624" s="3" t="str">
        <f t="shared" si="7"/>
        <v/>
      </c>
      <c r="U624" s="3">
        <f t="shared" si="8"/>
        <v>1</v>
      </c>
      <c r="V624" s="3" t="str">
        <f t="shared" si="9"/>
        <v>Överlapp</v>
      </c>
      <c r="W624" s="3">
        <f t="shared" si="10"/>
        <v>1</v>
      </c>
      <c r="X624" s="3">
        <f t="shared" si="11"/>
        <v>1</v>
      </c>
    </row>
    <row r="625">
      <c r="A625" s="1" t="s">
        <v>628</v>
      </c>
      <c r="B625" s="3" t="str">
        <f>IFERROR(__xludf.DUMMYFUNCTION("SPLIT(A625, "","")"),"1-96")</f>
        <v>1-96</v>
      </c>
      <c r="C625" s="3" t="str">
        <f>IFERROR(__xludf.DUMMYFUNCTION("""COMPUTED_VALUE"""),"96-97")</f>
        <v>96-97</v>
      </c>
      <c r="D625" s="3">
        <f>IFERROR(__xludf.DUMMYFUNCTION("SPLIT(B625, ""-"")"),1.0)</f>
        <v>1</v>
      </c>
      <c r="E625" s="3">
        <f>IFERROR(__xludf.DUMMYFUNCTION("""COMPUTED_VALUE"""),96.0)</f>
        <v>96</v>
      </c>
      <c r="F625" s="3">
        <f>IFERROR(__xludf.DUMMYFUNCTION("SPLIT(C625, ""-"")"),96.0)</f>
        <v>96</v>
      </c>
      <c r="G625" s="3">
        <f>IFERROR(__xludf.DUMMYFUNCTION("""COMPUTED_VALUE"""),97.0)</f>
        <v>97</v>
      </c>
      <c r="I625" s="3" t="str">
        <f t="shared" si="1"/>
        <v>y</v>
      </c>
      <c r="J625" s="3" t="str">
        <f t="shared" si="2"/>
        <v/>
      </c>
      <c r="K625" s="3" t="str">
        <f t="shared" si="3"/>
        <v/>
      </c>
      <c r="L625" s="3" t="str">
        <f t="shared" si="4"/>
        <v>y</v>
      </c>
      <c r="N625" s="3" t="str">
        <f t="shared" si="5"/>
        <v/>
      </c>
      <c r="O625" s="3" t="str">
        <f t="shared" si="6"/>
        <v/>
      </c>
      <c r="Q625" s="3" t="str">
        <f t="shared" si="7"/>
        <v/>
      </c>
      <c r="U625" s="3" t="str">
        <f t="shared" si="8"/>
        <v>Överlapp</v>
      </c>
      <c r="V625" s="3" t="str">
        <f t="shared" si="9"/>
        <v>Överlapp</v>
      </c>
      <c r="W625" s="3" t="str">
        <f t="shared" si="10"/>
        <v>Överlapp</v>
      </c>
      <c r="X625" s="3" t="str">
        <f t="shared" si="11"/>
        <v/>
      </c>
    </row>
    <row r="626">
      <c r="A626" s="1" t="s">
        <v>629</v>
      </c>
      <c r="B626" s="3" t="str">
        <f>IFERROR(__xludf.DUMMYFUNCTION("SPLIT(A626, "","")"),"1-64")</f>
        <v>1-64</v>
      </c>
      <c r="C626" s="3" t="str">
        <f>IFERROR(__xludf.DUMMYFUNCTION("""COMPUTED_VALUE"""),"1-64")</f>
        <v>1-64</v>
      </c>
      <c r="D626" s="3">
        <f>IFERROR(__xludf.DUMMYFUNCTION("SPLIT(B626, ""-"")"),1.0)</f>
        <v>1</v>
      </c>
      <c r="E626" s="3">
        <f>IFERROR(__xludf.DUMMYFUNCTION("""COMPUTED_VALUE"""),64.0)</f>
        <v>64</v>
      </c>
      <c r="F626" s="3">
        <f>IFERROR(__xludf.DUMMYFUNCTION("SPLIT(C626, ""-"")"),1.0)</f>
        <v>1</v>
      </c>
      <c r="G626" s="3">
        <f>IFERROR(__xludf.DUMMYFUNCTION("""COMPUTED_VALUE"""),64.0)</f>
        <v>64</v>
      </c>
      <c r="I626" s="3" t="str">
        <f t="shared" si="1"/>
        <v>y</v>
      </c>
      <c r="J626" s="3" t="str">
        <f t="shared" si="2"/>
        <v>y</v>
      </c>
      <c r="K626" s="3" t="str">
        <f t="shared" si="3"/>
        <v>y</v>
      </c>
      <c r="L626" s="3" t="str">
        <f t="shared" si="4"/>
        <v>y</v>
      </c>
      <c r="N626" s="3">
        <f t="shared" si="5"/>
        <v>1</v>
      </c>
      <c r="O626" s="3">
        <f t="shared" si="6"/>
        <v>1</v>
      </c>
      <c r="Q626" s="3">
        <f t="shared" si="7"/>
        <v>1</v>
      </c>
      <c r="U626" s="3" t="str">
        <f t="shared" si="8"/>
        <v>Överlapp</v>
      </c>
      <c r="V626" s="3" t="str">
        <f t="shared" si="9"/>
        <v>Överlapp</v>
      </c>
      <c r="W626" s="3" t="str">
        <f t="shared" si="10"/>
        <v>Överlapp</v>
      </c>
      <c r="X626" s="3" t="str">
        <f t="shared" si="11"/>
        <v/>
      </c>
    </row>
    <row r="627">
      <c r="A627" s="1" t="s">
        <v>630</v>
      </c>
      <c r="B627" s="3" t="str">
        <f>IFERROR(__xludf.DUMMYFUNCTION("SPLIT(A627, "","")"),"58-90")</f>
        <v>58-90</v>
      </c>
      <c r="C627" s="3" t="str">
        <f>IFERROR(__xludf.DUMMYFUNCTION("""COMPUTED_VALUE"""),"40-74")</f>
        <v>40-74</v>
      </c>
      <c r="D627" s="3">
        <f>IFERROR(__xludf.DUMMYFUNCTION("SPLIT(B627, ""-"")"),58.0)</f>
        <v>58</v>
      </c>
      <c r="E627" s="3">
        <f>IFERROR(__xludf.DUMMYFUNCTION("""COMPUTED_VALUE"""),90.0)</f>
        <v>90</v>
      </c>
      <c r="F627" s="3">
        <f>IFERROR(__xludf.DUMMYFUNCTION("SPLIT(C627, ""-"")"),40.0)</f>
        <v>40</v>
      </c>
      <c r="G627" s="3">
        <f>IFERROR(__xludf.DUMMYFUNCTION("""COMPUTED_VALUE"""),74.0)</f>
        <v>74</v>
      </c>
      <c r="I627" s="3" t="str">
        <f t="shared" si="1"/>
        <v/>
      </c>
      <c r="J627" s="3" t="str">
        <f t="shared" si="2"/>
        <v>y</v>
      </c>
      <c r="K627" s="3" t="str">
        <f t="shared" si="3"/>
        <v>y</v>
      </c>
      <c r="L627" s="3" t="str">
        <f t="shared" si="4"/>
        <v/>
      </c>
      <c r="N627" s="3" t="str">
        <f t="shared" si="5"/>
        <v/>
      </c>
      <c r="O627" s="3" t="str">
        <f t="shared" si="6"/>
        <v/>
      </c>
      <c r="Q627" s="3" t="str">
        <f t="shared" si="7"/>
        <v/>
      </c>
      <c r="U627" s="3">
        <f t="shared" si="8"/>
        <v>1</v>
      </c>
      <c r="V627" s="3" t="str">
        <f t="shared" si="9"/>
        <v>Överlapp</v>
      </c>
      <c r="W627" s="3" t="str">
        <f t="shared" si="10"/>
        <v>Överlapp</v>
      </c>
      <c r="X627" s="3" t="str">
        <f t="shared" si="11"/>
        <v/>
      </c>
    </row>
    <row r="628">
      <c r="A628" s="1" t="s">
        <v>631</v>
      </c>
      <c r="B628" s="3" t="str">
        <f>IFERROR(__xludf.DUMMYFUNCTION("SPLIT(A628, "","")"),"12-99")</f>
        <v>12-99</v>
      </c>
      <c r="C628" s="3" t="str">
        <f>IFERROR(__xludf.DUMMYFUNCTION("""COMPUTED_VALUE"""),"12-99")</f>
        <v>12-99</v>
      </c>
      <c r="D628" s="3">
        <f>IFERROR(__xludf.DUMMYFUNCTION("SPLIT(B628, ""-"")"),12.0)</f>
        <v>12</v>
      </c>
      <c r="E628" s="3">
        <f>IFERROR(__xludf.DUMMYFUNCTION("""COMPUTED_VALUE"""),99.0)</f>
        <v>99</v>
      </c>
      <c r="F628" s="3">
        <f>IFERROR(__xludf.DUMMYFUNCTION("SPLIT(C628, ""-"")"),12.0)</f>
        <v>12</v>
      </c>
      <c r="G628" s="3">
        <f>IFERROR(__xludf.DUMMYFUNCTION("""COMPUTED_VALUE"""),99.0)</f>
        <v>99</v>
      </c>
      <c r="I628" s="3" t="str">
        <f t="shared" si="1"/>
        <v>y</v>
      </c>
      <c r="J628" s="3" t="str">
        <f t="shared" si="2"/>
        <v>y</v>
      </c>
      <c r="K628" s="3" t="str">
        <f t="shared" si="3"/>
        <v>y</v>
      </c>
      <c r="L628" s="3" t="str">
        <f t="shared" si="4"/>
        <v>y</v>
      </c>
      <c r="N628" s="3">
        <f t="shared" si="5"/>
        <v>1</v>
      </c>
      <c r="O628" s="3">
        <f t="shared" si="6"/>
        <v>1</v>
      </c>
      <c r="Q628" s="3">
        <f t="shared" si="7"/>
        <v>1</v>
      </c>
      <c r="U628" s="3" t="str">
        <f t="shared" si="8"/>
        <v>Överlapp</v>
      </c>
      <c r="V628" s="3" t="str">
        <f t="shared" si="9"/>
        <v>Överlapp</v>
      </c>
      <c r="W628" s="3" t="str">
        <f t="shared" si="10"/>
        <v>Överlapp</v>
      </c>
      <c r="X628" s="3" t="str">
        <f t="shared" si="11"/>
        <v/>
      </c>
    </row>
    <row r="629">
      <c r="A629" s="1" t="s">
        <v>632</v>
      </c>
      <c r="B629" s="3" t="str">
        <f>IFERROR(__xludf.DUMMYFUNCTION("SPLIT(A629, "","")"),"65-98")</f>
        <v>65-98</v>
      </c>
      <c r="C629" s="3" t="str">
        <f>IFERROR(__xludf.DUMMYFUNCTION("""COMPUTED_VALUE"""),"98-99")</f>
        <v>98-99</v>
      </c>
      <c r="D629" s="3">
        <f>IFERROR(__xludf.DUMMYFUNCTION("SPLIT(B629, ""-"")"),65.0)</f>
        <v>65</v>
      </c>
      <c r="E629" s="3">
        <f>IFERROR(__xludf.DUMMYFUNCTION("""COMPUTED_VALUE"""),98.0)</f>
        <v>98</v>
      </c>
      <c r="F629" s="3">
        <f>IFERROR(__xludf.DUMMYFUNCTION("SPLIT(C629, ""-"")"),98.0)</f>
        <v>98</v>
      </c>
      <c r="G629" s="3">
        <f>IFERROR(__xludf.DUMMYFUNCTION("""COMPUTED_VALUE"""),99.0)</f>
        <v>99</v>
      </c>
      <c r="I629" s="3" t="str">
        <f t="shared" si="1"/>
        <v>y</v>
      </c>
      <c r="J629" s="3" t="str">
        <f t="shared" si="2"/>
        <v/>
      </c>
      <c r="K629" s="3" t="str">
        <f t="shared" si="3"/>
        <v/>
      </c>
      <c r="L629" s="3" t="str">
        <f t="shared" si="4"/>
        <v>y</v>
      </c>
      <c r="N629" s="3" t="str">
        <f t="shared" si="5"/>
        <v/>
      </c>
      <c r="O629" s="3" t="str">
        <f t="shared" si="6"/>
        <v/>
      </c>
      <c r="Q629" s="3" t="str">
        <f t="shared" si="7"/>
        <v/>
      </c>
      <c r="U629" s="3" t="str">
        <f t="shared" si="8"/>
        <v>Överlapp</v>
      </c>
      <c r="V629" s="3" t="str">
        <f t="shared" si="9"/>
        <v>Överlapp</v>
      </c>
      <c r="W629" s="3" t="str">
        <f t="shared" si="10"/>
        <v>Överlapp</v>
      </c>
      <c r="X629" s="3" t="str">
        <f t="shared" si="11"/>
        <v/>
      </c>
    </row>
    <row r="630">
      <c r="A630" s="1" t="s">
        <v>633</v>
      </c>
      <c r="B630" s="3" t="str">
        <f>IFERROR(__xludf.DUMMYFUNCTION("SPLIT(A630, "","")"),"6-89")</f>
        <v>6-89</v>
      </c>
      <c r="C630" s="3" t="str">
        <f>IFERROR(__xludf.DUMMYFUNCTION("""COMPUTED_VALUE"""),"68-74")</f>
        <v>68-74</v>
      </c>
      <c r="D630" s="3">
        <f>IFERROR(__xludf.DUMMYFUNCTION("SPLIT(B630, ""-"")"),6.0)</f>
        <v>6</v>
      </c>
      <c r="E630" s="3">
        <f>IFERROR(__xludf.DUMMYFUNCTION("""COMPUTED_VALUE"""),89.0)</f>
        <v>89</v>
      </c>
      <c r="F630" s="3">
        <f>IFERROR(__xludf.DUMMYFUNCTION("SPLIT(C630, ""-"")"),68.0)</f>
        <v>68</v>
      </c>
      <c r="G630" s="3">
        <f>IFERROR(__xludf.DUMMYFUNCTION("""COMPUTED_VALUE"""),74.0)</f>
        <v>74</v>
      </c>
      <c r="I630" s="3" t="str">
        <f t="shared" si="1"/>
        <v>y</v>
      </c>
      <c r="J630" s="3" t="str">
        <f t="shared" si="2"/>
        <v>y</v>
      </c>
      <c r="K630" s="3" t="str">
        <f t="shared" si="3"/>
        <v/>
      </c>
      <c r="L630" s="3" t="str">
        <f t="shared" si="4"/>
        <v/>
      </c>
      <c r="N630" s="3">
        <f t="shared" si="5"/>
        <v>1</v>
      </c>
      <c r="O630" s="3" t="str">
        <f t="shared" si="6"/>
        <v/>
      </c>
      <c r="Q630" s="3">
        <f t="shared" si="7"/>
        <v>1</v>
      </c>
      <c r="U630" s="3">
        <f t="shared" si="8"/>
        <v>1</v>
      </c>
      <c r="V630" s="3" t="str">
        <f t="shared" si="9"/>
        <v>Överlapp</v>
      </c>
      <c r="W630" s="3" t="str">
        <f t="shared" si="10"/>
        <v>Överlapp</v>
      </c>
      <c r="X630" s="3" t="str">
        <f t="shared" si="11"/>
        <v/>
      </c>
    </row>
    <row r="631">
      <c r="A631" s="1" t="s">
        <v>634</v>
      </c>
      <c r="B631" s="3" t="str">
        <f>IFERROR(__xludf.DUMMYFUNCTION("SPLIT(A631, "","")"),"65-89")</f>
        <v>65-89</v>
      </c>
      <c r="C631" s="3" t="str">
        <f>IFERROR(__xludf.DUMMYFUNCTION("""COMPUTED_VALUE"""),"89-89")</f>
        <v>89-89</v>
      </c>
      <c r="D631" s="3">
        <f>IFERROR(__xludf.DUMMYFUNCTION("SPLIT(B631, ""-"")"),65.0)</f>
        <v>65</v>
      </c>
      <c r="E631" s="3">
        <f>IFERROR(__xludf.DUMMYFUNCTION("""COMPUTED_VALUE"""),89.0)</f>
        <v>89</v>
      </c>
      <c r="F631" s="3">
        <f>IFERROR(__xludf.DUMMYFUNCTION("SPLIT(C631, ""-"")"),89.0)</f>
        <v>89</v>
      </c>
      <c r="G631" s="3">
        <f>IFERROR(__xludf.DUMMYFUNCTION("""COMPUTED_VALUE"""),89.0)</f>
        <v>89</v>
      </c>
      <c r="I631" s="3" t="str">
        <f t="shared" si="1"/>
        <v>y</v>
      </c>
      <c r="J631" s="3" t="str">
        <f t="shared" si="2"/>
        <v>y</v>
      </c>
      <c r="K631" s="3" t="str">
        <f t="shared" si="3"/>
        <v/>
      </c>
      <c r="L631" s="3" t="str">
        <f t="shared" si="4"/>
        <v>y</v>
      </c>
      <c r="N631" s="3">
        <f t="shared" si="5"/>
        <v>1</v>
      </c>
      <c r="O631" s="3" t="str">
        <f t="shared" si="6"/>
        <v/>
      </c>
      <c r="Q631" s="3">
        <f t="shared" si="7"/>
        <v>1</v>
      </c>
      <c r="U631" s="3" t="str">
        <f t="shared" si="8"/>
        <v>Överlapp</v>
      </c>
      <c r="V631" s="3" t="str">
        <f t="shared" si="9"/>
        <v>Överlapp</v>
      </c>
      <c r="W631" s="3" t="str">
        <f t="shared" si="10"/>
        <v>Överlapp</v>
      </c>
      <c r="X631" s="3" t="str">
        <f t="shared" si="11"/>
        <v/>
      </c>
    </row>
    <row r="632">
      <c r="A632" s="1" t="s">
        <v>635</v>
      </c>
      <c r="B632" s="3" t="str">
        <f>IFERROR(__xludf.DUMMYFUNCTION("SPLIT(A632, "","")"),"2-94")</f>
        <v>2-94</v>
      </c>
      <c r="C632" s="3" t="str">
        <f>IFERROR(__xludf.DUMMYFUNCTION("""COMPUTED_VALUE"""),"10-97")</f>
        <v>10-97</v>
      </c>
      <c r="D632" s="3">
        <f>IFERROR(__xludf.DUMMYFUNCTION("SPLIT(B632, ""-"")"),2.0)</f>
        <v>2</v>
      </c>
      <c r="E632" s="3">
        <f>IFERROR(__xludf.DUMMYFUNCTION("""COMPUTED_VALUE"""),94.0)</f>
        <v>94</v>
      </c>
      <c r="F632" s="3">
        <f>IFERROR(__xludf.DUMMYFUNCTION("SPLIT(C632, ""-"")"),10.0)</f>
        <v>10</v>
      </c>
      <c r="G632" s="3">
        <f>IFERROR(__xludf.DUMMYFUNCTION("""COMPUTED_VALUE"""),97.0)</f>
        <v>97</v>
      </c>
      <c r="I632" s="3" t="str">
        <f t="shared" si="1"/>
        <v>y</v>
      </c>
      <c r="J632" s="3" t="str">
        <f t="shared" si="2"/>
        <v/>
      </c>
      <c r="K632" s="3" t="str">
        <f t="shared" si="3"/>
        <v/>
      </c>
      <c r="L632" s="3" t="str">
        <f t="shared" si="4"/>
        <v>y</v>
      </c>
      <c r="N632" s="3" t="str">
        <f t="shared" si="5"/>
        <v/>
      </c>
      <c r="O632" s="3" t="str">
        <f t="shared" si="6"/>
        <v/>
      </c>
      <c r="Q632" s="3" t="str">
        <f t="shared" si="7"/>
        <v/>
      </c>
      <c r="U632" s="3">
        <f t="shared" si="8"/>
        <v>1</v>
      </c>
      <c r="V632" s="3" t="str">
        <f t="shared" si="9"/>
        <v>Överlapp</v>
      </c>
      <c r="W632" s="3" t="str">
        <f t="shared" si="10"/>
        <v>Överlapp</v>
      </c>
      <c r="X632" s="3" t="str">
        <f t="shared" si="11"/>
        <v/>
      </c>
    </row>
    <row r="633">
      <c r="A633" s="1" t="s">
        <v>636</v>
      </c>
      <c r="B633" s="3" t="str">
        <f>IFERROR(__xludf.DUMMYFUNCTION("SPLIT(A633, "","")"),"4-71")</f>
        <v>4-71</v>
      </c>
      <c r="C633" s="3" t="str">
        <f>IFERROR(__xludf.DUMMYFUNCTION("""COMPUTED_VALUE"""),"80-87")</f>
        <v>80-87</v>
      </c>
      <c r="D633" s="3">
        <f>IFERROR(__xludf.DUMMYFUNCTION("SPLIT(B633, ""-"")"),4.0)</f>
        <v>4</v>
      </c>
      <c r="E633" s="3">
        <f>IFERROR(__xludf.DUMMYFUNCTION("""COMPUTED_VALUE"""),71.0)</f>
        <v>71</v>
      </c>
      <c r="F633" s="3">
        <f>IFERROR(__xludf.DUMMYFUNCTION("SPLIT(C633, ""-"")"),80.0)</f>
        <v>80</v>
      </c>
      <c r="G633" s="3">
        <f>IFERROR(__xludf.DUMMYFUNCTION("""COMPUTED_VALUE"""),87.0)</f>
        <v>87</v>
      </c>
      <c r="I633" s="3" t="str">
        <f t="shared" si="1"/>
        <v>y</v>
      </c>
      <c r="J633" s="3" t="str">
        <f t="shared" si="2"/>
        <v/>
      </c>
      <c r="K633" s="3" t="str">
        <f t="shared" si="3"/>
        <v/>
      </c>
      <c r="L633" s="3" t="str">
        <f t="shared" si="4"/>
        <v>y</v>
      </c>
      <c r="N633" s="3" t="str">
        <f t="shared" si="5"/>
        <v/>
      </c>
      <c r="O633" s="3" t="str">
        <f t="shared" si="6"/>
        <v/>
      </c>
      <c r="Q633" s="3" t="str">
        <f t="shared" si="7"/>
        <v/>
      </c>
      <c r="U633" s="3">
        <f t="shared" si="8"/>
        <v>1</v>
      </c>
      <c r="V633" s="3">
        <f t="shared" si="9"/>
        <v>1</v>
      </c>
      <c r="W633" s="3" t="str">
        <f t="shared" si="10"/>
        <v>Överlapp</v>
      </c>
      <c r="X633" s="3">
        <f t="shared" si="11"/>
        <v>1</v>
      </c>
    </row>
    <row r="634">
      <c r="A634" s="1" t="s">
        <v>637</v>
      </c>
      <c r="B634" s="4">
        <f>IFERROR(__xludf.DUMMYFUNCTION("SPLIT(A634, "","")"),44844.0)</f>
        <v>44844</v>
      </c>
      <c r="C634" s="3" t="str">
        <f>IFERROR(__xludf.DUMMYFUNCTION("""COMPUTED_VALUE"""),"10-27")</f>
        <v>10-27</v>
      </c>
      <c r="D634" s="3">
        <f>IFERROR(__xludf.DUMMYFUNCTION("SPLIT(B634, ""-"")"),10.0)</f>
        <v>10</v>
      </c>
      <c r="E634" s="3">
        <f>IFERROR(__xludf.DUMMYFUNCTION("""COMPUTED_VALUE"""),10.0)</f>
        <v>10</v>
      </c>
      <c r="F634" s="3">
        <f>IFERROR(__xludf.DUMMYFUNCTION("SPLIT(C634, ""-"")"),10.0)</f>
        <v>10</v>
      </c>
      <c r="G634" s="3">
        <f>IFERROR(__xludf.DUMMYFUNCTION("""COMPUTED_VALUE"""),27.0)</f>
        <v>27</v>
      </c>
      <c r="I634" s="3" t="str">
        <f t="shared" si="1"/>
        <v>y</v>
      </c>
      <c r="J634" s="3" t="str">
        <f t="shared" si="2"/>
        <v/>
      </c>
      <c r="K634" s="3" t="str">
        <f t="shared" si="3"/>
        <v>y</v>
      </c>
      <c r="L634" s="3" t="str">
        <f t="shared" si="4"/>
        <v>y</v>
      </c>
      <c r="N634" s="3" t="str">
        <f t="shared" si="5"/>
        <v/>
      </c>
      <c r="O634" s="3">
        <f t="shared" si="6"/>
        <v>1</v>
      </c>
      <c r="Q634" s="3">
        <f t="shared" si="7"/>
        <v>1</v>
      </c>
      <c r="U634" s="3" t="str">
        <f t="shared" si="8"/>
        <v>Överlapp</v>
      </c>
      <c r="V634" s="3" t="str">
        <f t="shared" si="9"/>
        <v>Överlapp</v>
      </c>
      <c r="W634" s="3" t="str">
        <f t="shared" si="10"/>
        <v>Överlapp</v>
      </c>
      <c r="X634" s="3" t="str">
        <f t="shared" si="11"/>
        <v/>
      </c>
    </row>
    <row r="635">
      <c r="A635" s="1" t="s">
        <v>638</v>
      </c>
      <c r="B635" s="3" t="str">
        <f>IFERROR(__xludf.DUMMYFUNCTION("SPLIT(A635, "","")"),"60-95")</f>
        <v>60-95</v>
      </c>
      <c r="C635" s="3" t="str">
        <f>IFERROR(__xludf.DUMMYFUNCTION("""COMPUTED_VALUE"""),"95-96")</f>
        <v>95-96</v>
      </c>
      <c r="D635" s="3">
        <f>IFERROR(__xludf.DUMMYFUNCTION("SPLIT(B635, ""-"")"),60.0)</f>
        <v>60</v>
      </c>
      <c r="E635" s="3">
        <f>IFERROR(__xludf.DUMMYFUNCTION("""COMPUTED_VALUE"""),95.0)</f>
        <v>95</v>
      </c>
      <c r="F635" s="3">
        <f>IFERROR(__xludf.DUMMYFUNCTION("SPLIT(C635, ""-"")"),95.0)</f>
        <v>95</v>
      </c>
      <c r="G635" s="3">
        <f>IFERROR(__xludf.DUMMYFUNCTION("""COMPUTED_VALUE"""),96.0)</f>
        <v>96</v>
      </c>
      <c r="I635" s="3" t="str">
        <f t="shared" si="1"/>
        <v>y</v>
      </c>
      <c r="J635" s="3" t="str">
        <f t="shared" si="2"/>
        <v/>
      </c>
      <c r="K635" s="3" t="str">
        <f t="shared" si="3"/>
        <v/>
      </c>
      <c r="L635" s="3" t="str">
        <f t="shared" si="4"/>
        <v>y</v>
      </c>
      <c r="N635" s="3" t="str">
        <f t="shared" si="5"/>
        <v/>
      </c>
      <c r="O635" s="3" t="str">
        <f t="shared" si="6"/>
        <v/>
      </c>
      <c r="Q635" s="3" t="str">
        <f t="shared" si="7"/>
        <v/>
      </c>
      <c r="U635" s="3" t="str">
        <f t="shared" si="8"/>
        <v>Överlapp</v>
      </c>
      <c r="V635" s="3" t="str">
        <f t="shared" si="9"/>
        <v>Överlapp</v>
      </c>
      <c r="W635" s="3" t="str">
        <f t="shared" si="10"/>
        <v>Överlapp</v>
      </c>
      <c r="X635" s="3" t="str">
        <f t="shared" si="11"/>
        <v/>
      </c>
    </row>
    <row r="636">
      <c r="A636" s="1" t="s">
        <v>639</v>
      </c>
      <c r="B636" s="3" t="str">
        <f>IFERROR(__xludf.DUMMYFUNCTION("SPLIT(A636, "","")"),"28-80")</f>
        <v>28-80</v>
      </c>
      <c r="C636" s="3" t="str">
        <f>IFERROR(__xludf.DUMMYFUNCTION("""COMPUTED_VALUE"""),"79-89")</f>
        <v>79-89</v>
      </c>
      <c r="D636" s="3">
        <f>IFERROR(__xludf.DUMMYFUNCTION("SPLIT(B636, ""-"")"),28.0)</f>
        <v>28</v>
      </c>
      <c r="E636" s="3">
        <f>IFERROR(__xludf.DUMMYFUNCTION("""COMPUTED_VALUE"""),80.0)</f>
        <v>80</v>
      </c>
      <c r="F636" s="3">
        <f>IFERROR(__xludf.DUMMYFUNCTION("SPLIT(C636, ""-"")"),79.0)</f>
        <v>79</v>
      </c>
      <c r="G636" s="3">
        <f>IFERROR(__xludf.DUMMYFUNCTION("""COMPUTED_VALUE"""),89.0)</f>
        <v>89</v>
      </c>
      <c r="I636" s="3" t="str">
        <f t="shared" si="1"/>
        <v>y</v>
      </c>
      <c r="J636" s="3" t="str">
        <f t="shared" si="2"/>
        <v/>
      </c>
      <c r="K636" s="3" t="str">
        <f t="shared" si="3"/>
        <v/>
      </c>
      <c r="L636" s="3" t="str">
        <f t="shared" si="4"/>
        <v>y</v>
      </c>
      <c r="N636" s="3" t="str">
        <f t="shared" si="5"/>
        <v/>
      </c>
      <c r="O636" s="3" t="str">
        <f t="shared" si="6"/>
        <v/>
      </c>
      <c r="Q636" s="3" t="str">
        <f t="shared" si="7"/>
        <v/>
      </c>
      <c r="U636" s="3">
        <f t="shared" si="8"/>
        <v>1</v>
      </c>
      <c r="V636" s="3" t="str">
        <f t="shared" si="9"/>
        <v>Överlapp</v>
      </c>
      <c r="W636" s="3" t="str">
        <f t="shared" si="10"/>
        <v>Överlapp</v>
      </c>
      <c r="X636" s="3" t="str">
        <f t="shared" si="11"/>
        <v/>
      </c>
    </row>
    <row r="637">
      <c r="A637" s="1" t="s">
        <v>640</v>
      </c>
      <c r="B637" s="3" t="str">
        <f>IFERROR(__xludf.DUMMYFUNCTION("SPLIT(A637, "","")"),"9-80")</f>
        <v>9-80</v>
      </c>
      <c r="C637" s="3" t="str">
        <f>IFERROR(__xludf.DUMMYFUNCTION("""COMPUTED_VALUE"""),"9-80")</f>
        <v>9-80</v>
      </c>
      <c r="D637" s="3">
        <f>IFERROR(__xludf.DUMMYFUNCTION("SPLIT(B637, ""-"")"),9.0)</f>
        <v>9</v>
      </c>
      <c r="E637" s="3">
        <f>IFERROR(__xludf.DUMMYFUNCTION("""COMPUTED_VALUE"""),80.0)</f>
        <v>80</v>
      </c>
      <c r="F637" s="3">
        <f>IFERROR(__xludf.DUMMYFUNCTION("SPLIT(C637, ""-"")"),9.0)</f>
        <v>9</v>
      </c>
      <c r="G637" s="3">
        <f>IFERROR(__xludf.DUMMYFUNCTION("""COMPUTED_VALUE"""),80.0)</f>
        <v>80</v>
      </c>
      <c r="I637" s="3" t="str">
        <f t="shared" si="1"/>
        <v>y</v>
      </c>
      <c r="J637" s="3" t="str">
        <f t="shared" si="2"/>
        <v>y</v>
      </c>
      <c r="K637" s="3" t="str">
        <f t="shared" si="3"/>
        <v>y</v>
      </c>
      <c r="L637" s="3" t="str">
        <f t="shared" si="4"/>
        <v>y</v>
      </c>
      <c r="N637" s="3">
        <f t="shared" si="5"/>
        <v>1</v>
      </c>
      <c r="O637" s="3">
        <f t="shared" si="6"/>
        <v>1</v>
      </c>
      <c r="Q637" s="3">
        <f t="shared" si="7"/>
        <v>1</v>
      </c>
      <c r="U637" s="3" t="str">
        <f t="shared" si="8"/>
        <v>Överlapp</v>
      </c>
      <c r="V637" s="3" t="str">
        <f t="shared" si="9"/>
        <v>Överlapp</v>
      </c>
      <c r="W637" s="3" t="str">
        <f t="shared" si="10"/>
        <v>Överlapp</v>
      </c>
      <c r="X637" s="3" t="str">
        <f t="shared" si="11"/>
        <v/>
      </c>
    </row>
    <row r="638">
      <c r="A638" s="1" t="s">
        <v>641</v>
      </c>
      <c r="B638" s="3" t="str">
        <f>IFERROR(__xludf.DUMMYFUNCTION("SPLIT(A638, "","")"),"69-72")</f>
        <v>69-72</v>
      </c>
      <c r="C638" s="3" t="str">
        <f>IFERROR(__xludf.DUMMYFUNCTION("""COMPUTED_VALUE"""),"70-82")</f>
        <v>70-82</v>
      </c>
      <c r="D638" s="3">
        <f>IFERROR(__xludf.DUMMYFUNCTION("SPLIT(B638, ""-"")"),69.0)</f>
        <v>69</v>
      </c>
      <c r="E638" s="3">
        <f>IFERROR(__xludf.DUMMYFUNCTION("""COMPUTED_VALUE"""),72.0)</f>
        <v>72</v>
      </c>
      <c r="F638" s="3">
        <f>IFERROR(__xludf.DUMMYFUNCTION("SPLIT(C638, ""-"")"),70.0)</f>
        <v>70</v>
      </c>
      <c r="G638" s="3">
        <f>IFERROR(__xludf.DUMMYFUNCTION("""COMPUTED_VALUE"""),82.0)</f>
        <v>82</v>
      </c>
      <c r="I638" s="3" t="str">
        <f t="shared" si="1"/>
        <v>y</v>
      </c>
      <c r="J638" s="3" t="str">
        <f t="shared" si="2"/>
        <v/>
      </c>
      <c r="K638" s="3" t="str">
        <f t="shared" si="3"/>
        <v/>
      </c>
      <c r="L638" s="3" t="str">
        <f t="shared" si="4"/>
        <v>y</v>
      </c>
      <c r="N638" s="3" t="str">
        <f t="shared" si="5"/>
        <v/>
      </c>
      <c r="O638" s="3" t="str">
        <f t="shared" si="6"/>
        <v/>
      </c>
      <c r="Q638" s="3" t="str">
        <f t="shared" si="7"/>
        <v/>
      </c>
      <c r="U638" s="3">
        <f t="shared" si="8"/>
        <v>1</v>
      </c>
      <c r="V638" s="3" t="str">
        <f t="shared" si="9"/>
        <v>Överlapp</v>
      </c>
      <c r="W638" s="3" t="str">
        <f t="shared" si="10"/>
        <v>Överlapp</v>
      </c>
      <c r="X638" s="3" t="str">
        <f t="shared" si="11"/>
        <v/>
      </c>
    </row>
    <row r="639">
      <c r="A639" s="1" t="s">
        <v>642</v>
      </c>
      <c r="B639" s="3" t="str">
        <f>IFERROR(__xludf.DUMMYFUNCTION("SPLIT(A639, "","")"),"26-26")</f>
        <v>26-26</v>
      </c>
      <c r="C639" s="3" t="str">
        <f>IFERROR(__xludf.DUMMYFUNCTION("""COMPUTED_VALUE"""),"27-27")</f>
        <v>27-27</v>
      </c>
      <c r="D639" s="3">
        <f>IFERROR(__xludf.DUMMYFUNCTION("SPLIT(B639, ""-"")"),26.0)</f>
        <v>26</v>
      </c>
      <c r="E639" s="3">
        <f>IFERROR(__xludf.DUMMYFUNCTION("""COMPUTED_VALUE"""),26.0)</f>
        <v>26</v>
      </c>
      <c r="F639" s="3">
        <f>IFERROR(__xludf.DUMMYFUNCTION("SPLIT(C639, ""-"")"),27.0)</f>
        <v>27</v>
      </c>
      <c r="G639" s="3">
        <f>IFERROR(__xludf.DUMMYFUNCTION("""COMPUTED_VALUE"""),27.0)</f>
        <v>27</v>
      </c>
      <c r="I639" s="3" t="str">
        <f t="shared" si="1"/>
        <v>y</v>
      </c>
      <c r="J639" s="3" t="str">
        <f t="shared" si="2"/>
        <v/>
      </c>
      <c r="K639" s="3" t="str">
        <f t="shared" si="3"/>
        <v/>
      </c>
      <c r="L639" s="3" t="str">
        <f t="shared" si="4"/>
        <v>y</v>
      </c>
      <c r="N639" s="3" t="str">
        <f t="shared" si="5"/>
        <v/>
      </c>
      <c r="O639" s="3" t="str">
        <f t="shared" si="6"/>
        <v/>
      </c>
      <c r="Q639" s="3" t="str">
        <f t="shared" si="7"/>
        <v/>
      </c>
      <c r="U639" s="3">
        <f t="shared" si="8"/>
        <v>1</v>
      </c>
      <c r="V639" s="3">
        <f t="shared" si="9"/>
        <v>1</v>
      </c>
      <c r="W639" s="3" t="str">
        <f t="shared" si="10"/>
        <v>Överlapp</v>
      </c>
      <c r="X639" s="3">
        <f t="shared" si="11"/>
        <v>1</v>
      </c>
    </row>
    <row r="640">
      <c r="A640" s="1" t="s">
        <v>643</v>
      </c>
      <c r="B640" s="3" t="str">
        <f>IFERROR(__xludf.DUMMYFUNCTION("SPLIT(A640, "","")"),"19-97")</f>
        <v>19-97</v>
      </c>
      <c r="C640" s="3" t="str">
        <f>IFERROR(__xludf.DUMMYFUNCTION("""COMPUTED_VALUE"""),"97-99")</f>
        <v>97-99</v>
      </c>
      <c r="D640" s="3">
        <f>IFERROR(__xludf.DUMMYFUNCTION("SPLIT(B640, ""-"")"),19.0)</f>
        <v>19</v>
      </c>
      <c r="E640" s="3">
        <f>IFERROR(__xludf.DUMMYFUNCTION("""COMPUTED_VALUE"""),97.0)</f>
        <v>97</v>
      </c>
      <c r="F640" s="3">
        <f>IFERROR(__xludf.DUMMYFUNCTION("SPLIT(C640, ""-"")"),97.0)</f>
        <v>97</v>
      </c>
      <c r="G640" s="3">
        <f>IFERROR(__xludf.DUMMYFUNCTION("""COMPUTED_VALUE"""),99.0)</f>
        <v>99</v>
      </c>
      <c r="I640" s="3" t="str">
        <f t="shared" si="1"/>
        <v>y</v>
      </c>
      <c r="J640" s="3" t="str">
        <f t="shared" si="2"/>
        <v/>
      </c>
      <c r="K640" s="3" t="str">
        <f t="shared" si="3"/>
        <v/>
      </c>
      <c r="L640" s="3" t="str">
        <f t="shared" si="4"/>
        <v>y</v>
      </c>
      <c r="N640" s="3" t="str">
        <f t="shared" si="5"/>
        <v/>
      </c>
      <c r="O640" s="3" t="str">
        <f t="shared" si="6"/>
        <v/>
      </c>
      <c r="Q640" s="3" t="str">
        <f t="shared" si="7"/>
        <v/>
      </c>
      <c r="U640" s="3" t="str">
        <f t="shared" si="8"/>
        <v>Överlapp</v>
      </c>
      <c r="V640" s="3" t="str">
        <f t="shared" si="9"/>
        <v>Överlapp</v>
      </c>
      <c r="W640" s="3" t="str">
        <f t="shared" si="10"/>
        <v>Överlapp</v>
      </c>
      <c r="X640" s="3" t="str">
        <f t="shared" si="11"/>
        <v/>
      </c>
    </row>
    <row r="641">
      <c r="A641" s="1" t="s">
        <v>644</v>
      </c>
      <c r="B641" s="3" t="str">
        <f>IFERROR(__xludf.DUMMYFUNCTION("SPLIT(A641, "","")"),"32-75")</f>
        <v>32-75</v>
      </c>
      <c r="C641" s="3" t="str">
        <f>IFERROR(__xludf.DUMMYFUNCTION("""COMPUTED_VALUE"""),"33-89")</f>
        <v>33-89</v>
      </c>
      <c r="D641" s="3">
        <f>IFERROR(__xludf.DUMMYFUNCTION("SPLIT(B641, ""-"")"),32.0)</f>
        <v>32</v>
      </c>
      <c r="E641" s="3">
        <f>IFERROR(__xludf.DUMMYFUNCTION("""COMPUTED_VALUE"""),75.0)</f>
        <v>75</v>
      </c>
      <c r="F641" s="3">
        <f>IFERROR(__xludf.DUMMYFUNCTION("SPLIT(C641, ""-"")"),33.0)</f>
        <v>33</v>
      </c>
      <c r="G641" s="3">
        <f>IFERROR(__xludf.DUMMYFUNCTION("""COMPUTED_VALUE"""),89.0)</f>
        <v>89</v>
      </c>
      <c r="I641" s="3" t="str">
        <f t="shared" si="1"/>
        <v>y</v>
      </c>
      <c r="J641" s="3" t="str">
        <f t="shared" si="2"/>
        <v/>
      </c>
      <c r="K641" s="3" t="str">
        <f t="shared" si="3"/>
        <v/>
      </c>
      <c r="L641" s="3" t="str">
        <f t="shared" si="4"/>
        <v>y</v>
      </c>
      <c r="N641" s="3" t="str">
        <f t="shared" si="5"/>
        <v/>
      </c>
      <c r="O641" s="3" t="str">
        <f t="shared" si="6"/>
        <v/>
      </c>
      <c r="Q641" s="3" t="str">
        <f t="shared" si="7"/>
        <v/>
      </c>
      <c r="U641" s="3">
        <f t="shared" si="8"/>
        <v>1</v>
      </c>
      <c r="V641" s="3" t="str">
        <f t="shared" si="9"/>
        <v>Överlapp</v>
      </c>
      <c r="W641" s="3" t="str">
        <f t="shared" si="10"/>
        <v>Överlapp</v>
      </c>
      <c r="X641" s="3" t="str">
        <f t="shared" si="11"/>
        <v/>
      </c>
    </row>
    <row r="642">
      <c r="A642" s="1" t="s">
        <v>645</v>
      </c>
      <c r="B642" s="3" t="str">
        <f>IFERROR(__xludf.DUMMYFUNCTION("SPLIT(A642, "","")"),"11-59")</f>
        <v>11-59</v>
      </c>
      <c r="C642" s="3" t="str">
        <f>IFERROR(__xludf.DUMMYFUNCTION("""COMPUTED_VALUE"""),"10-60")</f>
        <v>10-60</v>
      </c>
      <c r="D642" s="3">
        <f>IFERROR(__xludf.DUMMYFUNCTION("SPLIT(B642, ""-"")"),11.0)</f>
        <v>11</v>
      </c>
      <c r="E642" s="3">
        <f>IFERROR(__xludf.DUMMYFUNCTION("""COMPUTED_VALUE"""),59.0)</f>
        <v>59</v>
      </c>
      <c r="F642" s="3">
        <f>IFERROR(__xludf.DUMMYFUNCTION("SPLIT(C642, ""-"")"),10.0)</f>
        <v>10</v>
      </c>
      <c r="G642" s="3">
        <f>IFERROR(__xludf.DUMMYFUNCTION("""COMPUTED_VALUE"""),60.0)</f>
        <v>60</v>
      </c>
      <c r="I642" s="3" t="str">
        <f t="shared" si="1"/>
        <v/>
      </c>
      <c r="J642" s="3" t="str">
        <f t="shared" si="2"/>
        <v/>
      </c>
      <c r="K642" s="3" t="str">
        <f t="shared" si="3"/>
        <v>y</v>
      </c>
      <c r="L642" s="3" t="str">
        <f t="shared" si="4"/>
        <v>y</v>
      </c>
      <c r="N642" s="3" t="str">
        <f t="shared" si="5"/>
        <v/>
      </c>
      <c r="O642" s="3">
        <f t="shared" si="6"/>
        <v>1</v>
      </c>
      <c r="Q642" s="3">
        <f t="shared" si="7"/>
        <v>1</v>
      </c>
      <c r="U642" s="3">
        <f t="shared" si="8"/>
        <v>1</v>
      </c>
      <c r="V642" s="3" t="str">
        <f t="shared" si="9"/>
        <v>Överlapp</v>
      </c>
      <c r="W642" s="3" t="str">
        <f t="shared" si="10"/>
        <v>Överlapp</v>
      </c>
      <c r="X642" s="3" t="str">
        <f t="shared" si="11"/>
        <v/>
      </c>
    </row>
    <row r="643">
      <c r="A643" s="1" t="s">
        <v>646</v>
      </c>
      <c r="B643" s="3" t="str">
        <f>IFERROR(__xludf.DUMMYFUNCTION("SPLIT(A643, "","")"),"38-42")</f>
        <v>38-42</v>
      </c>
      <c r="C643" s="3" t="str">
        <f>IFERROR(__xludf.DUMMYFUNCTION("""COMPUTED_VALUE"""),"27-42")</f>
        <v>27-42</v>
      </c>
      <c r="D643" s="3">
        <f>IFERROR(__xludf.DUMMYFUNCTION("SPLIT(B643, ""-"")"),38.0)</f>
        <v>38</v>
      </c>
      <c r="E643" s="3">
        <f>IFERROR(__xludf.DUMMYFUNCTION("""COMPUTED_VALUE"""),42.0)</f>
        <v>42</v>
      </c>
      <c r="F643" s="3">
        <f>IFERROR(__xludf.DUMMYFUNCTION("SPLIT(C643, ""-"")"),27.0)</f>
        <v>27</v>
      </c>
      <c r="G643" s="3">
        <f>IFERROR(__xludf.DUMMYFUNCTION("""COMPUTED_VALUE"""),42.0)</f>
        <v>42</v>
      </c>
      <c r="I643" s="3" t="str">
        <f t="shared" si="1"/>
        <v/>
      </c>
      <c r="J643" s="3" t="str">
        <f t="shared" si="2"/>
        <v>y</v>
      </c>
      <c r="K643" s="3" t="str">
        <f t="shared" si="3"/>
        <v>y</v>
      </c>
      <c r="L643" s="3" t="str">
        <f t="shared" si="4"/>
        <v>y</v>
      </c>
      <c r="N643" s="3" t="str">
        <f t="shared" si="5"/>
        <v/>
      </c>
      <c r="O643" s="3">
        <f t="shared" si="6"/>
        <v>1</v>
      </c>
      <c r="Q643" s="3">
        <f t="shared" si="7"/>
        <v>1</v>
      </c>
      <c r="U643" s="3" t="str">
        <f t="shared" si="8"/>
        <v>Överlapp</v>
      </c>
      <c r="V643" s="3" t="str">
        <f t="shared" si="9"/>
        <v>Överlapp</v>
      </c>
      <c r="W643" s="3" t="str">
        <f t="shared" si="10"/>
        <v>Överlapp</v>
      </c>
      <c r="X643" s="3" t="str">
        <f t="shared" si="11"/>
        <v/>
      </c>
    </row>
    <row r="644">
      <c r="A644" s="1" t="s">
        <v>647</v>
      </c>
      <c r="B644" s="3" t="str">
        <f>IFERROR(__xludf.DUMMYFUNCTION("SPLIT(A644, "","")"),"18-49")</f>
        <v>18-49</v>
      </c>
      <c r="C644" s="3" t="str">
        <f>IFERROR(__xludf.DUMMYFUNCTION("""COMPUTED_VALUE"""),"18-42")</f>
        <v>18-42</v>
      </c>
      <c r="D644" s="3">
        <f>IFERROR(__xludf.DUMMYFUNCTION("SPLIT(B644, ""-"")"),18.0)</f>
        <v>18</v>
      </c>
      <c r="E644" s="3">
        <f>IFERROR(__xludf.DUMMYFUNCTION("""COMPUTED_VALUE"""),49.0)</f>
        <v>49</v>
      </c>
      <c r="F644" s="3">
        <f>IFERROR(__xludf.DUMMYFUNCTION("SPLIT(C644, ""-"")"),18.0)</f>
        <v>18</v>
      </c>
      <c r="G644" s="3">
        <f>IFERROR(__xludf.DUMMYFUNCTION("""COMPUTED_VALUE"""),42.0)</f>
        <v>42</v>
      </c>
      <c r="I644" s="3" t="str">
        <f t="shared" si="1"/>
        <v>y</v>
      </c>
      <c r="J644" s="3" t="str">
        <f t="shared" si="2"/>
        <v>y</v>
      </c>
      <c r="K644" s="3" t="str">
        <f t="shared" si="3"/>
        <v>y</v>
      </c>
      <c r="L644" s="3" t="str">
        <f t="shared" si="4"/>
        <v/>
      </c>
      <c r="N644" s="3">
        <f t="shared" si="5"/>
        <v>1</v>
      </c>
      <c r="O644" s="3" t="str">
        <f t="shared" si="6"/>
        <v/>
      </c>
      <c r="Q644" s="3">
        <f t="shared" si="7"/>
        <v>1</v>
      </c>
      <c r="U644" s="3" t="str">
        <f t="shared" si="8"/>
        <v>Överlapp</v>
      </c>
      <c r="V644" s="3" t="str">
        <f t="shared" si="9"/>
        <v>Överlapp</v>
      </c>
      <c r="W644" s="3" t="str">
        <f t="shared" si="10"/>
        <v>Överlapp</v>
      </c>
      <c r="X644" s="3" t="str">
        <f t="shared" si="11"/>
        <v/>
      </c>
    </row>
    <row r="645">
      <c r="A645" s="1" t="s">
        <v>648</v>
      </c>
      <c r="B645" s="3" t="str">
        <f>IFERROR(__xludf.DUMMYFUNCTION("SPLIT(A645, "","")"),"26-72")</f>
        <v>26-72</v>
      </c>
      <c r="C645" s="3" t="str">
        <f>IFERROR(__xludf.DUMMYFUNCTION("""COMPUTED_VALUE"""),"25-26")</f>
        <v>25-26</v>
      </c>
      <c r="D645" s="3">
        <f>IFERROR(__xludf.DUMMYFUNCTION("SPLIT(B645, ""-"")"),26.0)</f>
        <v>26</v>
      </c>
      <c r="E645" s="3">
        <f>IFERROR(__xludf.DUMMYFUNCTION("""COMPUTED_VALUE"""),72.0)</f>
        <v>72</v>
      </c>
      <c r="F645" s="3">
        <f>IFERROR(__xludf.DUMMYFUNCTION("SPLIT(C645, ""-"")"),25.0)</f>
        <v>25</v>
      </c>
      <c r="G645" s="3">
        <f>IFERROR(__xludf.DUMMYFUNCTION("""COMPUTED_VALUE"""),26.0)</f>
        <v>26</v>
      </c>
      <c r="I645" s="3" t="str">
        <f t="shared" si="1"/>
        <v/>
      </c>
      <c r="J645" s="3" t="str">
        <f t="shared" si="2"/>
        <v>y</v>
      </c>
      <c r="K645" s="3" t="str">
        <f t="shared" si="3"/>
        <v>y</v>
      </c>
      <c r="L645" s="3" t="str">
        <f t="shared" si="4"/>
        <v/>
      </c>
      <c r="N645" s="3" t="str">
        <f t="shared" si="5"/>
        <v/>
      </c>
      <c r="O645" s="3" t="str">
        <f t="shared" si="6"/>
        <v/>
      </c>
      <c r="Q645" s="3" t="str">
        <f t="shared" si="7"/>
        <v/>
      </c>
      <c r="U645" s="3" t="str">
        <f t="shared" si="8"/>
        <v>Överlapp</v>
      </c>
      <c r="V645" s="3" t="str">
        <f t="shared" si="9"/>
        <v>Överlapp</v>
      </c>
      <c r="W645" s="3" t="str">
        <f t="shared" si="10"/>
        <v>Överlapp</v>
      </c>
      <c r="X645" s="3" t="str">
        <f t="shared" si="11"/>
        <v/>
      </c>
    </row>
    <row r="646">
      <c r="A646" s="1" t="s">
        <v>649</v>
      </c>
      <c r="B646" s="3" t="str">
        <f>IFERROR(__xludf.DUMMYFUNCTION("SPLIT(A646, "","")"),"7-35")</f>
        <v>7-35</v>
      </c>
      <c r="C646" s="4">
        <f>IFERROR(__xludf.DUMMYFUNCTION("""COMPUTED_VALUE"""),44866.0)</f>
        <v>44866</v>
      </c>
      <c r="D646" s="3">
        <f>IFERROR(__xludf.DUMMYFUNCTION("SPLIT(B646, ""-"")"),7.0)</f>
        <v>7</v>
      </c>
      <c r="E646" s="3">
        <f>IFERROR(__xludf.DUMMYFUNCTION("""COMPUTED_VALUE"""),35.0)</f>
        <v>35</v>
      </c>
      <c r="F646" s="3">
        <f>IFERROR(__xludf.DUMMYFUNCTION("SPLIT(C646, ""-"")"),1.0)</f>
        <v>1</v>
      </c>
      <c r="G646" s="3">
        <f>IFERROR(__xludf.DUMMYFUNCTION("""COMPUTED_VALUE"""),11.0)</f>
        <v>11</v>
      </c>
      <c r="I646" s="3" t="str">
        <f t="shared" si="1"/>
        <v/>
      </c>
      <c r="J646" s="3" t="str">
        <f t="shared" si="2"/>
        <v>y</v>
      </c>
      <c r="K646" s="3" t="str">
        <f t="shared" si="3"/>
        <v>y</v>
      </c>
      <c r="L646" s="3" t="str">
        <f t="shared" si="4"/>
        <v/>
      </c>
      <c r="N646" s="3" t="str">
        <f t="shared" si="5"/>
        <v/>
      </c>
      <c r="O646" s="3" t="str">
        <f t="shared" si="6"/>
        <v/>
      </c>
      <c r="Q646" s="3" t="str">
        <f t="shared" si="7"/>
        <v/>
      </c>
      <c r="U646" s="3">
        <f t="shared" si="8"/>
        <v>1</v>
      </c>
      <c r="V646" s="3" t="str">
        <f t="shared" si="9"/>
        <v>Överlapp</v>
      </c>
      <c r="W646" s="3" t="str">
        <f t="shared" si="10"/>
        <v>Överlapp</v>
      </c>
      <c r="X646" s="3" t="str">
        <f t="shared" si="11"/>
        <v/>
      </c>
    </row>
    <row r="647">
      <c r="A647" s="1" t="s">
        <v>650</v>
      </c>
      <c r="B647" s="3" t="str">
        <f>IFERROR(__xludf.DUMMYFUNCTION("SPLIT(A647, "","")"),"32-33")</f>
        <v>32-33</v>
      </c>
      <c r="C647" s="3" t="str">
        <f>IFERROR(__xludf.DUMMYFUNCTION("""COMPUTED_VALUE"""),"32-33")</f>
        <v>32-33</v>
      </c>
      <c r="D647" s="3">
        <f>IFERROR(__xludf.DUMMYFUNCTION("SPLIT(B647, ""-"")"),32.0)</f>
        <v>32</v>
      </c>
      <c r="E647" s="3">
        <f>IFERROR(__xludf.DUMMYFUNCTION("""COMPUTED_VALUE"""),33.0)</f>
        <v>33</v>
      </c>
      <c r="F647" s="3">
        <f>IFERROR(__xludf.DUMMYFUNCTION("SPLIT(C647, ""-"")"),32.0)</f>
        <v>32</v>
      </c>
      <c r="G647" s="3">
        <f>IFERROR(__xludf.DUMMYFUNCTION("""COMPUTED_VALUE"""),33.0)</f>
        <v>33</v>
      </c>
      <c r="I647" s="3" t="str">
        <f t="shared" si="1"/>
        <v>y</v>
      </c>
      <c r="J647" s="3" t="str">
        <f t="shared" si="2"/>
        <v>y</v>
      </c>
      <c r="K647" s="3" t="str">
        <f t="shared" si="3"/>
        <v>y</v>
      </c>
      <c r="L647" s="3" t="str">
        <f t="shared" si="4"/>
        <v>y</v>
      </c>
      <c r="N647" s="3">
        <f t="shared" si="5"/>
        <v>1</v>
      </c>
      <c r="O647" s="3">
        <f t="shared" si="6"/>
        <v>1</v>
      </c>
      <c r="Q647" s="3">
        <f t="shared" si="7"/>
        <v>1</v>
      </c>
      <c r="U647" s="3" t="str">
        <f t="shared" si="8"/>
        <v>Överlapp</v>
      </c>
      <c r="V647" s="3" t="str">
        <f t="shared" si="9"/>
        <v>Överlapp</v>
      </c>
      <c r="W647" s="3" t="str">
        <f t="shared" si="10"/>
        <v>Överlapp</v>
      </c>
      <c r="X647" s="3" t="str">
        <f t="shared" si="11"/>
        <v/>
      </c>
    </row>
    <row r="648">
      <c r="A648" s="1" t="s">
        <v>651</v>
      </c>
      <c r="B648" s="3" t="str">
        <f>IFERROR(__xludf.DUMMYFUNCTION("SPLIT(A648, "","")"),"50-81")</f>
        <v>50-81</v>
      </c>
      <c r="C648" s="3" t="str">
        <f>IFERROR(__xludf.DUMMYFUNCTION("""COMPUTED_VALUE"""),"5-51")</f>
        <v>5-51</v>
      </c>
      <c r="D648" s="3">
        <f>IFERROR(__xludf.DUMMYFUNCTION("SPLIT(B648, ""-"")"),50.0)</f>
        <v>50</v>
      </c>
      <c r="E648" s="3">
        <f>IFERROR(__xludf.DUMMYFUNCTION("""COMPUTED_VALUE"""),81.0)</f>
        <v>81</v>
      </c>
      <c r="F648" s="3">
        <f>IFERROR(__xludf.DUMMYFUNCTION("SPLIT(C648, ""-"")"),5.0)</f>
        <v>5</v>
      </c>
      <c r="G648" s="3">
        <f>IFERROR(__xludf.DUMMYFUNCTION("""COMPUTED_VALUE"""),51.0)</f>
        <v>51</v>
      </c>
      <c r="I648" s="3" t="str">
        <f t="shared" si="1"/>
        <v/>
      </c>
      <c r="J648" s="3" t="str">
        <f t="shared" si="2"/>
        <v>y</v>
      </c>
      <c r="K648" s="3" t="str">
        <f t="shared" si="3"/>
        <v>y</v>
      </c>
      <c r="L648" s="3" t="str">
        <f t="shared" si="4"/>
        <v/>
      </c>
      <c r="N648" s="3" t="str">
        <f t="shared" si="5"/>
        <v/>
      </c>
      <c r="O648" s="3" t="str">
        <f t="shared" si="6"/>
        <v/>
      </c>
      <c r="Q648" s="3" t="str">
        <f t="shared" si="7"/>
        <v/>
      </c>
      <c r="U648" s="3">
        <f t="shared" si="8"/>
        <v>1</v>
      </c>
      <c r="V648" s="3" t="str">
        <f t="shared" si="9"/>
        <v>Överlapp</v>
      </c>
      <c r="W648" s="3" t="str">
        <f t="shared" si="10"/>
        <v>Överlapp</v>
      </c>
      <c r="X648" s="3" t="str">
        <f t="shared" si="11"/>
        <v/>
      </c>
    </row>
    <row r="649">
      <c r="A649" s="1" t="s">
        <v>652</v>
      </c>
      <c r="B649" s="3" t="str">
        <f>IFERROR(__xludf.DUMMYFUNCTION("SPLIT(A649, "","")"),"7-20")</f>
        <v>7-20</v>
      </c>
      <c r="C649" s="3" t="str">
        <f>IFERROR(__xludf.DUMMYFUNCTION("""COMPUTED_VALUE"""),"3-51")</f>
        <v>3-51</v>
      </c>
      <c r="D649" s="3">
        <f>IFERROR(__xludf.DUMMYFUNCTION("SPLIT(B649, ""-"")"),7.0)</f>
        <v>7</v>
      </c>
      <c r="E649" s="3">
        <f>IFERROR(__xludf.DUMMYFUNCTION("""COMPUTED_VALUE"""),20.0)</f>
        <v>20</v>
      </c>
      <c r="F649" s="3">
        <f>IFERROR(__xludf.DUMMYFUNCTION("SPLIT(C649, ""-"")"),3.0)</f>
        <v>3</v>
      </c>
      <c r="G649" s="3">
        <f>IFERROR(__xludf.DUMMYFUNCTION("""COMPUTED_VALUE"""),51.0)</f>
        <v>51</v>
      </c>
      <c r="I649" s="3" t="str">
        <f t="shared" si="1"/>
        <v/>
      </c>
      <c r="J649" s="3" t="str">
        <f t="shared" si="2"/>
        <v/>
      </c>
      <c r="K649" s="3" t="str">
        <f t="shared" si="3"/>
        <v>y</v>
      </c>
      <c r="L649" s="3" t="str">
        <f t="shared" si="4"/>
        <v>y</v>
      </c>
      <c r="N649" s="3" t="str">
        <f t="shared" si="5"/>
        <v/>
      </c>
      <c r="O649" s="3">
        <f t="shared" si="6"/>
        <v>1</v>
      </c>
      <c r="Q649" s="3">
        <f t="shared" si="7"/>
        <v>1</v>
      </c>
      <c r="U649" s="3">
        <f t="shared" si="8"/>
        <v>1</v>
      </c>
      <c r="V649" s="3" t="str">
        <f t="shared" si="9"/>
        <v>Överlapp</v>
      </c>
      <c r="W649" s="3" t="str">
        <f t="shared" si="10"/>
        <v>Överlapp</v>
      </c>
      <c r="X649" s="3" t="str">
        <f t="shared" si="11"/>
        <v/>
      </c>
    </row>
    <row r="650">
      <c r="A650" s="1" t="s">
        <v>653</v>
      </c>
      <c r="B650" s="3" t="str">
        <f>IFERROR(__xludf.DUMMYFUNCTION("SPLIT(A650, "","")"),"10-87")</f>
        <v>10-87</v>
      </c>
      <c r="C650" s="3" t="str">
        <f>IFERROR(__xludf.DUMMYFUNCTION("""COMPUTED_VALUE"""),"4-71")</f>
        <v>4-71</v>
      </c>
      <c r="D650" s="3">
        <f>IFERROR(__xludf.DUMMYFUNCTION("SPLIT(B650, ""-"")"),10.0)</f>
        <v>10</v>
      </c>
      <c r="E650" s="3">
        <f>IFERROR(__xludf.DUMMYFUNCTION("""COMPUTED_VALUE"""),87.0)</f>
        <v>87</v>
      </c>
      <c r="F650" s="3">
        <f>IFERROR(__xludf.DUMMYFUNCTION("SPLIT(C650, ""-"")"),4.0)</f>
        <v>4</v>
      </c>
      <c r="G650" s="3">
        <f>IFERROR(__xludf.DUMMYFUNCTION("""COMPUTED_VALUE"""),71.0)</f>
        <v>71</v>
      </c>
      <c r="I650" s="3" t="str">
        <f t="shared" si="1"/>
        <v/>
      </c>
      <c r="J650" s="3" t="str">
        <f t="shared" si="2"/>
        <v>y</v>
      </c>
      <c r="K650" s="3" t="str">
        <f t="shared" si="3"/>
        <v>y</v>
      </c>
      <c r="L650" s="3" t="str">
        <f t="shared" si="4"/>
        <v/>
      </c>
      <c r="N650" s="3" t="str">
        <f t="shared" si="5"/>
        <v/>
      </c>
      <c r="O650" s="3" t="str">
        <f t="shared" si="6"/>
        <v/>
      </c>
      <c r="Q650" s="3" t="str">
        <f t="shared" si="7"/>
        <v/>
      </c>
      <c r="U650" s="3">
        <f t="shared" si="8"/>
        <v>1</v>
      </c>
      <c r="V650" s="3" t="str">
        <f t="shared" si="9"/>
        <v>Överlapp</v>
      </c>
      <c r="W650" s="3" t="str">
        <f t="shared" si="10"/>
        <v>Överlapp</v>
      </c>
      <c r="X650" s="3" t="str">
        <f t="shared" si="11"/>
        <v/>
      </c>
    </row>
    <row r="651">
      <c r="A651" s="1" t="s">
        <v>654</v>
      </c>
      <c r="B651" s="3" t="str">
        <f>IFERROR(__xludf.DUMMYFUNCTION("SPLIT(A651, "","")"),"35-82")</f>
        <v>35-82</v>
      </c>
      <c r="C651" s="3" t="str">
        <f>IFERROR(__xludf.DUMMYFUNCTION("""COMPUTED_VALUE"""),"28-33")</f>
        <v>28-33</v>
      </c>
      <c r="D651" s="3">
        <f>IFERROR(__xludf.DUMMYFUNCTION("SPLIT(B651, ""-"")"),35.0)</f>
        <v>35</v>
      </c>
      <c r="E651" s="3">
        <f>IFERROR(__xludf.DUMMYFUNCTION("""COMPUTED_VALUE"""),82.0)</f>
        <v>82</v>
      </c>
      <c r="F651" s="3">
        <f>IFERROR(__xludf.DUMMYFUNCTION("SPLIT(C651, ""-"")"),28.0)</f>
        <v>28</v>
      </c>
      <c r="G651" s="3">
        <f>IFERROR(__xludf.DUMMYFUNCTION("""COMPUTED_VALUE"""),33.0)</f>
        <v>33</v>
      </c>
      <c r="I651" s="3" t="str">
        <f t="shared" si="1"/>
        <v/>
      </c>
      <c r="J651" s="3" t="str">
        <f t="shared" si="2"/>
        <v>y</v>
      </c>
      <c r="K651" s="3" t="str">
        <f t="shared" si="3"/>
        <v>y</v>
      </c>
      <c r="L651" s="3" t="str">
        <f t="shared" si="4"/>
        <v/>
      </c>
      <c r="N651" s="3" t="str">
        <f t="shared" si="5"/>
        <v/>
      </c>
      <c r="O651" s="3" t="str">
        <f t="shared" si="6"/>
        <v/>
      </c>
      <c r="Q651" s="3" t="str">
        <f t="shared" si="7"/>
        <v/>
      </c>
      <c r="U651" s="3">
        <f t="shared" si="8"/>
        <v>1</v>
      </c>
      <c r="V651" s="3" t="str">
        <f t="shared" si="9"/>
        <v>Överlapp</v>
      </c>
      <c r="W651" s="3">
        <f t="shared" si="10"/>
        <v>1</v>
      </c>
      <c r="X651" s="3">
        <f t="shared" si="11"/>
        <v>1</v>
      </c>
    </row>
    <row r="652">
      <c r="A652" s="1" t="s">
        <v>655</v>
      </c>
      <c r="B652" s="3" t="str">
        <f>IFERROR(__xludf.DUMMYFUNCTION("SPLIT(A652, "","")"),"6-16")</f>
        <v>6-16</v>
      </c>
      <c r="C652" s="3" t="str">
        <f>IFERROR(__xludf.DUMMYFUNCTION("""COMPUTED_VALUE"""),"15-84")</f>
        <v>15-84</v>
      </c>
      <c r="D652" s="3">
        <f>IFERROR(__xludf.DUMMYFUNCTION("SPLIT(B652, ""-"")"),6.0)</f>
        <v>6</v>
      </c>
      <c r="E652" s="3">
        <f>IFERROR(__xludf.DUMMYFUNCTION("""COMPUTED_VALUE"""),16.0)</f>
        <v>16</v>
      </c>
      <c r="F652" s="3">
        <f>IFERROR(__xludf.DUMMYFUNCTION("SPLIT(C652, ""-"")"),15.0)</f>
        <v>15</v>
      </c>
      <c r="G652" s="3">
        <f>IFERROR(__xludf.DUMMYFUNCTION("""COMPUTED_VALUE"""),84.0)</f>
        <v>84</v>
      </c>
      <c r="I652" s="3" t="str">
        <f t="shared" si="1"/>
        <v>y</v>
      </c>
      <c r="J652" s="3" t="str">
        <f t="shared" si="2"/>
        <v/>
      </c>
      <c r="K652" s="3" t="str">
        <f t="shared" si="3"/>
        <v/>
      </c>
      <c r="L652" s="3" t="str">
        <f t="shared" si="4"/>
        <v>y</v>
      </c>
      <c r="N652" s="3" t="str">
        <f t="shared" si="5"/>
        <v/>
      </c>
      <c r="O652" s="3" t="str">
        <f t="shared" si="6"/>
        <v/>
      </c>
      <c r="Q652" s="3" t="str">
        <f t="shared" si="7"/>
        <v/>
      </c>
      <c r="U652" s="3">
        <f t="shared" si="8"/>
        <v>1</v>
      </c>
      <c r="V652" s="3" t="str">
        <f t="shared" si="9"/>
        <v>Överlapp</v>
      </c>
      <c r="W652" s="3" t="str">
        <f t="shared" si="10"/>
        <v>Överlapp</v>
      </c>
      <c r="X652" s="3" t="str">
        <f t="shared" si="11"/>
        <v/>
      </c>
    </row>
    <row r="653">
      <c r="A653" s="1" t="s">
        <v>656</v>
      </c>
      <c r="B653" s="3" t="str">
        <f>IFERROR(__xludf.DUMMYFUNCTION("SPLIT(A653, "","")"),"28-84")</f>
        <v>28-84</v>
      </c>
      <c r="C653" s="3" t="str">
        <f>IFERROR(__xludf.DUMMYFUNCTION("""COMPUTED_VALUE"""),"85-85")</f>
        <v>85-85</v>
      </c>
      <c r="D653" s="3">
        <f>IFERROR(__xludf.DUMMYFUNCTION("SPLIT(B653, ""-"")"),28.0)</f>
        <v>28</v>
      </c>
      <c r="E653" s="3">
        <f>IFERROR(__xludf.DUMMYFUNCTION("""COMPUTED_VALUE"""),84.0)</f>
        <v>84</v>
      </c>
      <c r="F653" s="3">
        <f>IFERROR(__xludf.DUMMYFUNCTION("SPLIT(C653, ""-"")"),85.0)</f>
        <v>85</v>
      </c>
      <c r="G653" s="3">
        <f>IFERROR(__xludf.DUMMYFUNCTION("""COMPUTED_VALUE"""),85.0)</f>
        <v>85</v>
      </c>
      <c r="I653" s="3" t="str">
        <f t="shared" si="1"/>
        <v>y</v>
      </c>
      <c r="J653" s="3" t="str">
        <f t="shared" si="2"/>
        <v/>
      </c>
      <c r="K653" s="3" t="str">
        <f t="shared" si="3"/>
        <v/>
      </c>
      <c r="L653" s="3" t="str">
        <f t="shared" si="4"/>
        <v>y</v>
      </c>
      <c r="N653" s="3" t="str">
        <f t="shared" si="5"/>
        <v/>
      </c>
      <c r="O653" s="3" t="str">
        <f t="shared" si="6"/>
        <v/>
      </c>
      <c r="Q653" s="3" t="str">
        <f t="shared" si="7"/>
        <v/>
      </c>
      <c r="U653" s="3">
        <f t="shared" si="8"/>
        <v>1</v>
      </c>
      <c r="V653" s="3">
        <f t="shared" si="9"/>
        <v>1</v>
      </c>
      <c r="W653" s="3" t="str">
        <f t="shared" si="10"/>
        <v>Överlapp</v>
      </c>
      <c r="X653" s="3">
        <f t="shared" si="11"/>
        <v>1</v>
      </c>
    </row>
    <row r="654">
      <c r="A654" s="1" t="s">
        <v>657</v>
      </c>
      <c r="B654" s="3" t="str">
        <f>IFERROR(__xludf.DUMMYFUNCTION("SPLIT(A654, "","")"),"27-90")</f>
        <v>27-90</v>
      </c>
      <c r="C654" s="3" t="str">
        <f>IFERROR(__xludf.DUMMYFUNCTION("""COMPUTED_VALUE"""),"66-95")</f>
        <v>66-95</v>
      </c>
      <c r="D654" s="3">
        <f>IFERROR(__xludf.DUMMYFUNCTION("SPLIT(B654, ""-"")"),27.0)</f>
        <v>27</v>
      </c>
      <c r="E654" s="3">
        <f>IFERROR(__xludf.DUMMYFUNCTION("""COMPUTED_VALUE"""),90.0)</f>
        <v>90</v>
      </c>
      <c r="F654" s="3">
        <f>IFERROR(__xludf.DUMMYFUNCTION("SPLIT(C654, ""-"")"),66.0)</f>
        <v>66</v>
      </c>
      <c r="G654" s="3">
        <f>IFERROR(__xludf.DUMMYFUNCTION("""COMPUTED_VALUE"""),95.0)</f>
        <v>95</v>
      </c>
      <c r="I654" s="3" t="str">
        <f t="shared" si="1"/>
        <v>y</v>
      </c>
      <c r="J654" s="3" t="str">
        <f t="shared" si="2"/>
        <v/>
      </c>
      <c r="K654" s="3" t="str">
        <f t="shared" si="3"/>
        <v/>
      </c>
      <c r="L654" s="3" t="str">
        <f t="shared" si="4"/>
        <v>y</v>
      </c>
      <c r="N654" s="3" t="str">
        <f t="shared" si="5"/>
        <v/>
      </c>
      <c r="O654" s="3" t="str">
        <f t="shared" si="6"/>
        <v/>
      </c>
      <c r="Q654" s="3" t="str">
        <f t="shared" si="7"/>
        <v/>
      </c>
      <c r="U654" s="3">
        <f t="shared" si="8"/>
        <v>1</v>
      </c>
      <c r="V654" s="3" t="str">
        <f t="shared" si="9"/>
        <v>Överlapp</v>
      </c>
      <c r="W654" s="3" t="str">
        <f t="shared" si="10"/>
        <v>Överlapp</v>
      </c>
      <c r="X654" s="3" t="str">
        <f t="shared" si="11"/>
        <v/>
      </c>
    </row>
    <row r="655">
      <c r="A655" s="1" t="s">
        <v>658</v>
      </c>
      <c r="B655" s="3" t="str">
        <f>IFERROR(__xludf.DUMMYFUNCTION("SPLIT(A655, "","")"),"76-91")</f>
        <v>76-91</v>
      </c>
      <c r="C655" s="3" t="str">
        <f>IFERROR(__xludf.DUMMYFUNCTION("""COMPUTED_VALUE"""),"68-75")</f>
        <v>68-75</v>
      </c>
      <c r="D655" s="3">
        <f>IFERROR(__xludf.DUMMYFUNCTION("SPLIT(B655, ""-"")"),76.0)</f>
        <v>76</v>
      </c>
      <c r="E655" s="3">
        <f>IFERROR(__xludf.DUMMYFUNCTION("""COMPUTED_VALUE"""),91.0)</f>
        <v>91</v>
      </c>
      <c r="F655" s="3">
        <f>IFERROR(__xludf.DUMMYFUNCTION("SPLIT(C655, ""-"")"),68.0)</f>
        <v>68</v>
      </c>
      <c r="G655" s="3">
        <f>IFERROR(__xludf.DUMMYFUNCTION("""COMPUTED_VALUE"""),75.0)</f>
        <v>75</v>
      </c>
      <c r="I655" s="3" t="str">
        <f t="shared" si="1"/>
        <v/>
      </c>
      <c r="J655" s="3" t="str">
        <f t="shared" si="2"/>
        <v>y</v>
      </c>
      <c r="K655" s="3" t="str">
        <f t="shared" si="3"/>
        <v>y</v>
      </c>
      <c r="L655" s="3" t="str">
        <f t="shared" si="4"/>
        <v/>
      </c>
      <c r="N655" s="3" t="str">
        <f t="shared" si="5"/>
        <v/>
      </c>
      <c r="O655" s="3" t="str">
        <f t="shared" si="6"/>
        <v/>
      </c>
      <c r="Q655" s="3" t="str">
        <f t="shared" si="7"/>
        <v/>
      </c>
      <c r="U655" s="3">
        <f t="shared" si="8"/>
        <v>1</v>
      </c>
      <c r="V655" s="3" t="str">
        <f t="shared" si="9"/>
        <v>Överlapp</v>
      </c>
      <c r="W655" s="3">
        <f t="shared" si="10"/>
        <v>1</v>
      </c>
      <c r="X655" s="3">
        <f t="shared" si="11"/>
        <v>1</v>
      </c>
    </row>
    <row r="656">
      <c r="A656" s="1" t="s">
        <v>659</v>
      </c>
      <c r="B656" s="3" t="str">
        <f>IFERROR(__xludf.DUMMYFUNCTION("SPLIT(A656, "","")"),"15-87")</f>
        <v>15-87</v>
      </c>
      <c r="C656" s="3" t="str">
        <f>IFERROR(__xludf.DUMMYFUNCTION("""COMPUTED_VALUE"""),"14-16")</f>
        <v>14-16</v>
      </c>
      <c r="D656" s="3">
        <f>IFERROR(__xludf.DUMMYFUNCTION("SPLIT(B656, ""-"")"),15.0)</f>
        <v>15</v>
      </c>
      <c r="E656" s="3">
        <f>IFERROR(__xludf.DUMMYFUNCTION("""COMPUTED_VALUE"""),87.0)</f>
        <v>87</v>
      </c>
      <c r="F656" s="3">
        <f>IFERROR(__xludf.DUMMYFUNCTION("SPLIT(C656, ""-"")"),14.0)</f>
        <v>14</v>
      </c>
      <c r="G656" s="3">
        <f>IFERROR(__xludf.DUMMYFUNCTION("""COMPUTED_VALUE"""),16.0)</f>
        <v>16</v>
      </c>
      <c r="I656" s="3" t="str">
        <f t="shared" si="1"/>
        <v/>
      </c>
      <c r="J656" s="3" t="str">
        <f t="shared" si="2"/>
        <v>y</v>
      </c>
      <c r="K656" s="3" t="str">
        <f t="shared" si="3"/>
        <v>y</v>
      </c>
      <c r="L656" s="3" t="str">
        <f t="shared" si="4"/>
        <v/>
      </c>
      <c r="N656" s="3" t="str">
        <f t="shared" si="5"/>
        <v/>
      </c>
      <c r="O656" s="3" t="str">
        <f t="shared" si="6"/>
        <v/>
      </c>
      <c r="Q656" s="3" t="str">
        <f t="shared" si="7"/>
        <v/>
      </c>
      <c r="U656" s="3">
        <f t="shared" si="8"/>
        <v>1</v>
      </c>
      <c r="V656" s="3" t="str">
        <f t="shared" si="9"/>
        <v>Överlapp</v>
      </c>
      <c r="W656" s="3" t="str">
        <f t="shared" si="10"/>
        <v>Överlapp</v>
      </c>
      <c r="X656" s="3" t="str">
        <f t="shared" si="11"/>
        <v/>
      </c>
    </row>
    <row r="657">
      <c r="A657" s="1" t="s">
        <v>660</v>
      </c>
      <c r="B657" s="3" t="str">
        <f>IFERROR(__xludf.DUMMYFUNCTION("SPLIT(A657, "","")"),"7-81")</f>
        <v>7-81</v>
      </c>
      <c r="C657" s="3" t="str">
        <f>IFERROR(__xludf.DUMMYFUNCTION("""COMPUTED_VALUE"""),"8-87")</f>
        <v>8-87</v>
      </c>
      <c r="D657" s="3">
        <f>IFERROR(__xludf.DUMMYFUNCTION("SPLIT(B657, ""-"")"),7.0)</f>
        <v>7</v>
      </c>
      <c r="E657" s="3">
        <f>IFERROR(__xludf.DUMMYFUNCTION("""COMPUTED_VALUE"""),81.0)</f>
        <v>81</v>
      </c>
      <c r="F657" s="3">
        <f>IFERROR(__xludf.DUMMYFUNCTION("SPLIT(C657, ""-"")"),8.0)</f>
        <v>8</v>
      </c>
      <c r="G657" s="3">
        <f>IFERROR(__xludf.DUMMYFUNCTION("""COMPUTED_VALUE"""),87.0)</f>
        <v>87</v>
      </c>
      <c r="I657" s="3" t="str">
        <f t="shared" si="1"/>
        <v>y</v>
      </c>
      <c r="J657" s="3" t="str">
        <f t="shared" si="2"/>
        <v/>
      </c>
      <c r="K657" s="3" t="str">
        <f t="shared" si="3"/>
        <v/>
      </c>
      <c r="L657" s="3" t="str">
        <f t="shared" si="4"/>
        <v>y</v>
      </c>
      <c r="N657" s="3" t="str">
        <f t="shared" si="5"/>
        <v/>
      </c>
      <c r="O657" s="3" t="str">
        <f t="shared" si="6"/>
        <v/>
      </c>
      <c r="Q657" s="3" t="str">
        <f t="shared" si="7"/>
        <v/>
      </c>
      <c r="U657" s="3">
        <f t="shared" si="8"/>
        <v>1</v>
      </c>
      <c r="V657" s="3" t="str">
        <f t="shared" si="9"/>
        <v>Överlapp</v>
      </c>
      <c r="W657" s="3" t="str">
        <f t="shared" si="10"/>
        <v>Överlapp</v>
      </c>
      <c r="X657" s="3" t="str">
        <f t="shared" si="11"/>
        <v/>
      </c>
    </row>
    <row r="658">
      <c r="A658" s="1" t="s">
        <v>661</v>
      </c>
      <c r="B658" s="3" t="str">
        <f>IFERROR(__xludf.DUMMYFUNCTION("SPLIT(A658, "","")"),"9-89")</f>
        <v>9-89</v>
      </c>
      <c r="C658" s="4">
        <f>IFERROR(__xludf.DUMMYFUNCTION("""COMPUTED_VALUE"""),44812.0)</f>
        <v>44812</v>
      </c>
      <c r="D658" s="3">
        <f>IFERROR(__xludf.DUMMYFUNCTION("SPLIT(B658, ""-"")"),9.0)</f>
        <v>9</v>
      </c>
      <c r="E658" s="3">
        <f>IFERROR(__xludf.DUMMYFUNCTION("""COMPUTED_VALUE"""),89.0)</f>
        <v>89</v>
      </c>
      <c r="F658" s="3">
        <f>IFERROR(__xludf.DUMMYFUNCTION("SPLIT(C658, ""-"")"),8.0)</f>
        <v>8</v>
      </c>
      <c r="G658" s="3">
        <f>IFERROR(__xludf.DUMMYFUNCTION("""COMPUTED_VALUE"""),9.0)</f>
        <v>9</v>
      </c>
      <c r="I658" s="3" t="str">
        <f t="shared" si="1"/>
        <v/>
      </c>
      <c r="J658" s="3" t="str">
        <f t="shared" si="2"/>
        <v>y</v>
      </c>
      <c r="K658" s="3" t="str">
        <f t="shared" si="3"/>
        <v>y</v>
      </c>
      <c r="L658" s="3" t="str">
        <f t="shared" si="4"/>
        <v/>
      </c>
      <c r="N658" s="3" t="str">
        <f t="shared" si="5"/>
        <v/>
      </c>
      <c r="O658" s="3" t="str">
        <f t="shared" si="6"/>
        <v/>
      </c>
      <c r="Q658" s="3" t="str">
        <f t="shared" si="7"/>
        <v/>
      </c>
      <c r="U658" s="3" t="str">
        <f t="shared" si="8"/>
        <v>Överlapp</v>
      </c>
      <c r="V658" s="3" t="str">
        <f t="shared" si="9"/>
        <v>Överlapp</v>
      </c>
      <c r="W658" s="3" t="str">
        <f t="shared" si="10"/>
        <v>Överlapp</v>
      </c>
      <c r="X658" s="3" t="str">
        <f t="shared" si="11"/>
        <v/>
      </c>
    </row>
    <row r="659">
      <c r="A659" s="1" t="s">
        <v>662</v>
      </c>
      <c r="B659" s="3" t="str">
        <f>IFERROR(__xludf.DUMMYFUNCTION("SPLIT(A659, "","")"),"14-14")</f>
        <v>14-14</v>
      </c>
      <c r="C659" s="3" t="str">
        <f>IFERROR(__xludf.DUMMYFUNCTION("""COMPUTED_VALUE"""),"15-89")</f>
        <v>15-89</v>
      </c>
      <c r="D659" s="3">
        <f>IFERROR(__xludf.DUMMYFUNCTION("SPLIT(B659, ""-"")"),14.0)</f>
        <v>14</v>
      </c>
      <c r="E659" s="3">
        <f>IFERROR(__xludf.DUMMYFUNCTION("""COMPUTED_VALUE"""),14.0)</f>
        <v>14</v>
      </c>
      <c r="F659" s="3">
        <f>IFERROR(__xludf.DUMMYFUNCTION("SPLIT(C659, ""-"")"),15.0)</f>
        <v>15</v>
      </c>
      <c r="G659" s="3">
        <f>IFERROR(__xludf.DUMMYFUNCTION("""COMPUTED_VALUE"""),89.0)</f>
        <v>89</v>
      </c>
      <c r="I659" s="3" t="str">
        <f t="shared" si="1"/>
        <v>y</v>
      </c>
      <c r="J659" s="3" t="str">
        <f t="shared" si="2"/>
        <v/>
      </c>
      <c r="K659" s="3" t="str">
        <f t="shared" si="3"/>
        <v/>
      </c>
      <c r="L659" s="3" t="str">
        <f t="shared" si="4"/>
        <v>y</v>
      </c>
      <c r="N659" s="3" t="str">
        <f t="shared" si="5"/>
        <v/>
      </c>
      <c r="O659" s="3" t="str">
        <f t="shared" si="6"/>
        <v/>
      </c>
      <c r="Q659" s="3" t="str">
        <f t="shared" si="7"/>
        <v/>
      </c>
      <c r="U659" s="3">
        <f t="shared" si="8"/>
        <v>1</v>
      </c>
      <c r="V659" s="3">
        <f t="shared" si="9"/>
        <v>1</v>
      </c>
      <c r="W659" s="3" t="str">
        <f t="shared" si="10"/>
        <v>Överlapp</v>
      </c>
      <c r="X659" s="3">
        <f t="shared" si="11"/>
        <v>1</v>
      </c>
    </row>
    <row r="660">
      <c r="A660" s="1" t="s">
        <v>663</v>
      </c>
      <c r="B660" s="3" t="str">
        <f>IFERROR(__xludf.DUMMYFUNCTION("SPLIT(A660, "","")"),"5-90")</f>
        <v>5-90</v>
      </c>
      <c r="C660" s="3" t="str">
        <f>IFERROR(__xludf.DUMMYFUNCTION("""COMPUTED_VALUE"""),"3-91")</f>
        <v>3-91</v>
      </c>
      <c r="D660" s="3">
        <f>IFERROR(__xludf.DUMMYFUNCTION("SPLIT(B660, ""-"")"),5.0)</f>
        <v>5</v>
      </c>
      <c r="E660" s="3">
        <f>IFERROR(__xludf.DUMMYFUNCTION("""COMPUTED_VALUE"""),90.0)</f>
        <v>90</v>
      </c>
      <c r="F660" s="3">
        <f>IFERROR(__xludf.DUMMYFUNCTION("SPLIT(C660, ""-"")"),3.0)</f>
        <v>3</v>
      </c>
      <c r="G660" s="3">
        <f>IFERROR(__xludf.DUMMYFUNCTION("""COMPUTED_VALUE"""),91.0)</f>
        <v>91</v>
      </c>
      <c r="I660" s="3" t="str">
        <f t="shared" si="1"/>
        <v/>
      </c>
      <c r="J660" s="3" t="str">
        <f t="shared" si="2"/>
        <v/>
      </c>
      <c r="K660" s="3" t="str">
        <f t="shared" si="3"/>
        <v>y</v>
      </c>
      <c r="L660" s="3" t="str">
        <f t="shared" si="4"/>
        <v>y</v>
      </c>
      <c r="N660" s="3" t="str">
        <f t="shared" si="5"/>
        <v/>
      </c>
      <c r="O660" s="3">
        <f t="shared" si="6"/>
        <v>1</v>
      </c>
      <c r="Q660" s="3">
        <f t="shared" si="7"/>
        <v>1</v>
      </c>
      <c r="U660" s="3">
        <f t="shared" si="8"/>
        <v>1</v>
      </c>
      <c r="V660" s="3" t="str">
        <f t="shared" si="9"/>
        <v>Överlapp</v>
      </c>
      <c r="W660" s="3" t="str">
        <f t="shared" si="10"/>
        <v>Överlapp</v>
      </c>
      <c r="X660" s="3" t="str">
        <f t="shared" si="11"/>
        <v/>
      </c>
    </row>
    <row r="661">
      <c r="A661" s="1" t="s">
        <v>664</v>
      </c>
      <c r="B661" s="3" t="str">
        <f>IFERROR(__xludf.DUMMYFUNCTION("SPLIT(A661, "","")"),"81-84")</f>
        <v>81-84</v>
      </c>
      <c r="C661" s="3" t="str">
        <f>IFERROR(__xludf.DUMMYFUNCTION("""COMPUTED_VALUE"""),"22-83")</f>
        <v>22-83</v>
      </c>
      <c r="D661" s="3">
        <f>IFERROR(__xludf.DUMMYFUNCTION("SPLIT(B661, ""-"")"),81.0)</f>
        <v>81</v>
      </c>
      <c r="E661" s="3">
        <f>IFERROR(__xludf.DUMMYFUNCTION("""COMPUTED_VALUE"""),84.0)</f>
        <v>84</v>
      </c>
      <c r="F661" s="3">
        <f>IFERROR(__xludf.DUMMYFUNCTION("SPLIT(C661, ""-"")"),22.0)</f>
        <v>22</v>
      </c>
      <c r="G661" s="3">
        <f>IFERROR(__xludf.DUMMYFUNCTION("""COMPUTED_VALUE"""),83.0)</f>
        <v>83</v>
      </c>
      <c r="I661" s="3" t="str">
        <f t="shared" si="1"/>
        <v/>
      </c>
      <c r="J661" s="3" t="str">
        <f t="shared" si="2"/>
        <v>y</v>
      </c>
      <c r="K661" s="3" t="str">
        <f t="shared" si="3"/>
        <v>y</v>
      </c>
      <c r="L661" s="3" t="str">
        <f t="shared" si="4"/>
        <v/>
      </c>
      <c r="N661" s="3" t="str">
        <f t="shared" si="5"/>
        <v/>
      </c>
      <c r="O661" s="3" t="str">
        <f t="shared" si="6"/>
        <v/>
      </c>
      <c r="Q661" s="3" t="str">
        <f t="shared" si="7"/>
        <v/>
      </c>
      <c r="U661" s="3">
        <f t="shared" si="8"/>
        <v>1</v>
      </c>
      <c r="V661" s="3" t="str">
        <f t="shared" si="9"/>
        <v>Överlapp</v>
      </c>
      <c r="W661" s="3" t="str">
        <f t="shared" si="10"/>
        <v>Överlapp</v>
      </c>
      <c r="X661" s="3" t="str">
        <f t="shared" si="11"/>
        <v/>
      </c>
    </row>
    <row r="662">
      <c r="A662" s="1" t="s">
        <v>665</v>
      </c>
      <c r="B662" s="3" t="str">
        <f>IFERROR(__xludf.DUMMYFUNCTION("SPLIT(A662, "","")"),"9-44")</f>
        <v>9-44</v>
      </c>
      <c r="C662" s="4">
        <f>IFERROR(__xludf.DUMMYFUNCTION("""COMPUTED_VALUE"""),44779.0)</f>
        <v>44779</v>
      </c>
      <c r="D662" s="3">
        <f>IFERROR(__xludf.DUMMYFUNCTION("SPLIT(B662, ""-"")"),9.0)</f>
        <v>9</v>
      </c>
      <c r="E662" s="3">
        <f>IFERROR(__xludf.DUMMYFUNCTION("""COMPUTED_VALUE"""),44.0)</f>
        <v>44</v>
      </c>
      <c r="F662" s="3">
        <f>IFERROR(__xludf.DUMMYFUNCTION("SPLIT(C662, ""-"")"),6.0)</f>
        <v>6</v>
      </c>
      <c r="G662" s="3">
        <f>IFERROR(__xludf.DUMMYFUNCTION("""COMPUTED_VALUE"""),8.0)</f>
        <v>8</v>
      </c>
      <c r="I662" s="3" t="str">
        <f t="shared" si="1"/>
        <v/>
      </c>
      <c r="J662" s="3" t="str">
        <f t="shared" si="2"/>
        <v>y</v>
      </c>
      <c r="K662" s="3" t="str">
        <f t="shared" si="3"/>
        <v>y</v>
      </c>
      <c r="L662" s="3" t="str">
        <f t="shared" si="4"/>
        <v/>
      </c>
      <c r="N662" s="3" t="str">
        <f t="shared" si="5"/>
        <v/>
      </c>
      <c r="O662" s="3" t="str">
        <f t="shared" si="6"/>
        <v/>
      </c>
      <c r="Q662" s="3" t="str">
        <f t="shared" si="7"/>
        <v/>
      </c>
      <c r="U662" s="3">
        <f t="shared" si="8"/>
        <v>1</v>
      </c>
      <c r="V662" s="3" t="str">
        <f t="shared" si="9"/>
        <v>Överlapp</v>
      </c>
      <c r="W662" s="3">
        <f t="shared" si="10"/>
        <v>1</v>
      </c>
      <c r="X662" s="3">
        <f t="shared" si="11"/>
        <v>1</v>
      </c>
    </row>
    <row r="663">
      <c r="A663" s="1" t="s">
        <v>666</v>
      </c>
      <c r="B663" s="3" t="str">
        <f>IFERROR(__xludf.DUMMYFUNCTION("SPLIT(A663, "","")"),"57-57")</f>
        <v>57-57</v>
      </c>
      <c r="C663" s="3" t="str">
        <f>IFERROR(__xludf.DUMMYFUNCTION("""COMPUTED_VALUE"""),"51-58")</f>
        <v>51-58</v>
      </c>
      <c r="D663" s="3">
        <f>IFERROR(__xludf.DUMMYFUNCTION("SPLIT(B663, ""-"")"),57.0)</f>
        <v>57</v>
      </c>
      <c r="E663" s="3">
        <f>IFERROR(__xludf.DUMMYFUNCTION("""COMPUTED_VALUE"""),57.0)</f>
        <v>57</v>
      </c>
      <c r="F663" s="3">
        <f>IFERROR(__xludf.DUMMYFUNCTION("SPLIT(C663, ""-"")"),51.0)</f>
        <v>51</v>
      </c>
      <c r="G663" s="3">
        <f>IFERROR(__xludf.DUMMYFUNCTION("""COMPUTED_VALUE"""),58.0)</f>
        <v>58</v>
      </c>
      <c r="I663" s="3" t="str">
        <f t="shared" si="1"/>
        <v/>
      </c>
      <c r="J663" s="3" t="str">
        <f t="shared" si="2"/>
        <v/>
      </c>
      <c r="K663" s="3" t="str">
        <f t="shared" si="3"/>
        <v>y</v>
      </c>
      <c r="L663" s="3" t="str">
        <f t="shared" si="4"/>
        <v>y</v>
      </c>
      <c r="N663" s="3" t="str">
        <f t="shared" si="5"/>
        <v/>
      </c>
      <c r="O663" s="3">
        <f t="shared" si="6"/>
        <v>1</v>
      </c>
      <c r="Q663" s="3">
        <f t="shared" si="7"/>
        <v>1</v>
      </c>
      <c r="U663" s="3">
        <f t="shared" si="8"/>
        <v>1</v>
      </c>
      <c r="V663" s="3" t="str">
        <f t="shared" si="9"/>
        <v>Överlapp</v>
      </c>
      <c r="W663" s="3" t="str">
        <f t="shared" si="10"/>
        <v>Överlapp</v>
      </c>
      <c r="X663" s="3" t="str">
        <f t="shared" si="11"/>
        <v/>
      </c>
    </row>
    <row r="664">
      <c r="A664" s="1" t="s">
        <v>667</v>
      </c>
      <c r="B664" s="3" t="str">
        <f>IFERROR(__xludf.DUMMYFUNCTION("SPLIT(A664, "","")"),"27-97")</f>
        <v>27-97</v>
      </c>
      <c r="C664" s="3" t="str">
        <f>IFERROR(__xludf.DUMMYFUNCTION("""COMPUTED_VALUE"""),"26-97")</f>
        <v>26-97</v>
      </c>
      <c r="D664" s="3">
        <f>IFERROR(__xludf.DUMMYFUNCTION("SPLIT(B664, ""-"")"),27.0)</f>
        <v>27</v>
      </c>
      <c r="E664" s="3">
        <f>IFERROR(__xludf.DUMMYFUNCTION("""COMPUTED_VALUE"""),97.0)</f>
        <v>97</v>
      </c>
      <c r="F664" s="3">
        <f>IFERROR(__xludf.DUMMYFUNCTION("SPLIT(C664, ""-"")"),26.0)</f>
        <v>26</v>
      </c>
      <c r="G664" s="3">
        <f>IFERROR(__xludf.DUMMYFUNCTION("""COMPUTED_VALUE"""),97.0)</f>
        <v>97</v>
      </c>
      <c r="I664" s="3" t="str">
        <f t="shared" si="1"/>
        <v/>
      </c>
      <c r="J664" s="3" t="str">
        <f t="shared" si="2"/>
        <v>y</v>
      </c>
      <c r="K664" s="3" t="str">
        <f t="shared" si="3"/>
        <v>y</v>
      </c>
      <c r="L664" s="3" t="str">
        <f t="shared" si="4"/>
        <v>y</v>
      </c>
      <c r="N664" s="3" t="str">
        <f t="shared" si="5"/>
        <v/>
      </c>
      <c r="O664" s="3">
        <f t="shared" si="6"/>
        <v>1</v>
      </c>
      <c r="Q664" s="3">
        <f t="shared" si="7"/>
        <v>1</v>
      </c>
      <c r="U664" s="3" t="str">
        <f t="shared" si="8"/>
        <v>Överlapp</v>
      </c>
      <c r="V664" s="3" t="str">
        <f t="shared" si="9"/>
        <v>Överlapp</v>
      </c>
      <c r="W664" s="3" t="str">
        <f t="shared" si="10"/>
        <v>Överlapp</v>
      </c>
      <c r="X664" s="3" t="str">
        <f t="shared" si="11"/>
        <v/>
      </c>
    </row>
    <row r="665">
      <c r="A665" s="1" t="s">
        <v>668</v>
      </c>
      <c r="B665" s="3" t="str">
        <f>IFERROR(__xludf.DUMMYFUNCTION("SPLIT(A665, "","")"),"3-81")</f>
        <v>3-81</v>
      </c>
      <c r="C665" s="3" t="str">
        <f>IFERROR(__xludf.DUMMYFUNCTION("""COMPUTED_VALUE"""),"2-82")</f>
        <v>2-82</v>
      </c>
      <c r="D665" s="3">
        <f>IFERROR(__xludf.DUMMYFUNCTION("SPLIT(B665, ""-"")"),3.0)</f>
        <v>3</v>
      </c>
      <c r="E665" s="3">
        <f>IFERROR(__xludf.DUMMYFUNCTION("""COMPUTED_VALUE"""),81.0)</f>
        <v>81</v>
      </c>
      <c r="F665" s="3">
        <f>IFERROR(__xludf.DUMMYFUNCTION("SPLIT(C665, ""-"")"),2.0)</f>
        <v>2</v>
      </c>
      <c r="G665" s="3">
        <f>IFERROR(__xludf.DUMMYFUNCTION("""COMPUTED_VALUE"""),82.0)</f>
        <v>82</v>
      </c>
      <c r="I665" s="3" t="str">
        <f t="shared" si="1"/>
        <v/>
      </c>
      <c r="J665" s="3" t="str">
        <f t="shared" si="2"/>
        <v/>
      </c>
      <c r="K665" s="3" t="str">
        <f t="shared" si="3"/>
        <v>y</v>
      </c>
      <c r="L665" s="3" t="str">
        <f t="shared" si="4"/>
        <v>y</v>
      </c>
      <c r="N665" s="3" t="str">
        <f t="shared" si="5"/>
        <v/>
      </c>
      <c r="O665" s="3">
        <f t="shared" si="6"/>
        <v>1</v>
      </c>
      <c r="Q665" s="3">
        <f t="shared" si="7"/>
        <v>1</v>
      </c>
      <c r="U665" s="3">
        <f t="shared" si="8"/>
        <v>1</v>
      </c>
      <c r="V665" s="3" t="str">
        <f t="shared" si="9"/>
        <v>Överlapp</v>
      </c>
      <c r="W665" s="3" t="str">
        <f t="shared" si="10"/>
        <v>Överlapp</v>
      </c>
      <c r="X665" s="3" t="str">
        <f t="shared" si="11"/>
        <v/>
      </c>
    </row>
    <row r="666">
      <c r="A666" s="1" t="s">
        <v>669</v>
      </c>
      <c r="B666" s="3" t="str">
        <f>IFERROR(__xludf.DUMMYFUNCTION("SPLIT(A666, "","")"),"7-66")</f>
        <v>7-66</v>
      </c>
      <c r="C666" s="3" t="str">
        <f>IFERROR(__xludf.DUMMYFUNCTION("""COMPUTED_VALUE"""),"20-66")</f>
        <v>20-66</v>
      </c>
      <c r="D666" s="3">
        <f>IFERROR(__xludf.DUMMYFUNCTION("SPLIT(B666, ""-"")"),7.0)</f>
        <v>7</v>
      </c>
      <c r="E666" s="3">
        <f>IFERROR(__xludf.DUMMYFUNCTION("""COMPUTED_VALUE"""),66.0)</f>
        <v>66</v>
      </c>
      <c r="F666" s="3">
        <f>IFERROR(__xludf.DUMMYFUNCTION("SPLIT(C666, ""-"")"),20.0)</f>
        <v>20</v>
      </c>
      <c r="G666" s="3">
        <f>IFERROR(__xludf.DUMMYFUNCTION("""COMPUTED_VALUE"""),66.0)</f>
        <v>66</v>
      </c>
      <c r="I666" s="3" t="str">
        <f t="shared" si="1"/>
        <v>y</v>
      </c>
      <c r="J666" s="3" t="str">
        <f t="shared" si="2"/>
        <v>y</v>
      </c>
      <c r="K666" s="3" t="str">
        <f t="shared" si="3"/>
        <v/>
      </c>
      <c r="L666" s="3" t="str">
        <f t="shared" si="4"/>
        <v>y</v>
      </c>
      <c r="N666" s="3">
        <f t="shared" si="5"/>
        <v>1</v>
      </c>
      <c r="O666" s="3" t="str">
        <f t="shared" si="6"/>
        <v/>
      </c>
      <c r="Q666" s="3">
        <f t="shared" si="7"/>
        <v>1</v>
      </c>
      <c r="U666" s="3" t="str">
        <f t="shared" si="8"/>
        <v>Överlapp</v>
      </c>
      <c r="V666" s="3" t="str">
        <f t="shared" si="9"/>
        <v>Överlapp</v>
      </c>
      <c r="W666" s="3" t="str">
        <f t="shared" si="10"/>
        <v>Överlapp</v>
      </c>
      <c r="X666" s="3" t="str">
        <f t="shared" si="11"/>
        <v/>
      </c>
    </row>
    <row r="667">
      <c r="A667" s="1" t="s">
        <v>670</v>
      </c>
      <c r="B667" s="3" t="str">
        <f>IFERROR(__xludf.DUMMYFUNCTION("SPLIT(A667, "","")"),"52-85")</f>
        <v>52-85</v>
      </c>
      <c r="C667" s="3" t="str">
        <f>IFERROR(__xludf.DUMMYFUNCTION("""COMPUTED_VALUE"""),"53-86")</f>
        <v>53-86</v>
      </c>
      <c r="D667" s="3">
        <f>IFERROR(__xludf.DUMMYFUNCTION("SPLIT(B667, ""-"")"),52.0)</f>
        <v>52</v>
      </c>
      <c r="E667" s="3">
        <f>IFERROR(__xludf.DUMMYFUNCTION("""COMPUTED_VALUE"""),85.0)</f>
        <v>85</v>
      </c>
      <c r="F667" s="3">
        <f>IFERROR(__xludf.DUMMYFUNCTION("SPLIT(C667, ""-"")"),53.0)</f>
        <v>53</v>
      </c>
      <c r="G667" s="3">
        <f>IFERROR(__xludf.DUMMYFUNCTION("""COMPUTED_VALUE"""),86.0)</f>
        <v>86</v>
      </c>
      <c r="I667" s="3" t="str">
        <f t="shared" si="1"/>
        <v>y</v>
      </c>
      <c r="J667" s="3" t="str">
        <f t="shared" si="2"/>
        <v/>
      </c>
      <c r="K667" s="3" t="str">
        <f t="shared" si="3"/>
        <v/>
      </c>
      <c r="L667" s="3" t="str">
        <f t="shared" si="4"/>
        <v>y</v>
      </c>
      <c r="N667" s="3" t="str">
        <f t="shared" si="5"/>
        <v/>
      </c>
      <c r="O667" s="3" t="str">
        <f t="shared" si="6"/>
        <v/>
      </c>
      <c r="Q667" s="3" t="str">
        <f t="shared" si="7"/>
        <v/>
      </c>
      <c r="U667" s="3">
        <f t="shared" si="8"/>
        <v>1</v>
      </c>
      <c r="V667" s="3" t="str">
        <f t="shared" si="9"/>
        <v>Överlapp</v>
      </c>
      <c r="W667" s="3" t="str">
        <f t="shared" si="10"/>
        <v>Överlapp</v>
      </c>
      <c r="X667" s="3" t="str">
        <f t="shared" si="11"/>
        <v/>
      </c>
    </row>
    <row r="668">
      <c r="A668" s="1" t="s">
        <v>671</v>
      </c>
      <c r="B668" s="3" t="str">
        <f>IFERROR(__xludf.DUMMYFUNCTION("SPLIT(A668, "","")"),"61-99")</f>
        <v>61-99</v>
      </c>
      <c r="C668" s="3" t="str">
        <f>IFERROR(__xludf.DUMMYFUNCTION("""COMPUTED_VALUE"""),"62-99")</f>
        <v>62-99</v>
      </c>
      <c r="D668" s="3">
        <f>IFERROR(__xludf.DUMMYFUNCTION("SPLIT(B668, ""-"")"),61.0)</f>
        <v>61</v>
      </c>
      <c r="E668" s="3">
        <f>IFERROR(__xludf.DUMMYFUNCTION("""COMPUTED_VALUE"""),99.0)</f>
        <v>99</v>
      </c>
      <c r="F668" s="3">
        <f>IFERROR(__xludf.DUMMYFUNCTION("SPLIT(C668, ""-"")"),62.0)</f>
        <v>62</v>
      </c>
      <c r="G668" s="3">
        <f>IFERROR(__xludf.DUMMYFUNCTION("""COMPUTED_VALUE"""),99.0)</f>
        <v>99</v>
      </c>
      <c r="I668" s="3" t="str">
        <f t="shared" si="1"/>
        <v>y</v>
      </c>
      <c r="J668" s="3" t="str">
        <f t="shared" si="2"/>
        <v>y</v>
      </c>
      <c r="K668" s="3" t="str">
        <f t="shared" si="3"/>
        <v/>
      </c>
      <c r="L668" s="3" t="str">
        <f t="shared" si="4"/>
        <v>y</v>
      </c>
      <c r="N668" s="3">
        <f t="shared" si="5"/>
        <v>1</v>
      </c>
      <c r="O668" s="3" t="str">
        <f t="shared" si="6"/>
        <v/>
      </c>
      <c r="Q668" s="3">
        <f t="shared" si="7"/>
        <v>1</v>
      </c>
      <c r="U668" s="3" t="str">
        <f t="shared" si="8"/>
        <v>Överlapp</v>
      </c>
      <c r="V668" s="3" t="str">
        <f t="shared" si="9"/>
        <v>Överlapp</v>
      </c>
      <c r="W668" s="3" t="str">
        <f t="shared" si="10"/>
        <v>Överlapp</v>
      </c>
      <c r="X668" s="3" t="str">
        <f t="shared" si="11"/>
        <v/>
      </c>
    </row>
    <row r="669">
      <c r="A669" s="1" t="s">
        <v>672</v>
      </c>
      <c r="B669" s="3" t="str">
        <f>IFERROR(__xludf.DUMMYFUNCTION("SPLIT(A669, "","")"),"30-31")</f>
        <v>30-31</v>
      </c>
      <c r="C669" s="3" t="str">
        <f>IFERROR(__xludf.DUMMYFUNCTION("""COMPUTED_VALUE"""),"31-95")</f>
        <v>31-95</v>
      </c>
      <c r="D669" s="3">
        <f>IFERROR(__xludf.DUMMYFUNCTION("SPLIT(B669, ""-"")"),30.0)</f>
        <v>30</v>
      </c>
      <c r="E669" s="3">
        <f>IFERROR(__xludf.DUMMYFUNCTION("""COMPUTED_VALUE"""),31.0)</f>
        <v>31</v>
      </c>
      <c r="F669" s="3">
        <f>IFERROR(__xludf.DUMMYFUNCTION("SPLIT(C669, ""-"")"),31.0)</f>
        <v>31</v>
      </c>
      <c r="G669" s="3">
        <f>IFERROR(__xludf.DUMMYFUNCTION("""COMPUTED_VALUE"""),95.0)</f>
        <v>95</v>
      </c>
      <c r="I669" s="3" t="str">
        <f t="shared" si="1"/>
        <v>y</v>
      </c>
      <c r="J669" s="3" t="str">
        <f t="shared" si="2"/>
        <v/>
      </c>
      <c r="K669" s="3" t="str">
        <f t="shared" si="3"/>
        <v/>
      </c>
      <c r="L669" s="3" t="str">
        <f t="shared" si="4"/>
        <v>y</v>
      </c>
      <c r="N669" s="3" t="str">
        <f t="shared" si="5"/>
        <v/>
      </c>
      <c r="O669" s="3" t="str">
        <f t="shared" si="6"/>
        <v/>
      </c>
      <c r="Q669" s="3" t="str">
        <f t="shared" si="7"/>
        <v/>
      </c>
      <c r="U669" s="3" t="str">
        <f t="shared" si="8"/>
        <v>Överlapp</v>
      </c>
      <c r="V669" s="3" t="str">
        <f t="shared" si="9"/>
        <v>Överlapp</v>
      </c>
      <c r="W669" s="3" t="str">
        <f t="shared" si="10"/>
        <v>Överlapp</v>
      </c>
      <c r="X669" s="3" t="str">
        <f t="shared" si="11"/>
        <v/>
      </c>
    </row>
    <row r="670">
      <c r="A670" s="1" t="s">
        <v>673</v>
      </c>
      <c r="B670" s="3" t="str">
        <f>IFERROR(__xludf.DUMMYFUNCTION("SPLIT(A670, "","")"),"52-91")</f>
        <v>52-91</v>
      </c>
      <c r="C670" s="3" t="str">
        <f>IFERROR(__xludf.DUMMYFUNCTION("""COMPUTED_VALUE"""),"53-90")</f>
        <v>53-90</v>
      </c>
      <c r="D670" s="3">
        <f>IFERROR(__xludf.DUMMYFUNCTION("SPLIT(B670, ""-"")"),52.0)</f>
        <v>52</v>
      </c>
      <c r="E670" s="3">
        <f>IFERROR(__xludf.DUMMYFUNCTION("""COMPUTED_VALUE"""),91.0)</f>
        <v>91</v>
      </c>
      <c r="F670" s="3">
        <f>IFERROR(__xludf.DUMMYFUNCTION("SPLIT(C670, ""-"")"),53.0)</f>
        <v>53</v>
      </c>
      <c r="G670" s="3">
        <f>IFERROR(__xludf.DUMMYFUNCTION("""COMPUTED_VALUE"""),90.0)</f>
        <v>90</v>
      </c>
      <c r="I670" s="3" t="str">
        <f t="shared" si="1"/>
        <v>y</v>
      </c>
      <c r="J670" s="3" t="str">
        <f t="shared" si="2"/>
        <v>y</v>
      </c>
      <c r="K670" s="3" t="str">
        <f t="shared" si="3"/>
        <v/>
      </c>
      <c r="L670" s="3" t="str">
        <f t="shared" si="4"/>
        <v/>
      </c>
      <c r="N670" s="3">
        <f t="shared" si="5"/>
        <v>1</v>
      </c>
      <c r="O670" s="3" t="str">
        <f t="shared" si="6"/>
        <v/>
      </c>
      <c r="Q670" s="3">
        <f t="shared" si="7"/>
        <v>1</v>
      </c>
      <c r="U670" s="3">
        <f t="shared" si="8"/>
        <v>1</v>
      </c>
      <c r="V670" s="3" t="str">
        <f t="shared" si="9"/>
        <v>Överlapp</v>
      </c>
      <c r="W670" s="3" t="str">
        <f t="shared" si="10"/>
        <v>Överlapp</v>
      </c>
      <c r="X670" s="3" t="str">
        <f t="shared" si="11"/>
        <v/>
      </c>
    </row>
    <row r="671">
      <c r="A671" s="1" t="s">
        <v>674</v>
      </c>
      <c r="B671" s="3" t="str">
        <f>IFERROR(__xludf.DUMMYFUNCTION("SPLIT(A671, "","")"),"41-43")</f>
        <v>41-43</v>
      </c>
      <c r="C671" s="3" t="str">
        <f>IFERROR(__xludf.DUMMYFUNCTION("""COMPUTED_VALUE"""),"42-96")</f>
        <v>42-96</v>
      </c>
      <c r="D671" s="3">
        <f>IFERROR(__xludf.DUMMYFUNCTION("SPLIT(B671, ""-"")"),41.0)</f>
        <v>41</v>
      </c>
      <c r="E671" s="3">
        <f>IFERROR(__xludf.DUMMYFUNCTION("""COMPUTED_VALUE"""),43.0)</f>
        <v>43</v>
      </c>
      <c r="F671" s="3">
        <f>IFERROR(__xludf.DUMMYFUNCTION("SPLIT(C671, ""-"")"),42.0)</f>
        <v>42</v>
      </c>
      <c r="G671" s="3">
        <f>IFERROR(__xludf.DUMMYFUNCTION("""COMPUTED_VALUE"""),96.0)</f>
        <v>96</v>
      </c>
      <c r="I671" s="3" t="str">
        <f t="shared" si="1"/>
        <v>y</v>
      </c>
      <c r="J671" s="3" t="str">
        <f t="shared" si="2"/>
        <v/>
      </c>
      <c r="K671" s="3" t="str">
        <f t="shared" si="3"/>
        <v/>
      </c>
      <c r="L671" s="3" t="str">
        <f t="shared" si="4"/>
        <v>y</v>
      </c>
      <c r="N671" s="3" t="str">
        <f t="shared" si="5"/>
        <v/>
      </c>
      <c r="O671" s="3" t="str">
        <f t="shared" si="6"/>
        <v/>
      </c>
      <c r="Q671" s="3" t="str">
        <f t="shared" si="7"/>
        <v/>
      </c>
      <c r="U671" s="3">
        <f t="shared" si="8"/>
        <v>1</v>
      </c>
      <c r="V671" s="3" t="str">
        <f t="shared" si="9"/>
        <v>Överlapp</v>
      </c>
      <c r="W671" s="3" t="str">
        <f t="shared" si="10"/>
        <v>Överlapp</v>
      </c>
      <c r="X671" s="3" t="str">
        <f t="shared" si="11"/>
        <v/>
      </c>
    </row>
    <row r="672">
      <c r="A672" s="1" t="s">
        <v>675</v>
      </c>
      <c r="B672" s="3" t="str">
        <f>IFERROR(__xludf.DUMMYFUNCTION("SPLIT(A672, "","")"),"65-65")</f>
        <v>65-65</v>
      </c>
      <c r="C672" s="3" t="str">
        <f>IFERROR(__xludf.DUMMYFUNCTION("""COMPUTED_VALUE"""),"47-67")</f>
        <v>47-67</v>
      </c>
      <c r="D672" s="3">
        <f>IFERROR(__xludf.DUMMYFUNCTION("SPLIT(B672, ""-"")"),65.0)</f>
        <v>65</v>
      </c>
      <c r="E672" s="3">
        <f>IFERROR(__xludf.DUMMYFUNCTION("""COMPUTED_VALUE"""),65.0)</f>
        <v>65</v>
      </c>
      <c r="F672" s="3">
        <f>IFERROR(__xludf.DUMMYFUNCTION("SPLIT(C672, ""-"")"),47.0)</f>
        <v>47</v>
      </c>
      <c r="G672" s="3">
        <f>IFERROR(__xludf.DUMMYFUNCTION("""COMPUTED_VALUE"""),67.0)</f>
        <v>67</v>
      </c>
      <c r="I672" s="3" t="str">
        <f t="shared" si="1"/>
        <v/>
      </c>
      <c r="J672" s="3" t="str">
        <f t="shared" si="2"/>
        <v/>
      </c>
      <c r="K672" s="3" t="str">
        <f t="shared" si="3"/>
        <v>y</v>
      </c>
      <c r="L672" s="3" t="str">
        <f t="shared" si="4"/>
        <v>y</v>
      </c>
      <c r="N672" s="3" t="str">
        <f t="shared" si="5"/>
        <v/>
      </c>
      <c r="O672" s="3">
        <f t="shared" si="6"/>
        <v>1</v>
      </c>
      <c r="Q672" s="3">
        <f t="shared" si="7"/>
        <v>1</v>
      </c>
      <c r="U672" s="3">
        <f t="shared" si="8"/>
        <v>1</v>
      </c>
      <c r="V672" s="3" t="str">
        <f t="shared" si="9"/>
        <v>Överlapp</v>
      </c>
      <c r="W672" s="3" t="str">
        <f t="shared" si="10"/>
        <v>Överlapp</v>
      </c>
      <c r="X672" s="3" t="str">
        <f t="shared" si="11"/>
        <v/>
      </c>
    </row>
    <row r="673">
      <c r="A673" s="1" t="s">
        <v>676</v>
      </c>
      <c r="B673" s="3" t="str">
        <f>IFERROR(__xludf.DUMMYFUNCTION("SPLIT(A673, "","")"),"13-13")</f>
        <v>13-13</v>
      </c>
      <c r="C673" s="3" t="str">
        <f>IFERROR(__xludf.DUMMYFUNCTION("""COMPUTED_VALUE"""),"12-87")</f>
        <v>12-87</v>
      </c>
      <c r="D673" s="3">
        <f>IFERROR(__xludf.DUMMYFUNCTION("SPLIT(B673, ""-"")"),13.0)</f>
        <v>13</v>
      </c>
      <c r="E673" s="3">
        <f>IFERROR(__xludf.DUMMYFUNCTION("""COMPUTED_VALUE"""),13.0)</f>
        <v>13</v>
      </c>
      <c r="F673" s="3">
        <f>IFERROR(__xludf.DUMMYFUNCTION("SPLIT(C673, ""-"")"),12.0)</f>
        <v>12</v>
      </c>
      <c r="G673" s="3">
        <f>IFERROR(__xludf.DUMMYFUNCTION("""COMPUTED_VALUE"""),87.0)</f>
        <v>87</v>
      </c>
      <c r="I673" s="3" t="str">
        <f t="shared" si="1"/>
        <v/>
      </c>
      <c r="J673" s="3" t="str">
        <f t="shared" si="2"/>
        <v/>
      </c>
      <c r="K673" s="3" t="str">
        <f t="shared" si="3"/>
        <v>y</v>
      </c>
      <c r="L673" s="3" t="str">
        <f t="shared" si="4"/>
        <v>y</v>
      </c>
      <c r="N673" s="3" t="str">
        <f t="shared" si="5"/>
        <v/>
      </c>
      <c r="O673" s="3">
        <f t="shared" si="6"/>
        <v>1</v>
      </c>
      <c r="Q673" s="3">
        <f t="shared" si="7"/>
        <v>1</v>
      </c>
      <c r="U673" s="3">
        <f t="shared" si="8"/>
        <v>1</v>
      </c>
      <c r="V673" s="3" t="str">
        <f t="shared" si="9"/>
        <v>Överlapp</v>
      </c>
      <c r="W673" s="3" t="str">
        <f t="shared" si="10"/>
        <v>Överlapp</v>
      </c>
      <c r="X673" s="3" t="str">
        <f t="shared" si="11"/>
        <v/>
      </c>
    </row>
    <row r="674">
      <c r="A674" s="1" t="s">
        <v>677</v>
      </c>
      <c r="B674" s="3" t="str">
        <f>IFERROR(__xludf.DUMMYFUNCTION("SPLIT(A674, "","")"),"23-26")</f>
        <v>23-26</v>
      </c>
      <c r="C674" s="3" t="str">
        <f>IFERROR(__xludf.DUMMYFUNCTION("""COMPUTED_VALUE"""),"23-27")</f>
        <v>23-27</v>
      </c>
      <c r="D674" s="3">
        <f>IFERROR(__xludf.DUMMYFUNCTION("SPLIT(B674, ""-"")"),23.0)</f>
        <v>23</v>
      </c>
      <c r="E674" s="3">
        <f>IFERROR(__xludf.DUMMYFUNCTION("""COMPUTED_VALUE"""),26.0)</f>
        <v>26</v>
      </c>
      <c r="F674" s="3">
        <f>IFERROR(__xludf.DUMMYFUNCTION("SPLIT(C674, ""-"")"),23.0)</f>
        <v>23</v>
      </c>
      <c r="G674" s="3">
        <f>IFERROR(__xludf.DUMMYFUNCTION("""COMPUTED_VALUE"""),27.0)</f>
        <v>27</v>
      </c>
      <c r="I674" s="3" t="str">
        <f t="shared" si="1"/>
        <v>y</v>
      </c>
      <c r="J674" s="3" t="str">
        <f t="shared" si="2"/>
        <v/>
      </c>
      <c r="K674" s="3" t="str">
        <f t="shared" si="3"/>
        <v>y</v>
      </c>
      <c r="L674" s="3" t="str">
        <f t="shared" si="4"/>
        <v>y</v>
      </c>
      <c r="N674" s="3" t="str">
        <f t="shared" si="5"/>
        <v/>
      </c>
      <c r="O674" s="3">
        <f t="shared" si="6"/>
        <v>1</v>
      </c>
      <c r="Q674" s="3">
        <f t="shared" si="7"/>
        <v>1</v>
      </c>
      <c r="U674" s="3" t="str">
        <f t="shared" si="8"/>
        <v>Överlapp</v>
      </c>
      <c r="V674" s="3" t="str">
        <f t="shared" si="9"/>
        <v>Överlapp</v>
      </c>
      <c r="W674" s="3" t="str">
        <f t="shared" si="10"/>
        <v>Överlapp</v>
      </c>
      <c r="X674" s="3" t="str">
        <f t="shared" si="11"/>
        <v/>
      </c>
    </row>
    <row r="675">
      <c r="A675" s="1" t="s">
        <v>678</v>
      </c>
      <c r="B675" s="3" t="str">
        <f>IFERROR(__xludf.DUMMYFUNCTION("SPLIT(A675, "","")"),"83-85")</f>
        <v>83-85</v>
      </c>
      <c r="C675" s="3" t="str">
        <f>IFERROR(__xludf.DUMMYFUNCTION("""COMPUTED_VALUE"""),"49-84")</f>
        <v>49-84</v>
      </c>
      <c r="D675" s="3">
        <f>IFERROR(__xludf.DUMMYFUNCTION("SPLIT(B675, ""-"")"),83.0)</f>
        <v>83</v>
      </c>
      <c r="E675" s="3">
        <f>IFERROR(__xludf.DUMMYFUNCTION("""COMPUTED_VALUE"""),85.0)</f>
        <v>85</v>
      </c>
      <c r="F675" s="3">
        <f>IFERROR(__xludf.DUMMYFUNCTION("SPLIT(C675, ""-"")"),49.0)</f>
        <v>49</v>
      </c>
      <c r="G675" s="3">
        <f>IFERROR(__xludf.DUMMYFUNCTION("""COMPUTED_VALUE"""),84.0)</f>
        <v>84</v>
      </c>
      <c r="I675" s="3" t="str">
        <f t="shared" si="1"/>
        <v/>
      </c>
      <c r="J675" s="3" t="str">
        <f t="shared" si="2"/>
        <v>y</v>
      </c>
      <c r="K675" s="3" t="str">
        <f t="shared" si="3"/>
        <v>y</v>
      </c>
      <c r="L675" s="3" t="str">
        <f t="shared" si="4"/>
        <v/>
      </c>
      <c r="N675" s="3" t="str">
        <f t="shared" si="5"/>
        <v/>
      </c>
      <c r="O675" s="3" t="str">
        <f t="shared" si="6"/>
        <v/>
      </c>
      <c r="Q675" s="3" t="str">
        <f t="shared" si="7"/>
        <v/>
      </c>
      <c r="U675" s="3">
        <f t="shared" si="8"/>
        <v>1</v>
      </c>
      <c r="V675" s="3" t="str">
        <f t="shared" si="9"/>
        <v>Överlapp</v>
      </c>
      <c r="W675" s="3" t="str">
        <f t="shared" si="10"/>
        <v>Överlapp</v>
      </c>
      <c r="X675" s="3" t="str">
        <f t="shared" si="11"/>
        <v/>
      </c>
    </row>
    <row r="676">
      <c r="A676" s="1" t="s">
        <v>679</v>
      </c>
      <c r="B676" s="3" t="str">
        <f>IFERROR(__xludf.DUMMYFUNCTION("SPLIT(A676, "","")"),"11-16")</f>
        <v>11-16</v>
      </c>
      <c r="C676" s="3" t="str">
        <f>IFERROR(__xludf.DUMMYFUNCTION("""COMPUTED_VALUE"""),"10-60")</f>
        <v>10-60</v>
      </c>
      <c r="D676" s="3">
        <f>IFERROR(__xludf.DUMMYFUNCTION("SPLIT(B676, ""-"")"),11.0)</f>
        <v>11</v>
      </c>
      <c r="E676" s="3">
        <f>IFERROR(__xludf.DUMMYFUNCTION("""COMPUTED_VALUE"""),16.0)</f>
        <v>16</v>
      </c>
      <c r="F676" s="3">
        <f>IFERROR(__xludf.DUMMYFUNCTION("SPLIT(C676, ""-"")"),10.0)</f>
        <v>10</v>
      </c>
      <c r="G676" s="3">
        <f>IFERROR(__xludf.DUMMYFUNCTION("""COMPUTED_VALUE"""),60.0)</f>
        <v>60</v>
      </c>
      <c r="I676" s="3" t="str">
        <f t="shared" si="1"/>
        <v/>
      </c>
      <c r="J676" s="3" t="str">
        <f t="shared" si="2"/>
        <v/>
      </c>
      <c r="K676" s="3" t="str">
        <f t="shared" si="3"/>
        <v>y</v>
      </c>
      <c r="L676" s="3" t="str">
        <f t="shared" si="4"/>
        <v>y</v>
      </c>
      <c r="N676" s="3" t="str">
        <f t="shared" si="5"/>
        <v/>
      </c>
      <c r="O676" s="3">
        <f t="shared" si="6"/>
        <v>1</v>
      </c>
      <c r="Q676" s="3">
        <f t="shared" si="7"/>
        <v>1</v>
      </c>
      <c r="U676" s="3">
        <f t="shared" si="8"/>
        <v>1</v>
      </c>
      <c r="V676" s="3" t="str">
        <f t="shared" si="9"/>
        <v>Överlapp</v>
      </c>
      <c r="W676" s="3" t="str">
        <f t="shared" si="10"/>
        <v>Överlapp</v>
      </c>
      <c r="X676" s="3" t="str">
        <f t="shared" si="11"/>
        <v/>
      </c>
    </row>
    <row r="677">
      <c r="A677" s="1" t="s">
        <v>680</v>
      </c>
      <c r="B677" s="3" t="str">
        <f>IFERROR(__xludf.DUMMYFUNCTION("SPLIT(A677, "","")"),"16-84")</f>
        <v>16-84</v>
      </c>
      <c r="C677" s="3" t="str">
        <f>IFERROR(__xludf.DUMMYFUNCTION("""COMPUTED_VALUE"""),"7-83")</f>
        <v>7-83</v>
      </c>
      <c r="D677" s="3">
        <f>IFERROR(__xludf.DUMMYFUNCTION("SPLIT(B677, ""-"")"),16.0)</f>
        <v>16</v>
      </c>
      <c r="E677" s="3">
        <f>IFERROR(__xludf.DUMMYFUNCTION("""COMPUTED_VALUE"""),84.0)</f>
        <v>84</v>
      </c>
      <c r="F677" s="3">
        <f>IFERROR(__xludf.DUMMYFUNCTION("SPLIT(C677, ""-"")"),7.0)</f>
        <v>7</v>
      </c>
      <c r="G677" s="3">
        <f>IFERROR(__xludf.DUMMYFUNCTION("""COMPUTED_VALUE"""),83.0)</f>
        <v>83</v>
      </c>
      <c r="I677" s="3" t="str">
        <f t="shared" si="1"/>
        <v/>
      </c>
      <c r="J677" s="3" t="str">
        <f t="shared" si="2"/>
        <v>y</v>
      </c>
      <c r="K677" s="3" t="str">
        <f t="shared" si="3"/>
        <v>y</v>
      </c>
      <c r="L677" s="3" t="str">
        <f t="shared" si="4"/>
        <v/>
      </c>
      <c r="N677" s="3" t="str">
        <f t="shared" si="5"/>
        <v/>
      </c>
      <c r="O677" s="3" t="str">
        <f t="shared" si="6"/>
        <v/>
      </c>
      <c r="Q677" s="3" t="str">
        <f t="shared" si="7"/>
        <v/>
      </c>
      <c r="U677" s="3">
        <f t="shared" si="8"/>
        <v>1</v>
      </c>
      <c r="V677" s="3" t="str">
        <f t="shared" si="9"/>
        <v>Överlapp</v>
      </c>
      <c r="W677" s="3" t="str">
        <f t="shared" si="10"/>
        <v>Överlapp</v>
      </c>
      <c r="X677" s="3" t="str">
        <f t="shared" si="11"/>
        <v/>
      </c>
    </row>
    <row r="678">
      <c r="A678" s="1" t="s">
        <v>681</v>
      </c>
      <c r="B678" s="3" t="str">
        <f>IFERROR(__xludf.DUMMYFUNCTION("SPLIT(A678, "","")"),"85-85")</f>
        <v>85-85</v>
      </c>
      <c r="C678" s="3" t="str">
        <f>IFERROR(__xludf.DUMMYFUNCTION("""COMPUTED_VALUE"""),"32-85")</f>
        <v>32-85</v>
      </c>
      <c r="D678" s="3">
        <f>IFERROR(__xludf.DUMMYFUNCTION("SPLIT(B678, ""-"")"),85.0)</f>
        <v>85</v>
      </c>
      <c r="E678" s="3">
        <f>IFERROR(__xludf.DUMMYFUNCTION("""COMPUTED_VALUE"""),85.0)</f>
        <v>85</v>
      </c>
      <c r="F678" s="3">
        <f>IFERROR(__xludf.DUMMYFUNCTION("SPLIT(C678, ""-"")"),32.0)</f>
        <v>32</v>
      </c>
      <c r="G678" s="3">
        <f>IFERROR(__xludf.DUMMYFUNCTION("""COMPUTED_VALUE"""),85.0)</f>
        <v>85</v>
      </c>
      <c r="I678" s="3" t="str">
        <f t="shared" si="1"/>
        <v/>
      </c>
      <c r="J678" s="3" t="str">
        <f t="shared" si="2"/>
        <v>y</v>
      </c>
      <c r="K678" s="3" t="str">
        <f t="shared" si="3"/>
        <v>y</v>
      </c>
      <c r="L678" s="3" t="str">
        <f t="shared" si="4"/>
        <v>y</v>
      </c>
      <c r="N678" s="3" t="str">
        <f t="shared" si="5"/>
        <v/>
      </c>
      <c r="O678" s="3">
        <f t="shared" si="6"/>
        <v>1</v>
      </c>
      <c r="Q678" s="3">
        <f t="shared" si="7"/>
        <v>1</v>
      </c>
      <c r="U678" s="3" t="str">
        <f t="shared" si="8"/>
        <v>Överlapp</v>
      </c>
      <c r="V678" s="3" t="str">
        <f t="shared" si="9"/>
        <v>Överlapp</v>
      </c>
      <c r="W678" s="3" t="str">
        <f t="shared" si="10"/>
        <v>Överlapp</v>
      </c>
      <c r="X678" s="3" t="str">
        <f t="shared" si="11"/>
        <v/>
      </c>
    </row>
    <row r="679">
      <c r="A679" s="1" t="s">
        <v>682</v>
      </c>
      <c r="B679" s="3" t="str">
        <f>IFERROR(__xludf.DUMMYFUNCTION("SPLIT(A679, "","")"),"51-59")</f>
        <v>51-59</v>
      </c>
      <c r="C679" s="3" t="str">
        <f>IFERROR(__xludf.DUMMYFUNCTION("""COMPUTED_VALUE"""),"59-86")</f>
        <v>59-86</v>
      </c>
      <c r="D679" s="3">
        <f>IFERROR(__xludf.DUMMYFUNCTION("SPLIT(B679, ""-"")"),51.0)</f>
        <v>51</v>
      </c>
      <c r="E679" s="3">
        <f>IFERROR(__xludf.DUMMYFUNCTION("""COMPUTED_VALUE"""),59.0)</f>
        <v>59</v>
      </c>
      <c r="F679" s="3">
        <f>IFERROR(__xludf.DUMMYFUNCTION("SPLIT(C679, ""-"")"),59.0)</f>
        <v>59</v>
      </c>
      <c r="G679" s="3">
        <f>IFERROR(__xludf.DUMMYFUNCTION("""COMPUTED_VALUE"""),86.0)</f>
        <v>86</v>
      </c>
      <c r="I679" s="3" t="str">
        <f t="shared" si="1"/>
        <v>y</v>
      </c>
      <c r="J679" s="3" t="str">
        <f t="shared" si="2"/>
        <v/>
      </c>
      <c r="K679" s="3" t="str">
        <f t="shared" si="3"/>
        <v/>
      </c>
      <c r="L679" s="3" t="str">
        <f t="shared" si="4"/>
        <v>y</v>
      </c>
      <c r="N679" s="3" t="str">
        <f t="shared" si="5"/>
        <v/>
      </c>
      <c r="O679" s="3" t="str">
        <f t="shared" si="6"/>
        <v/>
      </c>
      <c r="Q679" s="3" t="str">
        <f t="shared" si="7"/>
        <v/>
      </c>
      <c r="U679" s="3" t="str">
        <f t="shared" si="8"/>
        <v>Överlapp</v>
      </c>
      <c r="V679" s="3" t="str">
        <f t="shared" si="9"/>
        <v>Överlapp</v>
      </c>
      <c r="W679" s="3" t="str">
        <f t="shared" si="10"/>
        <v>Överlapp</v>
      </c>
      <c r="X679" s="3" t="str">
        <f t="shared" si="11"/>
        <v/>
      </c>
    </row>
    <row r="680">
      <c r="A680" s="1" t="s">
        <v>683</v>
      </c>
      <c r="B680" s="3" t="str">
        <f>IFERROR(__xludf.DUMMYFUNCTION("SPLIT(A680, "","")"),"18-59")</f>
        <v>18-59</v>
      </c>
      <c r="C680" s="3" t="str">
        <f>IFERROR(__xludf.DUMMYFUNCTION("""COMPUTED_VALUE"""),"19-61")</f>
        <v>19-61</v>
      </c>
      <c r="D680" s="3">
        <f>IFERROR(__xludf.DUMMYFUNCTION("SPLIT(B680, ""-"")"),18.0)</f>
        <v>18</v>
      </c>
      <c r="E680" s="3">
        <f>IFERROR(__xludf.DUMMYFUNCTION("""COMPUTED_VALUE"""),59.0)</f>
        <v>59</v>
      </c>
      <c r="F680" s="3">
        <f>IFERROR(__xludf.DUMMYFUNCTION("SPLIT(C680, ""-"")"),19.0)</f>
        <v>19</v>
      </c>
      <c r="G680" s="3">
        <f>IFERROR(__xludf.DUMMYFUNCTION("""COMPUTED_VALUE"""),61.0)</f>
        <v>61</v>
      </c>
      <c r="I680" s="3" t="str">
        <f t="shared" si="1"/>
        <v>y</v>
      </c>
      <c r="J680" s="3" t="str">
        <f t="shared" si="2"/>
        <v/>
      </c>
      <c r="K680" s="3" t="str">
        <f t="shared" si="3"/>
        <v/>
      </c>
      <c r="L680" s="3" t="str">
        <f t="shared" si="4"/>
        <v>y</v>
      </c>
      <c r="N680" s="3" t="str">
        <f t="shared" si="5"/>
        <v/>
      </c>
      <c r="O680" s="3" t="str">
        <f t="shared" si="6"/>
        <v/>
      </c>
      <c r="Q680" s="3" t="str">
        <f t="shared" si="7"/>
        <v/>
      </c>
      <c r="U680" s="3">
        <f t="shared" si="8"/>
        <v>1</v>
      </c>
      <c r="V680" s="3" t="str">
        <f t="shared" si="9"/>
        <v>Överlapp</v>
      </c>
      <c r="W680" s="3" t="str">
        <f t="shared" si="10"/>
        <v>Överlapp</v>
      </c>
      <c r="X680" s="3" t="str">
        <f t="shared" si="11"/>
        <v/>
      </c>
    </row>
    <row r="681">
      <c r="A681" s="1" t="s">
        <v>684</v>
      </c>
      <c r="B681" s="3" t="str">
        <f>IFERROR(__xludf.DUMMYFUNCTION("SPLIT(A681, "","")"),"92-94")</f>
        <v>92-94</v>
      </c>
      <c r="C681" s="3" t="str">
        <f>IFERROR(__xludf.DUMMYFUNCTION("""COMPUTED_VALUE"""),"18-93")</f>
        <v>18-93</v>
      </c>
      <c r="D681" s="3">
        <f>IFERROR(__xludf.DUMMYFUNCTION("SPLIT(B681, ""-"")"),92.0)</f>
        <v>92</v>
      </c>
      <c r="E681" s="3">
        <f>IFERROR(__xludf.DUMMYFUNCTION("""COMPUTED_VALUE"""),94.0)</f>
        <v>94</v>
      </c>
      <c r="F681" s="3">
        <f>IFERROR(__xludf.DUMMYFUNCTION("SPLIT(C681, ""-"")"),18.0)</f>
        <v>18</v>
      </c>
      <c r="G681" s="3">
        <f>IFERROR(__xludf.DUMMYFUNCTION("""COMPUTED_VALUE"""),93.0)</f>
        <v>93</v>
      </c>
      <c r="I681" s="3" t="str">
        <f t="shared" si="1"/>
        <v/>
      </c>
      <c r="J681" s="3" t="str">
        <f t="shared" si="2"/>
        <v>y</v>
      </c>
      <c r="K681" s="3" t="str">
        <f t="shared" si="3"/>
        <v>y</v>
      </c>
      <c r="L681" s="3" t="str">
        <f t="shared" si="4"/>
        <v/>
      </c>
      <c r="N681" s="3" t="str">
        <f t="shared" si="5"/>
        <v/>
      </c>
      <c r="O681" s="3" t="str">
        <f t="shared" si="6"/>
        <v/>
      </c>
      <c r="Q681" s="3" t="str">
        <f t="shared" si="7"/>
        <v/>
      </c>
      <c r="U681" s="3">
        <f t="shared" si="8"/>
        <v>1</v>
      </c>
      <c r="V681" s="3" t="str">
        <f t="shared" si="9"/>
        <v>Överlapp</v>
      </c>
      <c r="W681" s="3" t="str">
        <f t="shared" si="10"/>
        <v>Överlapp</v>
      </c>
      <c r="X681" s="3" t="str">
        <f t="shared" si="11"/>
        <v/>
      </c>
    </row>
    <row r="682">
      <c r="A682" s="1" t="s">
        <v>685</v>
      </c>
      <c r="B682" s="3" t="str">
        <f>IFERROR(__xludf.DUMMYFUNCTION("SPLIT(A682, "","")"),"97-97")</f>
        <v>97-97</v>
      </c>
      <c r="C682" s="3" t="str">
        <f>IFERROR(__xludf.DUMMYFUNCTION("""COMPUTED_VALUE"""),"3-97")</f>
        <v>3-97</v>
      </c>
      <c r="D682" s="3">
        <f>IFERROR(__xludf.DUMMYFUNCTION("SPLIT(B682, ""-"")"),97.0)</f>
        <v>97</v>
      </c>
      <c r="E682" s="3">
        <f>IFERROR(__xludf.DUMMYFUNCTION("""COMPUTED_VALUE"""),97.0)</f>
        <v>97</v>
      </c>
      <c r="F682" s="3">
        <f>IFERROR(__xludf.DUMMYFUNCTION("SPLIT(C682, ""-"")"),3.0)</f>
        <v>3</v>
      </c>
      <c r="G682" s="3">
        <f>IFERROR(__xludf.DUMMYFUNCTION("""COMPUTED_VALUE"""),97.0)</f>
        <v>97</v>
      </c>
      <c r="I682" s="3" t="str">
        <f t="shared" si="1"/>
        <v/>
      </c>
      <c r="J682" s="3" t="str">
        <f t="shared" si="2"/>
        <v>y</v>
      </c>
      <c r="K682" s="3" t="str">
        <f t="shared" si="3"/>
        <v>y</v>
      </c>
      <c r="L682" s="3" t="str">
        <f t="shared" si="4"/>
        <v>y</v>
      </c>
      <c r="N682" s="3" t="str">
        <f t="shared" si="5"/>
        <v/>
      </c>
      <c r="O682" s="3">
        <f t="shared" si="6"/>
        <v>1</v>
      </c>
      <c r="Q682" s="3">
        <f t="shared" si="7"/>
        <v>1</v>
      </c>
      <c r="U682" s="3" t="str">
        <f t="shared" si="8"/>
        <v>Överlapp</v>
      </c>
      <c r="V682" s="3" t="str">
        <f t="shared" si="9"/>
        <v>Överlapp</v>
      </c>
      <c r="W682" s="3" t="str">
        <f t="shared" si="10"/>
        <v>Överlapp</v>
      </c>
      <c r="X682" s="3" t="str">
        <f t="shared" si="11"/>
        <v/>
      </c>
    </row>
    <row r="683">
      <c r="A683" s="1" t="s">
        <v>686</v>
      </c>
      <c r="B683" s="3" t="str">
        <f>IFERROR(__xludf.DUMMYFUNCTION("SPLIT(A683, "","")"),"21-21")</f>
        <v>21-21</v>
      </c>
      <c r="C683" s="3" t="str">
        <f>IFERROR(__xludf.DUMMYFUNCTION("""COMPUTED_VALUE"""),"3-22")</f>
        <v>3-22</v>
      </c>
      <c r="D683" s="3">
        <f>IFERROR(__xludf.DUMMYFUNCTION("SPLIT(B683, ""-"")"),21.0)</f>
        <v>21</v>
      </c>
      <c r="E683" s="3">
        <f>IFERROR(__xludf.DUMMYFUNCTION("""COMPUTED_VALUE"""),21.0)</f>
        <v>21</v>
      </c>
      <c r="F683" s="3">
        <f>IFERROR(__xludf.DUMMYFUNCTION("SPLIT(C683, ""-"")"),3.0)</f>
        <v>3</v>
      </c>
      <c r="G683" s="3">
        <f>IFERROR(__xludf.DUMMYFUNCTION("""COMPUTED_VALUE"""),22.0)</f>
        <v>22</v>
      </c>
      <c r="I683" s="3" t="str">
        <f t="shared" si="1"/>
        <v/>
      </c>
      <c r="J683" s="3" t="str">
        <f t="shared" si="2"/>
        <v/>
      </c>
      <c r="K683" s="3" t="str">
        <f t="shared" si="3"/>
        <v>y</v>
      </c>
      <c r="L683" s="3" t="str">
        <f t="shared" si="4"/>
        <v>y</v>
      </c>
      <c r="N683" s="3" t="str">
        <f t="shared" si="5"/>
        <v/>
      </c>
      <c r="O683" s="3">
        <f t="shared" si="6"/>
        <v>1</v>
      </c>
      <c r="Q683" s="3">
        <f t="shared" si="7"/>
        <v>1</v>
      </c>
      <c r="U683" s="3">
        <f t="shared" si="8"/>
        <v>1</v>
      </c>
      <c r="V683" s="3" t="str">
        <f t="shared" si="9"/>
        <v>Överlapp</v>
      </c>
      <c r="W683" s="3" t="str">
        <f t="shared" si="10"/>
        <v>Överlapp</v>
      </c>
      <c r="X683" s="3" t="str">
        <f t="shared" si="11"/>
        <v/>
      </c>
    </row>
    <row r="684">
      <c r="A684" s="1" t="s">
        <v>687</v>
      </c>
      <c r="B684" s="3" t="str">
        <f>IFERROR(__xludf.DUMMYFUNCTION("SPLIT(A684, "","")"),"23-25")</f>
        <v>23-25</v>
      </c>
      <c r="C684" s="3" t="str">
        <f>IFERROR(__xludf.DUMMYFUNCTION("""COMPUTED_VALUE"""),"24-24")</f>
        <v>24-24</v>
      </c>
      <c r="D684" s="3">
        <f>IFERROR(__xludf.DUMMYFUNCTION("SPLIT(B684, ""-"")"),23.0)</f>
        <v>23</v>
      </c>
      <c r="E684" s="3">
        <f>IFERROR(__xludf.DUMMYFUNCTION("""COMPUTED_VALUE"""),25.0)</f>
        <v>25</v>
      </c>
      <c r="F684" s="3">
        <f>IFERROR(__xludf.DUMMYFUNCTION("SPLIT(C684, ""-"")"),24.0)</f>
        <v>24</v>
      </c>
      <c r="G684" s="3">
        <f>IFERROR(__xludf.DUMMYFUNCTION("""COMPUTED_VALUE"""),24.0)</f>
        <v>24</v>
      </c>
      <c r="I684" s="3" t="str">
        <f t="shared" si="1"/>
        <v>y</v>
      </c>
      <c r="J684" s="3" t="str">
        <f t="shared" si="2"/>
        <v>y</v>
      </c>
      <c r="K684" s="3" t="str">
        <f t="shared" si="3"/>
        <v/>
      </c>
      <c r="L684" s="3" t="str">
        <f t="shared" si="4"/>
        <v/>
      </c>
      <c r="N684" s="3">
        <f t="shared" si="5"/>
        <v>1</v>
      </c>
      <c r="O684" s="3" t="str">
        <f t="shared" si="6"/>
        <v/>
      </c>
      <c r="Q684" s="3">
        <f t="shared" si="7"/>
        <v>1</v>
      </c>
      <c r="U684" s="3">
        <f t="shared" si="8"/>
        <v>1</v>
      </c>
      <c r="V684" s="3" t="str">
        <f t="shared" si="9"/>
        <v>Överlapp</v>
      </c>
      <c r="W684" s="3" t="str">
        <f t="shared" si="10"/>
        <v>Överlapp</v>
      </c>
      <c r="X684" s="3" t="str">
        <f t="shared" si="11"/>
        <v/>
      </c>
    </row>
    <row r="685">
      <c r="A685" s="1" t="s">
        <v>688</v>
      </c>
      <c r="B685" s="3" t="str">
        <f>IFERROR(__xludf.DUMMYFUNCTION("SPLIT(A685, "","")"),"5-73")</f>
        <v>5-73</v>
      </c>
      <c r="C685" s="3" t="str">
        <f>IFERROR(__xludf.DUMMYFUNCTION("""COMPUTED_VALUE"""),"5-72")</f>
        <v>5-72</v>
      </c>
      <c r="D685" s="3">
        <f>IFERROR(__xludf.DUMMYFUNCTION("SPLIT(B685, ""-"")"),5.0)</f>
        <v>5</v>
      </c>
      <c r="E685" s="3">
        <f>IFERROR(__xludf.DUMMYFUNCTION("""COMPUTED_VALUE"""),73.0)</f>
        <v>73</v>
      </c>
      <c r="F685" s="3">
        <f>IFERROR(__xludf.DUMMYFUNCTION("SPLIT(C685, ""-"")"),5.0)</f>
        <v>5</v>
      </c>
      <c r="G685" s="3">
        <f>IFERROR(__xludf.DUMMYFUNCTION("""COMPUTED_VALUE"""),72.0)</f>
        <v>72</v>
      </c>
      <c r="I685" s="3" t="str">
        <f t="shared" si="1"/>
        <v>y</v>
      </c>
      <c r="J685" s="3" t="str">
        <f t="shared" si="2"/>
        <v>y</v>
      </c>
      <c r="K685" s="3" t="str">
        <f t="shared" si="3"/>
        <v>y</v>
      </c>
      <c r="L685" s="3" t="str">
        <f t="shared" si="4"/>
        <v/>
      </c>
      <c r="N685" s="3">
        <f t="shared" si="5"/>
        <v>1</v>
      </c>
      <c r="O685" s="3" t="str">
        <f t="shared" si="6"/>
        <v/>
      </c>
      <c r="Q685" s="3">
        <f t="shared" si="7"/>
        <v>1</v>
      </c>
      <c r="U685" s="3" t="str">
        <f t="shared" si="8"/>
        <v>Överlapp</v>
      </c>
      <c r="V685" s="3" t="str">
        <f t="shared" si="9"/>
        <v>Överlapp</v>
      </c>
      <c r="W685" s="3" t="str">
        <f t="shared" si="10"/>
        <v>Överlapp</v>
      </c>
      <c r="X685" s="3" t="str">
        <f t="shared" si="11"/>
        <v/>
      </c>
    </row>
    <row r="686">
      <c r="A686" s="1" t="s">
        <v>689</v>
      </c>
      <c r="B686" s="3" t="str">
        <f>IFERROR(__xludf.DUMMYFUNCTION("SPLIT(A686, "","")"),"43-44")</f>
        <v>43-44</v>
      </c>
      <c r="C686" s="3" t="str">
        <f>IFERROR(__xludf.DUMMYFUNCTION("""COMPUTED_VALUE"""),"9-44")</f>
        <v>9-44</v>
      </c>
      <c r="D686" s="3">
        <f>IFERROR(__xludf.DUMMYFUNCTION("SPLIT(B686, ""-"")"),43.0)</f>
        <v>43</v>
      </c>
      <c r="E686" s="3">
        <f>IFERROR(__xludf.DUMMYFUNCTION("""COMPUTED_VALUE"""),44.0)</f>
        <v>44</v>
      </c>
      <c r="F686" s="3">
        <f>IFERROR(__xludf.DUMMYFUNCTION("SPLIT(C686, ""-"")"),9.0)</f>
        <v>9</v>
      </c>
      <c r="G686" s="3">
        <f>IFERROR(__xludf.DUMMYFUNCTION("""COMPUTED_VALUE"""),44.0)</f>
        <v>44</v>
      </c>
      <c r="I686" s="3" t="str">
        <f t="shared" si="1"/>
        <v/>
      </c>
      <c r="J686" s="3" t="str">
        <f t="shared" si="2"/>
        <v>y</v>
      </c>
      <c r="K686" s="3" t="str">
        <f t="shared" si="3"/>
        <v>y</v>
      </c>
      <c r="L686" s="3" t="str">
        <f t="shared" si="4"/>
        <v>y</v>
      </c>
      <c r="N686" s="3" t="str">
        <f t="shared" si="5"/>
        <v/>
      </c>
      <c r="O686" s="3">
        <f t="shared" si="6"/>
        <v>1</v>
      </c>
      <c r="Q686" s="3">
        <f t="shared" si="7"/>
        <v>1</v>
      </c>
      <c r="U686" s="3" t="str">
        <f t="shared" si="8"/>
        <v>Överlapp</v>
      </c>
      <c r="V686" s="3" t="str">
        <f t="shared" si="9"/>
        <v>Överlapp</v>
      </c>
      <c r="W686" s="3" t="str">
        <f t="shared" si="10"/>
        <v>Överlapp</v>
      </c>
      <c r="X686" s="3" t="str">
        <f t="shared" si="11"/>
        <v/>
      </c>
    </row>
    <row r="687">
      <c r="A687" s="1" t="s">
        <v>690</v>
      </c>
      <c r="B687" s="3" t="str">
        <f>IFERROR(__xludf.DUMMYFUNCTION("SPLIT(A687, "","")"),"74-87")</f>
        <v>74-87</v>
      </c>
      <c r="C687" s="3" t="str">
        <f>IFERROR(__xludf.DUMMYFUNCTION("""COMPUTED_VALUE"""),"75-81")</f>
        <v>75-81</v>
      </c>
      <c r="D687" s="3">
        <f>IFERROR(__xludf.DUMMYFUNCTION("SPLIT(B687, ""-"")"),74.0)</f>
        <v>74</v>
      </c>
      <c r="E687" s="3">
        <f>IFERROR(__xludf.DUMMYFUNCTION("""COMPUTED_VALUE"""),87.0)</f>
        <v>87</v>
      </c>
      <c r="F687" s="3">
        <f>IFERROR(__xludf.DUMMYFUNCTION("SPLIT(C687, ""-"")"),75.0)</f>
        <v>75</v>
      </c>
      <c r="G687" s="3">
        <f>IFERROR(__xludf.DUMMYFUNCTION("""COMPUTED_VALUE"""),81.0)</f>
        <v>81</v>
      </c>
      <c r="I687" s="3" t="str">
        <f t="shared" si="1"/>
        <v>y</v>
      </c>
      <c r="J687" s="3" t="str">
        <f t="shared" si="2"/>
        <v>y</v>
      </c>
      <c r="K687" s="3" t="str">
        <f t="shared" si="3"/>
        <v/>
      </c>
      <c r="L687" s="3" t="str">
        <f t="shared" si="4"/>
        <v/>
      </c>
      <c r="N687" s="3">
        <f t="shared" si="5"/>
        <v>1</v>
      </c>
      <c r="O687" s="3" t="str">
        <f t="shared" si="6"/>
        <v/>
      </c>
      <c r="Q687" s="3">
        <f t="shared" si="7"/>
        <v>1</v>
      </c>
      <c r="U687" s="3">
        <f t="shared" si="8"/>
        <v>1</v>
      </c>
      <c r="V687" s="3" t="str">
        <f t="shared" si="9"/>
        <v>Överlapp</v>
      </c>
      <c r="W687" s="3" t="str">
        <f t="shared" si="10"/>
        <v>Överlapp</v>
      </c>
      <c r="X687" s="3" t="str">
        <f t="shared" si="11"/>
        <v/>
      </c>
    </row>
    <row r="688">
      <c r="A688" s="1" t="s">
        <v>691</v>
      </c>
      <c r="B688" s="3" t="str">
        <f>IFERROR(__xludf.DUMMYFUNCTION("SPLIT(A688, "","")"),"72-78")</f>
        <v>72-78</v>
      </c>
      <c r="C688" s="3" t="str">
        <f>IFERROR(__xludf.DUMMYFUNCTION("""COMPUTED_VALUE"""),"72-82")</f>
        <v>72-82</v>
      </c>
      <c r="D688" s="3">
        <f>IFERROR(__xludf.DUMMYFUNCTION("SPLIT(B688, ""-"")"),72.0)</f>
        <v>72</v>
      </c>
      <c r="E688" s="3">
        <f>IFERROR(__xludf.DUMMYFUNCTION("""COMPUTED_VALUE"""),78.0)</f>
        <v>78</v>
      </c>
      <c r="F688" s="3">
        <f>IFERROR(__xludf.DUMMYFUNCTION("SPLIT(C688, ""-"")"),72.0)</f>
        <v>72</v>
      </c>
      <c r="G688" s="3">
        <f>IFERROR(__xludf.DUMMYFUNCTION("""COMPUTED_VALUE"""),82.0)</f>
        <v>82</v>
      </c>
      <c r="I688" s="3" t="str">
        <f t="shared" si="1"/>
        <v>y</v>
      </c>
      <c r="J688" s="3" t="str">
        <f t="shared" si="2"/>
        <v/>
      </c>
      <c r="K688" s="3" t="str">
        <f t="shared" si="3"/>
        <v>y</v>
      </c>
      <c r="L688" s="3" t="str">
        <f t="shared" si="4"/>
        <v>y</v>
      </c>
      <c r="N688" s="3" t="str">
        <f t="shared" si="5"/>
        <v/>
      </c>
      <c r="O688" s="3">
        <f t="shared" si="6"/>
        <v>1</v>
      </c>
      <c r="Q688" s="3">
        <f t="shared" si="7"/>
        <v>1</v>
      </c>
      <c r="U688" s="3" t="str">
        <f t="shared" si="8"/>
        <v>Överlapp</v>
      </c>
      <c r="V688" s="3" t="str">
        <f t="shared" si="9"/>
        <v>Överlapp</v>
      </c>
      <c r="W688" s="3" t="str">
        <f t="shared" si="10"/>
        <v>Överlapp</v>
      </c>
      <c r="X688" s="3" t="str">
        <f t="shared" si="11"/>
        <v/>
      </c>
    </row>
    <row r="689">
      <c r="A689" s="1" t="s">
        <v>692</v>
      </c>
      <c r="B689" s="3" t="str">
        <f>IFERROR(__xludf.DUMMYFUNCTION("SPLIT(A689, "","")"),"40-88")</f>
        <v>40-88</v>
      </c>
      <c r="C689" s="3" t="str">
        <f>IFERROR(__xludf.DUMMYFUNCTION("""COMPUTED_VALUE"""),"40-48")</f>
        <v>40-48</v>
      </c>
      <c r="D689" s="3">
        <f>IFERROR(__xludf.DUMMYFUNCTION("SPLIT(B689, ""-"")"),40.0)</f>
        <v>40</v>
      </c>
      <c r="E689" s="3">
        <f>IFERROR(__xludf.DUMMYFUNCTION("""COMPUTED_VALUE"""),88.0)</f>
        <v>88</v>
      </c>
      <c r="F689" s="3">
        <f>IFERROR(__xludf.DUMMYFUNCTION("SPLIT(C689, ""-"")"),40.0)</f>
        <v>40</v>
      </c>
      <c r="G689" s="3">
        <f>IFERROR(__xludf.DUMMYFUNCTION("""COMPUTED_VALUE"""),48.0)</f>
        <v>48</v>
      </c>
      <c r="I689" s="3" t="str">
        <f t="shared" si="1"/>
        <v>y</v>
      </c>
      <c r="J689" s="3" t="str">
        <f t="shared" si="2"/>
        <v>y</v>
      </c>
      <c r="K689" s="3" t="str">
        <f t="shared" si="3"/>
        <v>y</v>
      </c>
      <c r="L689" s="3" t="str">
        <f t="shared" si="4"/>
        <v/>
      </c>
      <c r="N689" s="3">
        <f t="shared" si="5"/>
        <v>1</v>
      </c>
      <c r="O689" s="3" t="str">
        <f t="shared" si="6"/>
        <v/>
      </c>
      <c r="Q689" s="3">
        <f t="shared" si="7"/>
        <v>1</v>
      </c>
      <c r="U689" s="3" t="str">
        <f t="shared" si="8"/>
        <v>Överlapp</v>
      </c>
      <c r="V689" s="3" t="str">
        <f t="shared" si="9"/>
        <v>Överlapp</v>
      </c>
      <c r="W689" s="3" t="str">
        <f t="shared" si="10"/>
        <v>Överlapp</v>
      </c>
      <c r="X689" s="3" t="str">
        <f t="shared" si="11"/>
        <v/>
      </c>
    </row>
    <row r="690">
      <c r="A690" s="1" t="s">
        <v>693</v>
      </c>
      <c r="B690" s="3" t="str">
        <f>IFERROR(__xludf.DUMMYFUNCTION("SPLIT(A690, "","")"),"7-91")</f>
        <v>7-91</v>
      </c>
      <c r="C690" s="4">
        <f>IFERROR(__xludf.DUMMYFUNCTION("""COMPUTED_VALUE"""),44780.0)</f>
        <v>44780</v>
      </c>
      <c r="D690" s="3">
        <f>IFERROR(__xludf.DUMMYFUNCTION("SPLIT(B690, ""-"")"),7.0)</f>
        <v>7</v>
      </c>
      <c r="E690" s="3">
        <f>IFERROR(__xludf.DUMMYFUNCTION("""COMPUTED_VALUE"""),91.0)</f>
        <v>91</v>
      </c>
      <c r="F690" s="3">
        <f>IFERROR(__xludf.DUMMYFUNCTION("SPLIT(C690, ""-"")"),7.0)</f>
        <v>7</v>
      </c>
      <c r="G690" s="3">
        <f>IFERROR(__xludf.DUMMYFUNCTION("""COMPUTED_VALUE"""),8.0)</f>
        <v>8</v>
      </c>
      <c r="I690" s="3" t="str">
        <f t="shared" si="1"/>
        <v>y</v>
      </c>
      <c r="J690" s="3" t="str">
        <f t="shared" si="2"/>
        <v>y</v>
      </c>
      <c r="K690" s="3" t="str">
        <f t="shared" si="3"/>
        <v>y</v>
      </c>
      <c r="L690" s="3" t="str">
        <f t="shared" si="4"/>
        <v/>
      </c>
      <c r="N690" s="3">
        <f t="shared" si="5"/>
        <v>1</v>
      </c>
      <c r="O690" s="3" t="str">
        <f t="shared" si="6"/>
        <v/>
      </c>
      <c r="Q690" s="3">
        <f t="shared" si="7"/>
        <v>1</v>
      </c>
      <c r="U690" s="3" t="str">
        <f t="shared" si="8"/>
        <v>Överlapp</v>
      </c>
      <c r="V690" s="3" t="str">
        <f t="shared" si="9"/>
        <v>Överlapp</v>
      </c>
      <c r="W690" s="3" t="str">
        <f t="shared" si="10"/>
        <v>Överlapp</v>
      </c>
      <c r="X690" s="3" t="str">
        <f t="shared" si="11"/>
        <v/>
      </c>
    </row>
    <row r="691">
      <c r="A691" s="1" t="s">
        <v>694</v>
      </c>
      <c r="B691" s="3" t="str">
        <f>IFERROR(__xludf.DUMMYFUNCTION("SPLIT(A691, "","")"),"39-52")</f>
        <v>39-52</v>
      </c>
      <c r="C691" s="3" t="str">
        <f>IFERROR(__xludf.DUMMYFUNCTION("""COMPUTED_VALUE"""),"40-97")</f>
        <v>40-97</v>
      </c>
      <c r="D691" s="3">
        <f>IFERROR(__xludf.DUMMYFUNCTION("SPLIT(B691, ""-"")"),39.0)</f>
        <v>39</v>
      </c>
      <c r="E691" s="3">
        <f>IFERROR(__xludf.DUMMYFUNCTION("""COMPUTED_VALUE"""),52.0)</f>
        <v>52</v>
      </c>
      <c r="F691" s="3">
        <f>IFERROR(__xludf.DUMMYFUNCTION("SPLIT(C691, ""-"")"),40.0)</f>
        <v>40</v>
      </c>
      <c r="G691" s="3">
        <f>IFERROR(__xludf.DUMMYFUNCTION("""COMPUTED_VALUE"""),97.0)</f>
        <v>97</v>
      </c>
      <c r="I691" s="3" t="str">
        <f t="shared" si="1"/>
        <v>y</v>
      </c>
      <c r="J691" s="3" t="str">
        <f t="shared" si="2"/>
        <v/>
      </c>
      <c r="K691" s="3" t="str">
        <f t="shared" si="3"/>
        <v/>
      </c>
      <c r="L691" s="3" t="str">
        <f t="shared" si="4"/>
        <v>y</v>
      </c>
      <c r="N691" s="3" t="str">
        <f t="shared" si="5"/>
        <v/>
      </c>
      <c r="O691" s="3" t="str">
        <f t="shared" si="6"/>
        <v/>
      </c>
      <c r="Q691" s="3" t="str">
        <f t="shared" si="7"/>
        <v/>
      </c>
      <c r="U691" s="3">
        <f t="shared" si="8"/>
        <v>1</v>
      </c>
      <c r="V691" s="3" t="str">
        <f t="shared" si="9"/>
        <v>Överlapp</v>
      </c>
      <c r="W691" s="3" t="str">
        <f t="shared" si="10"/>
        <v>Överlapp</v>
      </c>
      <c r="X691" s="3" t="str">
        <f t="shared" si="11"/>
        <v/>
      </c>
    </row>
    <row r="692">
      <c r="A692" s="1" t="s">
        <v>695</v>
      </c>
      <c r="B692" s="3" t="str">
        <f>IFERROR(__xludf.DUMMYFUNCTION("SPLIT(A692, "","")"),"20-52")</f>
        <v>20-52</v>
      </c>
      <c r="C692" s="3" t="str">
        <f>IFERROR(__xludf.DUMMYFUNCTION("""COMPUTED_VALUE"""),"21-93")</f>
        <v>21-93</v>
      </c>
      <c r="D692" s="3">
        <f>IFERROR(__xludf.DUMMYFUNCTION("SPLIT(B692, ""-"")"),20.0)</f>
        <v>20</v>
      </c>
      <c r="E692" s="3">
        <f>IFERROR(__xludf.DUMMYFUNCTION("""COMPUTED_VALUE"""),52.0)</f>
        <v>52</v>
      </c>
      <c r="F692" s="3">
        <f>IFERROR(__xludf.DUMMYFUNCTION("SPLIT(C692, ""-"")"),21.0)</f>
        <v>21</v>
      </c>
      <c r="G692" s="3">
        <f>IFERROR(__xludf.DUMMYFUNCTION("""COMPUTED_VALUE"""),93.0)</f>
        <v>93</v>
      </c>
      <c r="I692" s="3" t="str">
        <f t="shared" si="1"/>
        <v>y</v>
      </c>
      <c r="J692" s="3" t="str">
        <f t="shared" si="2"/>
        <v/>
      </c>
      <c r="K692" s="3" t="str">
        <f t="shared" si="3"/>
        <v/>
      </c>
      <c r="L692" s="3" t="str">
        <f t="shared" si="4"/>
        <v>y</v>
      </c>
      <c r="N692" s="3" t="str">
        <f t="shared" si="5"/>
        <v/>
      </c>
      <c r="O692" s="3" t="str">
        <f t="shared" si="6"/>
        <v/>
      </c>
      <c r="Q692" s="3" t="str">
        <f t="shared" si="7"/>
        <v/>
      </c>
      <c r="U692" s="3">
        <f t="shared" si="8"/>
        <v>1</v>
      </c>
      <c r="V692" s="3" t="str">
        <f t="shared" si="9"/>
        <v>Överlapp</v>
      </c>
      <c r="W692" s="3" t="str">
        <f t="shared" si="10"/>
        <v>Överlapp</v>
      </c>
      <c r="X692" s="3" t="str">
        <f t="shared" si="11"/>
        <v/>
      </c>
    </row>
    <row r="693">
      <c r="A693" s="1" t="s">
        <v>696</v>
      </c>
      <c r="B693" s="3" t="str">
        <f>IFERROR(__xludf.DUMMYFUNCTION("SPLIT(A693, "","")"),"11-88")</f>
        <v>11-88</v>
      </c>
      <c r="C693" s="3" t="str">
        <f>IFERROR(__xludf.DUMMYFUNCTION("""COMPUTED_VALUE"""),"44-76")</f>
        <v>44-76</v>
      </c>
      <c r="D693" s="3">
        <f>IFERROR(__xludf.DUMMYFUNCTION("SPLIT(B693, ""-"")"),11.0)</f>
        <v>11</v>
      </c>
      <c r="E693" s="3">
        <f>IFERROR(__xludf.DUMMYFUNCTION("""COMPUTED_VALUE"""),88.0)</f>
        <v>88</v>
      </c>
      <c r="F693" s="3">
        <f>IFERROR(__xludf.DUMMYFUNCTION("SPLIT(C693, ""-"")"),44.0)</f>
        <v>44</v>
      </c>
      <c r="G693" s="3">
        <f>IFERROR(__xludf.DUMMYFUNCTION("""COMPUTED_VALUE"""),76.0)</f>
        <v>76</v>
      </c>
      <c r="I693" s="3" t="str">
        <f t="shared" si="1"/>
        <v>y</v>
      </c>
      <c r="J693" s="3" t="str">
        <f t="shared" si="2"/>
        <v>y</v>
      </c>
      <c r="K693" s="3" t="str">
        <f t="shared" si="3"/>
        <v/>
      </c>
      <c r="L693" s="3" t="str">
        <f t="shared" si="4"/>
        <v/>
      </c>
      <c r="N693" s="3">
        <f t="shared" si="5"/>
        <v>1</v>
      </c>
      <c r="O693" s="3" t="str">
        <f t="shared" si="6"/>
        <v/>
      </c>
      <c r="Q693" s="3">
        <f t="shared" si="7"/>
        <v>1</v>
      </c>
      <c r="U693" s="3">
        <f t="shared" si="8"/>
        <v>1</v>
      </c>
      <c r="V693" s="3" t="str">
        <f t="shared" si="9"/>
        <v>Överlapp</v>
      </c>
      <c r="W693" s="3" t="str">
        <f t="shared" si="10"/>
        <v>Överlapp</v>
      </c>
      <c r="X693" s="3" t="str">
        <f t="shared" si="11"/>
        <v/>
      </c>
    </row>
    <row r="694">
      <c r="A694" s="1" t="s">
        <v>697</v>
      </c>
      <c r="B694" s="3" t="str">
        <f>IFERROR(__xludf.DUMMYFUNCTION("SPLIT(A694, "","")"),"90-98")</f>
        <v>90-98</v>
      </c>
      <c r="C694" s="3" t="str">
        <f>IFERROR(__xludf.DUMMYFUNCTION("""COMPUTED_VALUE"""),"32-39")</f>
        <v>32-39</v>
      </c>
      <c r="D694" s="3">
        <f>IFERROR(__xludf.DUMMYFUNCTION("SPLIT(B694, ""-"")"),90.0)</f>
        <v>90</v>
      </c>
      <c r="E694" s="3">
        <f>IFERROR(__xludf.DUMMYFUNCTION("""COMPUTED_VALUE"""),98.0)</f>
        <v>98</v>
      </c>
      <c r="F694" s="3">
        <f>IFERROR(__xludf.DUMMYFUNCTION("SPLIT(C694, ""-"")"),32.0)</f>
        <v>32</v>
      </c>
      <c r="G694" s="3">
        <f>IFERROR(__xludf.DUMMYFUNCTION("""COMPUTED_VALUE"""),39.0)</f>
        <v>39</v>
      </c>
      <c r="I694" s="3" t="str">
        <f t="shared" si="1"/>
        <v/>
      </c>
      <c r="J694" s="3" t="str">
        <f t="shared" si="2"/>
        <v>y</v>
      </c>
      <c r="K694" s="3" t="str">
        <f t="shared" si="3"/>
        <v>y</v>
      </c>
      <c r="L694" s="3" t="str">
        <f t="shared" si="4"/>
        <v/>
      </c>
      <c r="N694" s="3" t="str">
        <f t="shared" si="5"/>
        <v/>
      </c>
      <c r="O694" s="3" t="str">
        <f t="shared" si="6"/>
        <v/>
      </c>
      <c r="Q694" s="3" t="str">
        <f t="shared" si="7"/>
        <v/>
      </c>
      <c r="U694" s="3">
        <f t="shared" si="8"/>
        <v>1</v>
      </c>
      <c r="V694" s="3" t="str">
        <f t="shared" si="9"/>
        <v>Överlapp</v>
      </c>
      <c r="W694" s="3">
        <f t="shared" si="10"/>
        <v>1</v>
      </c>
      <c r="X694" s="3">
        <f t="shared" si="11"/>
        <v>1</v>
      </c>
    </row>
    <row r="695">
      <c r="A695" s="1" t="s">
        <v>698</v>
      </c>
      <c r="B695" s="3" t="str">
        <f>IFERROR(__xludf.DUMMYFUNCTION("SPLIT(A695, "","")"),"35-86")</f>
        <v>35-86</v>
      </c>
      <c r="C695" s="3" t="str">
        <f>IFERROR(__xludf.DUMMYFUNCTION("""COMPUTED_VALUE"""),"36-36")</f>
        <v>36-36</v>
      </c>
      <c r="D695" s="3">
        <f>IFERROR(__xludf.DUMMYFUNCTION("SPLIT(B695, ""-"")"),35.0)</f>
        <v>35</v>
      </c>
      <c r="E695" s="3">
        <f>IFERROR(__xludf.DUMMYFUNCTION("""COMPUTED_VALUE"""),86.0)</f>
        <v>86</v>
      </c>
      <c r="F695" s="3">
        <f>IFERROR(__xludf.DUMMYFUNCTION("SPLIT(C695, ""-"")"),36.0)</f>
        <v>36</v>
      </c>
      <c r="G695" s="3">
        <f>IFERROR(__xludf.DUMMYFUNCTION("""COMPUTED_VALUE"""),36.0)</f>
        <v>36</v>
      </c>
      <c r="I695" s="3" t="str">
        <f t="shared" si="1"/>
        <v>y</v>
      </c>
      <c r="J695" s="3" t="str">
        <f t="shared" si="2"/>
        <v>y</v>
      </c>
      <c r="K695" s="3" t="str">
        <f t="shared" si="3"/>
        <v/>
      </c>
      <c r="L695" s="3" t="str">
        <f t="shared" si="4"/>
        <v/>
      </c>
      <c r="N695" s="3">
        <f t="shared" si="5"/>
        <v>1</v>
      </c>
      <c r="O695" s="3" t="str">
        <f t="shared" si="6"/>
        <v/>
      </c>
      <c r="Q695" s="3">
        <f t="shared" si="7"/>
        <v>1</v>
      </c>
      <c r="U695" s="3">
        <f t="shared" si="8"/>
        <v>1</v>
      </c>
      <c r="V695" s="3" t="str">
        <f t="shared" si="9"/>
        <v>Överlapp</v>
      </c>
      <c r="W695" s="3" t="str">
        <f t="shared" si="10"/>
        <v>Överlapp</v>
      </c>
      <c r="X695" s="3" t="str">
        <f t="shared" si="11"/>
        <v/>
      </c>
    </row>
    <row r="696">
      <c r="A696" s="1" t="s">
        <v>699</v>
      </c>
      <c r="B696" s="3" t="str">
        <f>IFERROR(__xludf.DUMMYFUNCTION("SPLIT(A696, "","")"),"78-95")</f>
        <v>78-95</v>
      </c>
      <c r="C696" s="3" t="str">
        <f>IFERROR(__xludf.DUMMYFUNCTION("""COMPUTED_VALUE"""),"67-79")</f>
        <v>67-79</v>
      </c>
      <c r="D696" s="3">
        <f>IFERROR(__xludf.DUMMYFUNCTION("SPLIT(B696, ""-"")"),78.0)</f>
        <v>78</v>
      </c>
      <c r="E696" s="3">
        <f>IFERROR(__xludf.DUMMYFUNCTION("""COMPUTED_VALUE"""),95.0)</f>
        <v>95</v>
      </c>
      <c r="F696" s="3">
        <f>IFERROR(__xludf.DUMMYFUNCTION("SPLIT(C696, ""-"")"),67.0)</f>
        <v>67</v>
      </c>
      <c r="G696" s="3">
        <f>IFERROR(__xludf.DUMMYFUNCTION("""COMPUTED_VALUE"""),79.0)</f>
        <v>79</v>
      </c>
      <c r="I696" s="3" t="str">
        <f t="shared" si="1"/>
        <v/>
      </c>
      <c r="J696" s="3" t="str">
        <f t="shared" si="2"/>
        <v>y</v>
      </c>
      <c r="K696" s="3" t="str">
        <f t="shared" si="3"/>
        <v>y</v>
      </c>
      <c r="L696" s="3" t="str">
        <f t="shared" si="4"/>
        <v/>
      </c>
      <c r="N696" s="3" t="str">
        <f t="shared" si="5"/>
        <v/>
      </c>
      <c r="O696" s="3" t="str">
        <f t="shared" si="6"/>
        <v/>
      </c>
      <c r="Q696" s="3" t="str">
        <f t="shared" si="7"/>
        <v/>
      </c>
      <c r="U696" s="3">
        <f t="shared" si="8"/>
        <v>1</v>
      </c>
      <c r="V696" s="3" t="str">
        <f t="shared" si="9"/>
        <v>Överlapp</v>
      </c>
      <c r="W696" s="3" t="str">
        <f t="shared" si="10"/>
        <v>Överlapp</v>
      </c>
      <c r="X696" s="3" t="str">
        <f t="shared" si="11"/>
        <v/>
      </c>
    </row>
    <row r="697">
      <c r="A697" s="1" t="s">
        <v>700</v>
      </c>
      <c r="B697" s="3" t="str">
        <f>IFERROR(__xludf.DUMMYFUNCTION("SPLIT(A697, "","")"),"11-22")</f>
        <v>11-22</v>
      </c>
      <c r="C697" s="3" t="str">
        <f>IFERROR(__xludf.DUMMYFUNCTION("""COMPUTED_VALUE"""),"12-72")</f>
        <v>12-72</v>
      </c>
      <c r="D697" s="3">
        <f>IFERROR(__xludf.DUMMYFUNCTION("SPLIT(B697, ""-"")"),11.0)</f>
        <v>11</v>
      </c>
      <c r="E697" s="3">
        <f>IFERROR(__xludf.DUMMYFUNCTION("""COMPUTED_VALUE"""),22.0)</f>
        <v>22</v>
      </c>
      <c r="F697" s="3">
        <f>IFERROR(__xludf.DUMMYFUNCTION("SPLIT(C697, ""-"")"),12.0)</f>
        <v>12</v>
      </c>
      <c r="G697" s="3">
        <f>IFERROR(__xludf.DUMMYFUNCTION("""COMPUTED_VALUE"""),72.0)</f>
        <v>72</v>
      </c>
      <c r="I697" s="3" t="str">
        <f t="shared" si="1"/>
        <v>y</v>
      </c>
      <c r="J697" s="3" t="str">
        <f t="shared" si="2"/>
        <v/>
      </c>
      <c r="K697" s="3" t="str">
        <f t="shared" si="3"/>
        <v/>
      </c>
      <c r="L697" s="3" t="str">
        <f t="shared" si="4"/>
        <v>y</v>
      </c>
      <c r="N697" s="3" t="str">
        <f t="shared" si="5"/>
        <v/>
      </c>
      <c r="O697" s="3" t="str">
        <f t="shared" si="6"/>
        <v/>
      </c>
      <c r="Q697" s="3" t="str">
        <f t="shared" si="7"/>
        <v/>
      </c>
      <c r="U697" s="3">
        <f t="shared" si="8"/>
        <v>1</v>
      </c>
      <c r="V697" s="3" t="str">
        <f t="shared" si="9"/>
        <v>Överlapp</v>
      </c>
      <c r="W697" s="3" t="str">
        <f t="shared" si="10"/>
        <v>Överlapp</v>
      </c>
      <c r="X697" s="3" t="str">
        <f t="shared" si="11"/>
        <v/>
      </c>
    </row>
    <row r="698">
      <c r="A698" s="1" t="s">
        <v>701</v>
      </c>
      <c r="B698" s="3" t="str">
        <f>IFERROR(__xludf.DUMMYFUNCTION("SPLIT(A698, "","")"),"41-94")</f>
        <v>41-94</v>
      </c>
      <c r="C698" s="3" t="str">
        <f>IFERROR(__xludf.DUMMYFUNCTION("""COMPUTED_VALUE"""),"94-95")</f>
        <v>94-95</v>
      </c>
      <c r="D698" s="3">
        <f>IFERROR(__xludf.DUMMYFUNCTION("SPLIT(B698, ""-"")"),41.0)</f>
        <v>41</v>
      </c>
      <c r="E698" s="3">
        <f>IFERROR(__xludf.DUMMYFUNCTION("""COMPUTED_VALUE"""),94.0)</f>
        <v>94</v>
      </c>
      <c r="F698" s="3">
        <f>IFERROR(__xludf.DUMMYFUNCTION("SPLIT(C698, ""-"")"),94.0)</f>
        <v>94</v>
      </c>
      <c r="G698" s="3">
        <f>IFERROR(__xludf.DUMMYFUNCTION("""COMPUTED_VALUE"""),95.0)</f>
        <v>95</v>
      </c>
      <c r="I698" s="3" t="str">
        <f t="shared" si="1"/>
        <v>y</v>
      </c>
      <c r="J698" s="3" t="str">
        <f t="shared" si="2"/>
        <v/>
      </c>
      <c r="K698" s="3" t="str">
        <f t="shared" si="3"/>
        <v/>
      </c>
      <c r="L698" s="3" t="str">
        <f t="shared" si="4"/>
        <v>y</v>
      </c>
      <c r="N698" s="3" t="str">
        <f t="shared" si="5"/>
        <v/>
      </c>
      <c r="O698" s="3" t="str">
        <f t="shared" si="6"/>
        <v/>
      </c>
      <c r="Q698" s="3" t="str">
        <f t="shared" si="7"/>
        <v/>
      </c>
      <c r="U698" s="3" t="str">
        <f t="shared" si="8"/>
        <v>Överlapp</v>
      </c>
      <c r="V698" s="3" t="str">
        <f t="shared" si="9"/>
        <v>Överlapp</v>
      </c>
      <c r="W698" s="3" t="str">
        <f t="shared" si="10"/>
        <v>Överlapp</v>
      </c>
      <c r="X698" s="3" t="str">
        <f t="shared" si="11"/>
        <v/>
      </c>
    </row>
    <row r="699">
      <c r="A699" s="1" t="s">
        <v>702</v>
      </c>
      <c r="B699" s="3" t="str">
        <f>IFERROR(__xludf.DUMMYFUNCTION("SPLIT(A699, "","")"),"90-91")</f>
        <v>90-91</v>
      </c>
      <c r="C699" s="3" t="str">
        <f>IFERROR(__xludf.DUMMYFUNCTION("""COMPUTED_VALUE"""),"52-90")</f>
        <v>52-90</v>
      </c>
      <c r="D699" s="3">
        <f>IFERROR(__xludf.DUMMYFUNCTION("SPLIT(B699, ""-"")"),90.0)</f>
        <v>90</v>
      </c>
      <c r="E699" s="3">
        <f>IFERROR(__xludf.DUMMYFUNCTION("""COMPUTED_VALUE"""),91.0)</f>
        <v>91</v>
      </c>
      <c r="F699" s="3">
        <f>IFERROR(__xludf.DUMMYFUNCTION("SPLIT(C699, ""-"")"),52.0)</f>
        <v>52</v>
      </c>
      <c r="G699" s="3">
        <f>IFERROR(__xludf.DUMMYFUNCTION("""COMPUTED_VALUE"""),90.0)</f>
        <v>90</v>
      </c>
      <c r="I699" s="3" t="str">
        <f t="shared" si="1"/>
        <v/>
      </c>
      <c r="J699" s="3" t="str">
        <f t="shared" si="2"/>
        <v>y</v>
      </c>
      <c r="K699" s="3" t="str">
        <f t="shared" si="3"/>
        <v>y</v>
      </c>
      <c r="L699" s="3" t="str">
        <f t="shared" si="4"/>
        <v/>
      </c>
      <c r="N699" s="3" t="str">
        <f t="shared" si="5"/>
        <v/>
      </c>
      <c r="O699" s="3" t="str">
        <f t="shared" si="6"/>
        <v/>
      </c>
      <c r="Q699" s="3" t="str">
        <f t="shared" si="7"/>
        <v/>
      </c>
      <c r="U699" s="3" t="str">
        <f t="shared" si="8"/>
        <v>Överlapp</v>
      </c>
      <c r="V699" s="3" t="str">
        <f t="shared" si="9"/>
        <v>Överlapp</v>
      </c>
      <c r="W699" s="3" t="str">
        <f t="shared" si="10"/>
        <v>Överlapp</v>
      </c>
      <c r="X699" s="3" t="str">
        <f t="shared" si="11"/>
        <v/>
      </c>
    </row>
    <row r="700">
      <c r="A700" s="1" t="s">
        <v>703</v>
      </c>
      <c r="B700" s="3" t="str">
        <f>IFERROR(__xludf.DUMMYFUNCTION("SPLIT(A700, "","")"),"8-83")</f>
        <v>8-83</v>
      </c>
      <c r="C700" s="3" t="str">
        <f>IFERROR(__xludf.DUMMYFUNCTION("""COMPUTED_VALUE"""),"9-83")</f>
        <v>9-83</v>
      </c>
      <c r="D700" s="3">
        <f>IFERROR(__xludf.DUMMYFUNCTION("SPLIT(B700, ""-"")"),8.0)</f>
        <v>8</v>
      </c>
      <c r="E700" s="3">
        <f>IFERROR(__xludf.DUMMYFUNCTION("""COMPUTED_VALUE"""),83.0)</f>
        <v>83</v>
      </c>
      <c r="F700" s="3">
        <f>IFERROR(__xludf.DUMMYFUNCTION("SPLIT(C700, ""-"")"),9.0)</f>
        <v>9</v>
      </c>
      <c r="G700" s="3">
        <f>IFERROR(__xludf.DUMMYFUNCTION("""COMPUTED_VALUE"""),83.0)</f>
        <v>83</v>
      </c>
      <c r="I700" s="3" t="str">
        <f t="shared" si="1"/>
        <v>y</v>
      </c>
      <c r="J700" s="3" t="str">
        <f t="shared" si="2"/>
        <v>y</v>
      </c>
      <c r="K700" s="3" t="str">
        <f t="shared" si="3"/>
        <v/>
      </c>
      <c r="L700" s="3" t="str">
        <f t="shared" si="4"/>
        <v>y</v>
      </c>
      <c r="N700" s="3">
        <f t="shared" si="5"/>
        <v>1</v>
      </c>
      <c r="O700" s="3" t="str">
        <f t="shared" si="6"/>
        <v/>
      </c>
      <c r="Q700" s="3">
        <f t="shared" si="7"/>
        <v>1</v>
      </c>
      <c r="U700" s="3" t="str">
        <f t="shared" si="8"/>
        <v>Överlapp</v>
      </c>
      <c r="V700" s="3" t="str">
        <f t="shared" si="9"/>
        <v>Överlapp</v>
      </c>
      <c r="W700" s="3" t="str">
        <f t="shared" si="10"/>
        <v>Överlapp</v>
      </c>
      <c r="X700" s="3" t="str">
        <f t="shared" si="11"/>
        <v/>
      </c>
    </row>
    <row r="701">
      <c r="A701" s="1" t="s">
        <v>704</v>
      </c>
      <c r="B701" s="3" t="str">
        <f>IFERROR(__xludf.DUMMYFUNCTION("SPLIT(A701, "","")"),"57-96")</f>
        <v>57-96</v>
      </c>
      <c r="C701" s="3" t="str">
        <f>IFERROR(__xludf.DUMMYFUNCTION("""COMPUTED_VALUE"""),"12-96")</f>
        <v>12-96</v>
      </c>
      <c r="D701" s="3">
        <f>IFERROR(__xludf.DUMMYFUNCTION("SPLIT(B701, ""-"")"),57.0)</f>
        <v>57</v>
      </c>
      <c r="E701" s="3">
        <f>IFERROR(__xludf.DUMMYFUNCTION("""COMPUTED_VALUE"""),96.0)</f>
        <v>96</v>
      </c>
      <c r="F701" s="3">
        <f>IFERROR(__xludf.DUMMYFUNCTION("SPLIT(C701, ""-"")"),12.0)</f>
        <v>12</v>
      </c>
      <c r="G701" s="3">
        <f>IFERROR(__xludf.DUMMYFUNCTION("""COMPUTED_VALUE"""),96.0)</f>
        <v>96</v>
      </c>
      <c r="I701" s="3" t="str">
        <f t="shared" si="1"/>
        <v/>
      </c>
      <c r="J701" s="3" t="str">
        <f t="shared" si="2"/>
        <v>y</v>
      </c>
      <c r="K701" s="3" t="str">
        <f t="shared" si="3"/>
        <v>y</v>
      </c>
      <c r="L701" s="3" t="str">
        <f t="shared" si="4"/>
        <v>y</v>
      </c>
      <c r="N701" s="3" t="str">
        <f t="shared" si="5"/>
        <v/>
      </c>
      <c r="O701" s="3">
        <f t="shared" si="6"/>
        <v>1</v>
      </c>
      <c r="Q701" s="3">
        <f t="shared" si="7"/>
        <v>1</v>
      </c>
      <c r="U701" s="3" t="str">
        <f t="shared" si="8"/>
        <v>Överlapp</v>
      </c>
      <c r="V701" s="3" t="str">
        <f t="shared" si="9"/>
        <v>Överlapp</v>
      </c>
      <c r="W701" s="3" t="str">
        <f t="shared" si="10"/>
        <v>Överlapp</v>
      </c>
      <c r="X701" s="3" t="str">
        <f t="shared" si="11"/>
        <v/>
      </c>
    </row>
    <row r="702">
      <c r="A702" s="1" t="s">
        <v>705</v>
      </c>
      <c r="B702" s="3" t="str">
        <f>IFERROR(__xludf.DUMMYFUNCTION("SPLIT(A702, "","")"),"34-42")</f>
        <v>34-42</v>
      </c>
      <c r="C702" s="3" t="str">
        <f>IFERROR(__xludf.DUMMYFUNCTION("""COMPUTED_VALUE"""),"23-43")</f>
        <v>23-43</v>
      </c>
      <c r="D702" s="3">
        <f>IFERROR(__xludf.DUMMYFUNCTION("SPLIT(B702, ""-"")"),34.0)</f>
        <v>34</v>
      </c>
      <c r="E702" s="3">
        <f>IFERROR(__xludf.DUMMYFUNCTION("""COMPUTED_VALUE"""),42.0)</f>
        <v>42</v>
      </c>
      <c r="F702" s="3">
        <f>IFERROR(__xludf.DUMMYFUNCTION("SPLIT(C702, ""-"")"),23.0)</f>
        <v>23</v>
      </c>
      <c r="G702" s="3">
        <f>IFERROR(__xludf.DUMMYFUNCTION("""COMPUTED_VALUE"""),43.0)</f>
        <v>43</v>
      </c>
      <c r="I702" s="3" t="str">
        <f t="shared" si="1"/>
        <v/>
      </c>
      <c r="J702" s="3" t="str">
        <f t="shared" si="2"/>
        <v/>
      </c>
      <c r="K702" s="3" t="str">
        <f t="shared" si="3"/>
        <v>y</v>
      </c>
      <c r="L702" s="3" t="str">
        <f t="shared" si="4"/>
        <v>y</v>
      </c>
      <c r="N702" s="3" t="str">
        <f t="shared" si="5"/>
        <v/>
      </c>
      <c r="O702" s="3">
        <f t="shared" si="6"/>
        <v>1</v>
      </c>
      <c r="Q702" s="3">
        <f t="shared" si="7"/>
        <v>1</v>
      </c>
      <c r="U702" s="3">
        <f t="shared" si="8"/>
        <v>1</v>
      </c>
      <c r="V702" s="3" t="str">
        <f t="shared" si="9"/>
        <v>Överlapp</v>
      </c>
      <c r="W702" s="3" t="str">
        <f t="shared" si="10"/>
        <v>Överlapp</v>
      </c>
      <c r="X702" s="3" t="str">
        <f t="shared" si="11"/>
        <v/>
      </c>
    </row>
    <row r="703">
      <c r="A703" s="1" t="s">
        <v>706</v>
      </c>
      <c r="B703" s="3" t="str">
        <f>IFERROR(__xludf.DUMMYFUNCTION("SPLIT(A703, "","")"),"68-99")</f>
        <v>68-99</v>
      </c>
      <c r="C703" s="3" t="str">
        <f>IFERROR(__xludf.DUMMYFUNCTION("""COMPUTED_VALUE"""),"69-99")</f>
        <v>69-99</v>
      </c>
      <c r="D703" s="3">
        <f>IFERROR(__xludf.DUMMYFUNCTION("SPLIT(B703, ""-"")"),68.0)</f>
        <v>68</v>
      </c>
      <c r="E703" s="3">
        <f>IFERROR(__xludf.DUMMYFUNCTION("""COMPUTED_VALUE"""),99.0)</f>
        <v>99</v>
      </c>
      <c r="F703" s="3">
        <f>IFERROR(__xludf.DUMMYFUNCTION("SPLIT(C703, ""-"")"),69.0)</f>
        <v>69</v>
      </c>
      <c r="G703" s="3">
        <f>IFERROR(__xludf.DUMMYFUNCTION("""COMPUTED_VALUE"""),99.0)</f>
        <v>99</v>
      </c>
      <c r="I703" s="3" t="str">
        <f t="shared" si="1"/>
        <v>y</v>
      </c>
      <c r="J703" s="3" t="str">
        <f t="shared" si="2"/>
        <v>y</v>
      </c>
      <c r="K703" s="3" t="str">
        <f t="shared" si="3"/>
        <v/>
      </c>
      <c r="L703" s="3" t="str">
        <f t="shared" si="4"/>
        <v>y</v>
      </c>
      <c r="N703" s="3">
        <f t="shared" si="5"/>
        <v>1</v>
      </c>
      <c r="O703" s="3" t="str">
        <f t="shared" si="6"/>
        <v/>
      </c>
      <c r="Q703" s="3">
        <f t="shared" si="7"/>
        <v>1</v>
      </c>
      <c r="U703" s="3" t="str">
        <f t="shared" si="8"/>
        <v>Överlapp</v>
      </c>
      <c r="V703" s="3" t="str">
        <f t="shared" si="9"/>
        <v>Överlapp</v>
      </c>
      <c r="W703" s="3" t="str">
        <f t="shared" si="10"/>
        <v>Överlapp</v>
      </c>
      <c r="X703" s="3" t="str">
        <f t="shared" si="11"/>
        <v/>
      </c>
    </row>
    <row r="704">
      <c r="A704" s="1" t="s">
        <v>707</v>
      </c>
      <c r="B704" s="3" t="str">
        <f>IFERROR(__xludf.DUMMYFUNCTION("SPLIT(A704, "","")"),"24-92")</f>
        <v>24-92</v>
      </c>
      <c r="C704" s="3" t="str">
        <f>IFERROR(__xludf.DUMMYFUNCTION("""COMPUTED_VALUE"""),"23-74")</f>
        <v>23-74</v>
      </c>
      <c r="D704" s="3">
        <f>IFERROR(__xludf.DUMMYFUNCTION("SPLIT(B704, ""-"")"),24.0)</f>
        <v>24</v>
      </c>
      <c r="E704" s="3">
        <f>IFERROR(__xludf.DUMMYFUNCTION("""COMPUTED_VALUE"""),92.0)</f>
        <v>92</v>
      </c>
      <c r="F704" s="3">
        <f>IFERROR(__xludf.DUMMYFUNCTION("SPLIT(C704, ""-"")"),23.0)</f>
        <v>23</v>
      </c>
      <c r="G704" s="3">
        <f>IFERROR(__xludf.DUMMYFUNCTION("""COMPUTED_VALUE"""),74.0)</f>
        <v>74</v>
      </c>
      <c r="I704" s="3" t="str">
        <f t="shared" si="1"/>
        <v/>
      </c>
      <c r="J704" s="3" t="str">
        <f t="shared" si="2"/>
        <v>y</v>
      </c>
      <c r="K704" s="3" t="str">
        <f t="shared" si="3"/>
        <v>y</v>
      </c>
      <c r="L704" s="3" t="str">
        <f t="shared" si="4"/>
        <v/>
      </c>
      <c r="N704" s="3" t="str">
        <f t="shared" si="5"/>
        <v/>
      </c>
      <c r="O704" s="3" t="str">
        <f t="shared" si="6"/>
        <v/>
      </c>
      <c r="Q704" s="3" t="str">
        <f t="shared" si="7"/>
        <v/>
      </c>
      <c r="U704" s="3">
        <f t="shared" si="8"/>
        <v>1</v>
      </c>
      <c r="V704" s="3" t="str">
        <f t="shared" si="9"/>
        <v>Överlapp</v>
      </c>
      <c r="W704" s="3" t="str">
        <f t="shared" si="10"/>
        <v>Överlapp</v>
      </c>
      <c r="X704" s="3" t="str">
        <f t="shared" si="11"/>
        <v/>
      </c>
    </row>
    <row r="705">
      <c r="A705" s="1" t="s">
        <v>708</v>
      </c>
      <c r="B705" s="3" t="str">
        <f>IFERROR(__xludf.DUMMYFUNCTION("SPLIT(A705, "","")"),"6-81")</f>
        <v>6-81</v>
      </c>
      <c r="C705" s="3" t="str">
        <f>IFERROR(__xludf.DUMMYFUNCTION("""COMPUTED_VALUE"""),"2-82")</f>
        <v>2-82</v>
      </c>
      <c r="D705" s="3">
        <f>IFERROR(__xludf.DUMMYFUNCTION("SPLIT(B705, ""-"")"),6.0)</f>
        <v>6</v>
      </c>
      <c r="E705" s="3">
        <f>IFERROR(__xludf.DUMMYFUNCTION("""COMPUTED_VALUE"""),81.0)</f>
        <v>81</v>
      </c>
      <c r="F705" s="3">
        <f>IFERROR(__xludf.DUMMYFUNCTION("SPLIT(C705, ""-"")"),2.0)</f>
        <v>2</v>
      </c>
      <c r="G705" s="3">
        <f>IFERROR(__xludf.DUMMYFUNCTION("""COMPUTED_VALUE"""),82.0)</f>
        <v>82</v>
      </c>
      <c r="I705" s="3" t="str">
        <f t="shared" si="1"/>
        <v/>
      </c>
      <c r="J705" s="3" t="str">
        <f t="shared" si="2"/>
        <v/>
      </c>
      <c r="K705" s="3" t="str">
        <f t="shared" si="3"/>
        <v>y</v>
      </c>
      <c r="L705" s="3" t="str">
        <f t="shared" si="4"/>
        <v>y</v>
      </c>
      <c r="N705" s="3" t="str">
        <f t="shared" si="5"/>
        <v/>
      </c>
      <c r="O705" s="3">
        <f t="shared" si="6"/>
        <v>1</v>
      </c>
      <c r="Q705" s="3">
        <f t="shared" si="7"/>
        <v>1</v>
      </c>
      <c r="U705" s="3">
        <f t="shared" si="8"/>
        <v>1</v>
      </c>
      <c r="V705" s="3" t="str">
        <f t="shared" si="9"/>
        <v>Överlapp</v>
      </c>
      <c r="W705" s="3" t="str">
        <f t="shared" si="10"/>
        <v>Överlapp</v>
      </c>
      <c r="X705" s="3" t="str">
        <f t="shared" si="11"/>
        <v/>
      </c>
    </row>
    <row r="706">
      <c r="A706" s="1" t="s">
        <v>709</v>
      </c>
      <c r="B706" s="3" t="str">
        <f>IFERROR(__xludf.DUMMYFUNCTION("SPLIT(A706, "","")"),"23-23")</f>
        <v>23-23</v>
      </c>
      <c r="C706" s="3" t="str">
        <f>IFERROR(__xludf.DUMMYFUNCTION("""COMPUTED_VALUE"""),"24-58")</f>
        <v>24-58</v>
      </c>
      <c r="D706" s="3">
        <f>IFERROR(__xludf.DUMMYFUNCTION("SPLIT(B706, ""-"")"),23.0)</f>
        <v>23</v>
      </c>
      <c r="E706" s="3">
        <f>IFERROR(__xludf.DUMMYFUNCTION("""COMPUTED_VALUE"""),23.0)</f>
        <v>23</v>
      </c>
      <c r="F706" s="3">
        <f>IFERROR(__xludf.DUMMYFUNCTION("SPLIT(C706, ""-"")"),24.0)</f>
        <v>24</v>
      </c>
      <c r="G706" s="3">
        <f>IFERROR(__xludf.DUMMYFUNCTION("""COMPUTED_VALUE"""),58.0)</f>
        <v>58</v>
      </c>
      <c r="I706" s="3" t="str">
        <f t="shared" si="1"/>
        <v>y</v>
      </c>
      <c r="J706" s="3" t="str">
        <f t="shared" si="2"/>
        <v/>
      </c>
      <c r="K706" s="3" t="str">
        <f t="shared" si="3"/>
        <v/>
      </c>
      <c r="L706" s="3" t="str">
        <f t="shared" si="4"/>
        <v>y</v>
      </c>
      <c r="N706" s="3" t="str">
        <f t="shared" si="5"/>
        <v/>
      </c>
      <c r="O706" s="3" t="str">
        <f t="shared" si="6"/>
        <v/>
      </c>
      <c r="Q706" s="3" t="str">
        <f t="shared" si="7"/>
        <v/>
      </c>
      <c r="U706" s="3">
        <f t="shared" si="8"/>
        <v>1</v>
      </c>
      <c r="V706" s="3">
        <f t="shared" si="9"/>
        <v>1</v>
      </c>
      <c r="W706" s="3" t="str">
        <f t="shared" si="10"/>
        <v>Överlapp</v>
      </c>
      <c r="X706" s="3">
        <f t="shared" si="11"/>
        <v>1</v>
      </c>
    </row>
    <row r="707">
      <c r="A707" s="1" t="s">
        <v>710</v>
      </c>
      <c r="B707" s="3" t="str">
        <f>IFERROR(__xludf.DUMMYFUNCTION("SPLIT(A707, "","")"),"46-74")</f>
        <v>46-74</v>
      </c>
      <c r="C707" s="3" t="str">
        <f>IFERROR(__xludf.DUMMYFUNCTION("""COMPUTED_VALUE"""),"46-73")</f>
        <v>46-73</v>
      </c>
      <c r="D707" s="3">
        <f>IFERROR(__xludf.DUMMYFUNCTION("SPLIT(B707, ""-"")"),46.0)</f>
        <v>46</v>
      </c>
      <c r="E707" s="3">
        <f>IFERROR(__xludf.DUMMYFUNCTION("""COMPUTED_VALUE"""),74.0)</f>
        <v>74</v>
      </c>
      <c r="F707" s="3">
        <f>IFERROR(__xludf.DUMMYFUNCTION("SPLIT(C707, ""-"")"),46.0)</f>
        <v>46</v>
      </c>
      <c r="G707" s="3">
        <f>IFERROR(__xludf.DUMMYFUNCTION("""COMPUTED_VALUE"""),73.0)</f>
        <v>73</v>
      </c>
      <c r="I707" s="3" t="str">
        <f t="shared" si="1"/>
        <v>y</v>
      </c>
      <c r="J707" s="3" t="str">
        <f t="shared" si="2"/>
        <v>y</v>
      </c>
      <c r="K707" s="3" t="str">
        <f t="shared" si="3"/>
        <v>y</v>
      </c>
      <c r="L707" s="3" t="str">
        <f t="shared" si="4"/>
        <v/>
      </c>
      <c r="N707" s="3">
        <f t="shared" si="5"/>
        <v>1</v>
      </c>
      <c r="O707" s="3" t="str">
        <f t="shared" si="6"/>
        <v/>
      </c>
      <c r="Q707" s="3">
        <f t="shared" si="7"/>
        <v>1</v>
      </c>
      <c r="U707" s="3" t="str">
        <f t="shared" si="8"/>
        <v>Överlapp</v>
      </c>
      <c r="V707" s="3" t="str">
        <f t="shared" si="9"/>
        <v>Överlapp</v>
      </c>
      <c r="W707" s="3" t="str">
        <f t="shared" si="10"/>
        <v>Överlapp</v>
      </c>
      <c r="X707" s="3" t="str">
        <f t="shared" si="11"/>
        <v/>
      </c>
    </row>
    <row r="708">
      <c r="A708" s="1" t="s">
        <v>711</v>
      </c>
      <c r="B708" s="3" t="str">
        <f>IFERROR(__xludf.DUMMYFUNCTION("SPLIT(A708, "","")"),"17-32")</f>
        <v>17-32</v>
      </c>
      <c r="C708" s="3" t="str">
        <f>IFERROR(__xludf.DUMMYFUNCTION("""COMPUTED_VALUE"""),"3-32")</f>
        <v>3-32</v>
      </c>
      <c r="D708" s="3">
        <f>IFERROR(__xludf.DUMMYFUNCTION("SPLIT(B708, ""-"")"),17.0)</f>
        <v>17</v>
      </c>
      <c r="E708" s="3">
        <f>IFERROR(__xludf.DUMMYFUNCTION("""COMPUTED_VALUE"""),32.0)</f>
        <v>32</v>
      </c>
      <c r="F708" s="3">
        <f>IFERROR(__xludf.DUMMYFUNCTION("SPLIT(C708, ""-"")"),3.0)</f>
        <v>3</v>
      </c>
      <c r="G708" s="3">
        <f>IFERROR(__xludf.DUMMYFUNCTION("""COMPUTED_VALUE"""),32.0)</f>
        <v>32</v>
      </c>
      <c r="I708" s="3" t="str">
        <f t="shared" si="1"/>
        <v/>
      </c>
      <c r="J708" s="3" t="str">
        <f t="shared" si="2"/>
        <v>y</v>
      </c>
      <c r="K708" s="3" t="str">
        <f t="shared" si="3"/>
        <v>y</v>
      </c>
      <c r="L708" s="3" t="str">
        <f t="shared" si="4"/>
        <v>y</v>
      </c>
      <c r="N708" s="3" t="str">
        <f t="shared" si="5"/>
        <v/>
      </c>
      <c r="O708" s="3">
        <f t="shared" si="6"/>
        <v>1</v>
      </c>
      <c r="Q708" s="3">
        <f t="shared" si="7"/>
        <v>1</v>
      </c>
      <c r="U708" s="3" t="str">
        <f t="shared" si="8"/>
        <v>Överlapp</v>
      </c>
      <c r="V708" s="3" t="str">
        <f t="shared" si="9"/>
        <v>Överlapp</v>
      </c>
      <c r="W708" s="3" t="str">
        <f t="shared" si="10"/>
        <v>Överlapp</v>
      </c>
      <c r="X708" s="3" t="str">
        <f t="shared" si="11"/>
        <v/>
      </c>
    </row>
    <row r="709">
      <c r="A709" s="1" t="s">
        <v>712</v>
      </c>
      <c r="B709" s="3" t="str">
        <f>IFERROR(__xludf.DUMMYFUNCTION("SPLIT(A709, "","")"),"35-82")</f>
        <v>35-82</v>
      </c>
      <c r="C709" s="3" t="str">
        <f>IFERROR(__xludf.DUMMYFUNCTION("""COMPUTED_VALUE"""),"34-74")</f>
        <v>34-74</v>
      </c>
      <c r="D709" s="3">
        <f>IFERROR(__xludf.DUMMYFUNCTION("SPLIT(B709, ""-"")"),35.0)</f>
        <v>35</v>
      </c>
      <c r="E709" s="3">
        <f>IFERROR(__xludf.DUMMYFUNCTION("""COMPUTED_VALUE"""),82.0)</f>
        <v>82</v>
      </c>
      <c r="F709" s="3">
        <f>IFERROR(__xludf.DUMMYFUNCTION("SPLIT(C709, ""-"")"),34.0)</f>
        <v>34</v>
      </c>
      <c r="G709" s="3">
        <f>IFERROR(__xludf.DUMMYFUNCTION("""COMPUTED_VALUE"""),74.0)</f>
        <v>74</v>
      </c>
      <c r="I709" s="3" t="str">
        <f t="shared" si="1"/>
        <v/>
      </c>
      <c r="J709" s="3" t="str">
        <f t="shared" si="2"/>
        <v>y</v>
      </c>
      <c r="K709" s="3" t="str">
        <f t="shared" si="3"/>
        <v>y</v>
      </c>
      <c r="L709" s="3" t="str">
        <f t="shared" si="4"/>
        <v/>
      </c>
      <c r="N709" s="3" t="str">
        <f t="shared" si="5"/>
        <v/>
      </c>
      <c r="O709" s="3" t="str">
        <f t="shared" si="6"/>
        <v/>
      </c>
      <c r="Q709" s="3" t="str">
        <f t="shared" si="7"/>
        <v/>
      </c>
      <c r="U709" s="3">
        <f t="shared" si="8"/>
        <v>1</v>
      </c>
      <c r="V709" s="3" t="str">
        <f t="shared" si="9"/>
        <v>Överlapp</v>
      </c>
      <c r="W709" s="3" t="str">
        <f t="shared" si="10"/>
        <v>Överlapp</v>
      </c>
      <c r="X709" s="3" t="str">
        <f t="shared" si="11"/>
        <v/>
      </c>
    </row>
    <row r="710">
      <c r="A710" s="1" t="s">
        <v>713</v>
      </c>
      <c r="B710" s="3" t="str">
        <f>IFERROR(__xludf.DUMMYFUNCTION("SPLIT(A710, "","")"),"19-98")</f>
        <v>19-98</v>
      </c>
      <c r="C710" s="3" t="str">
        <f>IFERROR(__xludf.DUMMYFUNCTION("""COMPUTED_VALUE"""),"20-98")</f>
        <v>20-98</v>
      </c>
      <c r="D710" s="3">
        <f>IFERROR(__xludf.DUMMYFUNCTION("SPLIT(B710, ""-"")"),19.0)</f>
        <v>19</v>
      </c>
      <c r="E710" s="3">
        <f>IFERROR(__xludf.DUMMYFUNCTION("""COMPUTED_VALUE"""),98.0)</f>
        <v>98</v>
      </c>
      <c r="F710" s="3">
        <f>IFERROR(__xludf.DUMMYFUNCTION("SPLIT(C710, ""-"")"),20.0)</f>
        <v>20</v>
      </c>
      <c r="G710" s="3">
        <f>IFERROR(__xludf.DUMMYFUNCTION("""COMPUTED_VALUE"""),98.0)</f>
        <v>98</v>
      </c>
      <c r="I710" s="3" t="str">
        <f t="shared" si="1"/>
        <v>y</v>
      </c>
      <c r="J710" s="3" t="str">
        <f t="shared" si="2"/>
        <v>y</v>
      </c>
      <c r="K710" s="3" t="str">
        <f t="shared" si="3"/>
        <v/>
      </c>
      <c r="L710" s="3" t="str">
        <f t="shared" si="4"/>
        <v>y</v>
      </c>
      <c r="N710" s="3">
        <f t="shared" si="5"/>
        <v>1</v>
      </c>
      <c r="O710" s="3" t="str">
        <f t="shared" si="6"/>
        <v/>
      </c>
      <c r="Q710" s="3">
        <f t="shared" si="7"/>
        <v>1</v>
      </c>
      <c r="U710" s="3" t="str">
        <f t="shared" si="8"/>
        <v>Överlapp</v>
      </c>
      <c r="V710" s="3" t="str">
        <f t="shared" si="9"/>
        <v>Överlapp</v>
      </c>
      <c r="W710" s="3" t="str">
        <f t="shared" si="10"/>
        <v>Överlapp</v>
      </c>
      <c r="X710" s="3" t="str">
        <f t="shared" si="11"/>
        <v/>
      </c>
    </row>
    <row r="711">
      <c r="A711" s="1" t="s">
        <v>714</v>
      </c>
      <c r="B711" s="3" t="str">
        <f>IFERROR(__xludf.DUMMYFUNCTION("SPLIT(A711, "","")"),"33-81")</f>
        <v>33-81</v>
      </c>
      <c r="C711" s="3" t="str">
        <f>IFERROR(__xludf.DUMMYFUNCTION("""COMPUTED_VALUE"""),"38-80")</f>
        <v>38-80</v>
      </c>
      <c r="D711" s="3">
        <f>IFERROR(__xludf.DUMMYFUNCTION("SPLIT(B711, ""-"")"),33.0)</f>
        <v>33</v>
      </c>
      <c r="E711" s="3">
        <f>IFERROR(__xludf.DUMMYFUNCTION("""COMPUTED_VALUE"""),81.0)</f>
        <v>81</v>
      </c>
      <c r="F711" s="3">
        <f>IFERROR(__xludf.DUMMYFUNCTION("SPLIT(C711, ""-"")"),38.0)</f>
        <v>38</v>
      </c>
      <c r="G711" s="3">
        <f>IFERROR(__xludf.DUMMYFUNCTION("""COMPUTED_VALUE"""),80.0)</f>
        <v>80</v>
      </c>
      <c r="I711" s="3" t="str">
        <f t="shared" si="1"/>
        <v>y</v>
      </c>
      <c r="J711" s="3" t="str">
        <f t="shared" si="2"/>
        <v>y</v>
      </c>
      <c r="K711" s="3" t="str">
        <f t="shared" si="3"/>
        <v/>
      </c>
      <c r="L711" s="3" t="str">
        <f t="shared" si="4"/>
        <v/>
      </c>
      <c r="N711" s="3">
        <f t="shared" si="5"/>
        <v>1</v>
      </c>
      <c r="O711" s="3" t="str">
        <f t="shared" si="6"/>
        <v/>
      </c>
      <c r="Q711" s="3">
        <f t="shared" si="7"/>
        <v>1</v>
      </c>
      <c r="U711" s="3">
        <f t="shared" si="8"/>
        <v>1</v>
      </c>
      <c r="V711" s="3" t="str">
        <f t="shared" si="9"/>
        <v>Överlapp</v>
      </c>
      <c r="W711" s="3" t="str">
        <f t="shared" si="10"/>
        <v>Överlapp</v>
      </c>
      <c r="X711" s="3" t="str">
        <f t="shared" si="11"/>
        <v/>
      </c>
    </row>
    <row r="712">
      <c r="A712" s="1" t="s">
        <v>715</v>
      </c>
      <c r="B712" s="3" t="str">
        <f>IFERROR(__xludf.DUMMYFUNCTION("SPLIT(A712, "","")"),"48-62")</f>
        <v>48-62</v>
      </c>
      <c r="C712" s="3" t="str">
        <f>IFERROR(__xludf.DUMMYFUNCTION("""COMPUTED_VALUE"""),"6-82")</f>
        <v>6-82</v>
      </c>
      <c r="D712" s="3">
        <f>IFERROR(__xludf.DUMMYFUNCTION("SPLIT(B712, ""-"")"),48.0)</f>
        <v>48</v>
      </c>
      <c r="E712" s="3">
        <f>IFERROR(__xludf.DUMMYFUNCTION("""COMPUTED_VALUE"""),62.0)</f>
        <v>62</v>
      </c>
      <c r="F712" s="3">
        <f>IFERROR(__xludf.DUMMYFUNCTION("SPLIT(C712, ""-"")"),6.0)</f>
        <v>6</v>
      </c>
      <c r="G712" s="3">
        <f>IFERROR(__xludf.DUMMYFUNCTION("""COMPUTED_VALUE"""),82.0)</f>
        <v>82</v>
      </c>
      <c r="I712" s="3" t="str">
        <f t="shared" si="1"/>
        <v/>
      </c>
      <c r="J712" s="3" t="str">
        <f t="shared" si="2"/>
        <v/>
      </c>
      <c r="K712" s="3" t="str">
        <f t="shared" si="3"/>
        <v>y</v>
      </c>
      <c r="L712" s="3" t="str">
        <f t="shared" si="4"/>
        <v>y</v>
      </c>
      <c r="N712" s="3" t="str">
        <f t="shared" si="5"/>
        <v/>
      </c>
      <c r="O712" s="3">
        <f t="shared" si="6"/>
        <v>1</v>
      </c>
      <c r="Q712" s="3">
        <f t="shared" si="7"/>
        <v>1</v>
      </c>
      <c r="U712" s="3">
        <f t="shared" si="8"/>
        <v>1</v>
      </c>
      <c r="V712" s="3" t="str">
        <f t="shared" si="9"/>
        <v>Överlapp</v>
      </c>
      <c r="W712" s="3" t="str">
        <f t="shared" si="10"/>
        <v>Överlapp</v>
      </c>
      <c r="X712" s="3" t="str">
        <f t="shared" si="11"/>
        <v/>
      </c>
    </row>
    <row r="713">
      <c r="A713" s="1" t="s">
        <v>716</v>
      </c>
      <c r="B713" s="3" t="str">
        <f>IFERROR(__xludf.DUMMYFUNCTION("SPLIT(A713, "","")"),"10-90")</f>
        <v>10-90</v>
      </c>
      <c r="C713" s="3" t="str">
        <f>IFERROR(__xludf.DUMMYFUNCTION("""COMPUTED_VALUE"""),"89-89")</f>
        <v>89-89</v>
      </c>
      <c r="D713" s="3">
        <f>IFERROR(__xludf.DUMMYFUNCTION("SPLIT(B713, ""-"")"),10.0)</f>
        <v>10</v>
      </c>
      <c r="E713" s="3">
        <f>IFERROR(__xludf.DUMMYFUNCTION("""COMPUTED_VALUE"""),90.0)</f>
        <v>90</v>
      </c>
      <c r="F713" s="3">
        <f>IFERROR(__xludf.DUMMYFUNCTION("SPLIT(C713, ""-"")"),89.0)</f>
        <v>89</v>
      </c>
      <c r="G713" s="3">
        <f>IFERROR(__xludf.DUMMYFUNCTION("""COMPUTED_VALUE"""),89.0)</f>
        <v>89</v>
      </c>
      <c r="I713" s="3" t="str">
        <f t="shared" si="1"/>
        <v>y</v>
      </c>
      <c r="J713" s="3" t="str">
        <f t="shared" si="2"/>
        <v>y</v>
      </c>
      <c r="K713" s="3" t="str">
        <f t="shared" si="3"/>
        <v/>
      </c>
      <c r="L713" s="3" t="str">
        <f t="shared" si="4"/>
        <v/>
      </c>
      <c r="N713" s="3">
        <f t="shared" si="5"/>
        <v>1</v>
      </c>
      <c r="O713" s="3" t="str">
        <f t="shared" si="6"/>
        <v/>
      </c>
      <c r="Q713" s="3">
        <f t="shared" si="7"/>
        <v>1</v>
      </c>
      <c r="U713" s="3">
        <f t="shared" si="8"/>
        <v>1</v>
      </c>
      <c r="V713" s="3" t="str">
        <f t="shared" si="9"/>
        <v>Överlapp</v>
      </c>
      <c r="W713" s="3" t="str">
        <f t="shared" si="10"/>
        <v>Överlapp</v>
      </c>
      <c r="X713" s="3" t="str">
        <f t="shared" si="11"/>
        <v/>
      </c>
    </row>
    <row r="714">
      <c r="A714" s="1" t="s">
        <v>717</v>
      </c>
      <c r="B714" s="3" t="str">
        <f>IFERROR(__xludf.DUMMYFUNCTION("SPLIT(A714, "","")"),"81-82")</f>
        <v>81-82</v>
      </c>
      <c r="C714" s="3" t="str">
        <f>IFERROR(__xludf.DUMMYFUNCTION("""COMPUTED_VALUE"""),"40-81")</f>
        <v>40-81</v>
      </c>
      <c r="D714" s="3">
        <f>IFERROR(__xludf.DUMMYFUNCTION("SPLIT(B714, ""-"")"),81.0)</f>
        <v>81</v>
      </c>
      <c r="E714" s="3">
        <f>IFERROR(__xludf.DUMMYFUNCTION("""COMPUTED_VALUE"""),82.0)</f>
        <v>82</v>
      </c>
      <c r="F714" s="3">
        <f>IFERROR(__xludf.DUMMYFUNCTION("SPLIT(C714, ""-"")"),40.0)</f>
        <v>40</v>
      </c>
      <c r="G714" s="3">
        <f>IFERROR(__xludf.DUMMYFUNCTION("""COMPUTED_VALUE"""),81.0)</f>
        <v>81</v>
      </c>
      <c r="I714" s="3" t="str">
        <f t="shared" si="1"/>
        <v/>
      </c>
      <c r="J714" s="3" t="str">
        <f t="shared" si="2"/>
        <v>y</v>
      </c>
      <c r="K714" s="3" t="str">
        <f t="shared" si="3"/>
        <v>y</v>
      </c>
      <c r="L714" s="3" t="str">
        <f t="shared" si="4"/>
        <v/>
      </c>
      <c r="N714" s="3" t="str">
        <f t="shared" si="5"/>
        <v/>
      </c>
      <c r="O714" s="3" t="str">
        <f t="shared" si="6"/>
        <v/>
      </c>
      <c r="Q714" s="3" t="str">
        <f t="shared" si="7"/>
        <v/>
      </c>
      <c r="U714" s="3" t="str">
        <f t="shared" si="8"/>
        <v>Överlapp</v>
      </c>
      <c r="V714" s="3" t="str">
        <f t="shared" si="9"/>
        <v>Överlapp</v>
      </c>
      <c r="W714" s="3" t="str">
        <f t="shared" si="10"/>
        <v>Överlapp</v>
      </c>
      <c r="X714" s="3" t="str">
        <f t="shared" si="11"/>
        <v/>
      </c>
    </row>
    <row r="715">
      <c r="A715" s="1" t="s">
        <v>718</v>
      </c>
      <c r="B715" s="3" t="str">
        <f>IFERROR(__xludf.DUMMYFUNCTION("SPLIT(A715, "","")"),"14-99")</f>
        <v>14-99</v>
      </c>
      <c r="C715" s="3" t="str">
        <f>IFERROR(__xludf.DUMMYFUNCTION("""COMPUTED_VALUE"""),"13-15")</f>
        <v>13-15</v>
      </c>
      <c r="D715" s="3">
        <f>IFERROR(__xludf.DUMMYFUNCTION("SPLIT(B715, ""-"")"),14.0)</f>
        <v>14</v>
      </c>
      <c r="E715" s="3">
        <f>IFERROR(__xludf.DUMMYFUNCTION("""COMPUTED_VALUE"""),99.0)</f>
        <v>99</v>
      </c>
      <c r="F715" s="3">
        <f>IFERROR(__xludf.DUMMYFUNCTION("SPLIT(C715, ""-"")"),13.0)</f>
        <v>13</v>
      </c>
      <c r="G715" s="3">
        <f>IFERROR(__xludf.DUMMYFUNCTION("""COMPUTED_VALUE"""),15.0)</f>
        <v>15</v>
      </c>
      <c r="I715" s="3" t="str">
        <f t="shared" si="1"/>
        <v/>
      </c>
      <c r="J715" s="3" t="str">
        <f t="shared" si="2"/>
        <v>y</v>
      </c>
      <c r="K715" s="3" t="str">
        <f t="shared" si="3"/>
        <v>y</v>
      </c>
      <c r="L715" s="3" t="str">
        <f t="shared" si="4"/>
        <v/>
      </c>
      <c r="N715" s="3" t="str">
        <f t="shared" si="5"/>
        <v/>
      </c>
      <c r="O715" s="3" t="str">
        <f t="shared" si="6"/>
        <v/>
      </c>
      <c r="Q715" s="3" t="str">
        <f t="shared" si="7"/>
        <v/>
      </c>
      <c r="U715" s="3">
        <f t="shared" si="8"/>
        <v>1</v>
      </c>
      <c r="V715" s="3" t="str">
        <f t="shared" si="9"/>
        <v>Överlapp</v>
      </c>
      <c r="W715" s="3" t="str">
        <f t="shared" si="10"/>
        <v>Överlapp</v>
      </c>
      <c r="X715" s="3" t="str">
        <f t="shared" si="11"/>
        <v/>
      </c>
    </row>
    <row r="716">
      <c r="A716" s="1" t="s">
        <v>719</v>
      </c>
      <c r="B716" s="3" t="str">
        <f>IFERROR(__xludf.DUMMYFUNCTION("SPLIT(A716, "","")"),"58-92")</f>
        <v>58-92</v>
      </c>
      <c r="C716" s="3" t="str">
        <f>IFERROR(__xludf.DUMMYFUNCTION("""COMPUTED_VALUE"""),"59-67")</f>
        <v>59-67</v>
      </c>
      <c r="D716" s="3">
        <f>IFERROR(__xludf.DUMMYFUNCTION("SPLIT(B716, ""-"")"),58.0)</f>
        <v>58</v>
      </c>
      <c r="E716" s="3">
        <f>IFERROR(__xludf.DUMMYFUNCTION("""COMPUTED_VALUE"""),92.0)</f>
        <v>92</v>
      </c>
      <c r="F716" s="3">
        <f>IFERROR(__xludf.DUMMYFUNCTION("SPLIT(C716, ""-"")"),59.0)</f>
        <v>59</v>
      </c>
      <c r="G716" s="3">
        <f>IFERROR(__xludf.DUMMYFUNCTION("""COMPUTED_VALUE"""),67.0)</f>
        <v>67</v>
      </c>
      <c r="I716" s="3" t="str">
        <f t="shared" si="1"/>
        <v>y</v>
      </c>
      <c r="J716" s="3" t="str">
        <f t="shared" si="2"/>
        <v>y</v>
      </c>
      <c r="K716" s="3" t="str">
        <f t="shared" si="3"/>
        <v/>
      </c>
      <c r="L716" s="3" t="str">
        <f t="shared" si="4"/>
        <v/>
      </c>
      <c r="N716" s="3">
        <f t="shared" si="5"/>
        <v>1</v>
      </c>
      <c r="O716" s="3" t="str">
        <f t="shared" si="6"/>
        <v/>
      </c>
      <c r="Q716" s="3">
        <f t="shared" si="7"/>
        <v>1</v>
      </c>
      <c r="U716" s="3">
        <f t="shared" si="8"/>
        <v>1</v>
      </c>
      <c r="V716" s="3" t="str">
        <f t="shared" si="9"/>
        <v>Överlapp</v>
      </c>
      <c r="W716" s="3" t="str">
        <f t="shared" si="10"/>
        <v>Överlapp</v>
      </c>
      <c r="X716" s="3" t="str">
        <f t="shared" si="11"/>
        <v/>
      </c>
    </row>
    <row r="717">
      <c r="A717" s="1" t="s">
        <v>720</v>
      </c>
      <c r="B717" s="3" t="str">
        <f>IFERROR(__xludf.DUMMYFUNCTION("SPLIT(A717, "","")"),"30-72")</f>
        <v>30-72</v>
      </c>
      <c r="C717" s="3" t="str">
        <f>IFERROR(__xludf.DUMMYFUNCTION("""COMPUTED_VALUE"""),"9-72")</f>
        <v>9-72</v>
      </c>
      <c r="D717" s="3">
        <f>IFERROR(__xludf.DUMMYFUNCTION("SPLIT(B717, ""-"")"),30.0)</f>
        <v>30</v>
      </c>
      <c r="E717" s="3">
        <f>IFERROR(__xludf.DUMMYFUNCTION("""COMPUTED_VALUE"""),72.0)</f>
        <v>72</v>
      </c>
      <c r="F717" s="3">
        <f>IFERROR(__xludf.DUMMYFUNCTION("SPLIT(C717, ""-"")"),9.0)</f>
        <v>9</v>
      </c>
      <c r="G717" s="3">
        <f>IFERROR(__xludf.DUMMYFUNCTION("""COMPUTED_VALUE"""),72.0)</f>
        <v>72</v>
      </c>
      <c r="I717" s="3" t="str">
        <f t="shared" si="1"/>
        <v/>
      </c>
      <c r="J717" s="3" t="str">
        <f t="shared" si="2"/>
        <v>y</v>
      </c>
      <c r="K717" s="3" t="str">
        <f t="shared" si="3"/>
        <v>y</v>
      </c>
      <c r="L717" s="3" t="str">
        <f t="shared" si="4"/>
        <v>y</v>
      </c>
      <c r="N717" s="3" t="str">
        <f t="shared" si="5"/>
        <v/>
      </c>
      <c r="O717" s="3">
        <f t="shared" si="6"/>
        <v>1</v>
      </c>
      <c r="Q717" s="3">
        <f t="shared" si="7"/>
        <v>1</v>
      </c>
      <c r="U717" s="3" t="str">
        <f t="shared" si="8"/>
        <v>Överlapp</v>
      </c>
      <c r="V717" s="3" t="str">
        <f t="shared" si="9"/>
        <v>Överlapp</v>
      </c>
      <c r="W717" s="3" t="str">
        <f t="shared" si="10"/>
        <v>Överlapp</v>
      </c>
      <c r="X717" s="3" t="str">
        <f t="shared" si="11"/>
        <v/>
      </c>
    </row>
    <row r="718">
      <c r="A718" s="1" t="s">
        <v>721</v>
      </c>
      <c r="B718" s="3" t="str">
        <f>IFERROR(__xludf.DUMMYFUNCTION("SPLIT(A718, "","")"),"17-89")</f>
        <v>17-89</v>
      </c>
      <c r="C718" s="3" t="str">
        <f>IFERROR(__xludf.DUMMYFUNCTION("""COMPUTED_VALUE"""),"88-88")</f>
        <v>88-88</v>
      </c>
      <c r="D718" s="3">
        <f>IFERROR(__xludf.DUMMYFUNCTION("SPLIT(B718, ""-"")"),17.0)</f>
        <v>17</v>
      </c>
      <c r="E718" s="3">
        <f>IFERROR(__xludf.DUMMYFUNCTION("""COMPUTED_VALUE"""),89.0)</f>
        <v>89</v>
      </c>
      <c r="F718" s="3">
        <f>IFERROR(__xludf.DUMMYFUNCTION("SPLIT(C718, ""-"")"),88.0)</f>
        <v>88</v>
      </c>
      <c r="G718" s="3">
        <f>IFERROR(__xludf.DUMMYFUNCTION("""COMPUTED_VALUE"""),88.0)</f>
        <v>88</v>
      </c>
      <c r="I718" s="3" t="str">
        <f t="shared" si="1"/>
        <v>y</v>
      </c>
      <c r="J718" s="3" t="str">
        <f t="shared" si="2"/>
        <v>y</v>
      </c>
      <c r="K718" s="3" t="str">
        <f t="shared" si="3"/>
        <v/>
      </c>
      <c r="L718" s="3" t="str">
        <f t="shared" si="4"/>
        <v/>
      </c>
      <c r="N718" s="3">
        <f t="shared" si="5"/>
        <v>1</v>
      </c>
      <c r="O718" s="3" t="str">
        <f t="shared" si="6"/>
        <v/>
      </c>
      <c r="Q718" s="3">
        <f t="shared" si="7"/>
        <v>1</v>
      </c>
      <c r="U718" s="3">
        <f t="shared" si="8"/>
        <v>1</v>
      </c>
      <c r="V718" s="3" t="str">
        <f t="shared" si="9"/>
        <v>Överlapp</v>
      </c>
      <c r="W718" s="3" t="str">
        <f t="shared" si="10"/>
        <v>Överlapp</v>
      </c>
      <c r="X718" s="3" t="str">
        <f t="shared" si="11"/>
        <v/>
      </c>
    </row>
    <row r="719">
      <c r="A719" s="1" t="s">
        <v>722</v>
      </c>
      <c r="B719" s="3" t="str">
        <f>IFERROR(__xludf.DUMMYFUNCTION("SPLIT(A719, "","")"),"22-66")</f>
        <v>22-66</v>
      </c>
      <c r="C719" s="3" t="str">
        <f>IFERROR(__xludf.DUMMYFUNCTION("""COMPUTED_VALUE"""),"7-66")</f>
        <v>7-66</v>
      </c>
      <c r="D719" s="3">
        <f>IFERROR(__xludf.DUMMYFUNCTION("SPLIT(B719, ""-"")"),22.0)</f>
        <v>22</v>
      </c>
      <c r="E719" s="3">
        <f>IFERROR(__xludf.DUMMYFUNCTION("""COMPUTED_VALUE"""),66.0)</f>
        <v>66</v>
      </c>
      <c r="F719" s="3">
        <f>IFERROR(__xludf.DUMMYFUNCTION("SPLIT(C719, ""-"")"),7.0)</f>
        <v>7</v>
      </c>
      <c r="G719" s="3">
        <f>IFERROR(__xludf.DUMMYFUNCTION("""COMPUTED_VALUE"""),66.0)</f>
        <v>66</v>
      </c>
      <c r="I719" s="3" t="str">
        <f t="shared" si="1"/>
        <v/>
      </c>
      <c r="J719" s="3" t="str">
        <f t="shared" si="2"/>
        <v>y</v>
      </c>
      <c r="K719" s="3" t="str">
        <f t="shared" si="3"/>
        <v>y</v>
      </c>
      <c r="L719" s="3" t="str">
        <f t="shared" si="4"/>
        <v>y</v>
      </c>
      <c r="N719" s="3" t="str">
        <f t="shared" si="5"/>
        <v/>
      </c>
      <c r="O719" s="3">
        <f t="shared" si="6"/>
        <v>1</v>
      </c>
      <c r="Q719" s="3">
        <f t="shared" si="7"/>
        <v>1</v>
      </c>
      <c r="U719" s="3" t="str">
        <f t="shared" si="8"/>
        <v>Överlapp</v>
      </c>
      <c r="V719" s="3" t="str">
        <f t="shared" si="9"/>
        <v>Överlapp</v>
      </c>
      <c r="W719" s="3" t="str">
        <f t="shared" si="10"/>
        <v>Överlapp</v>
      </c>
      <c r="X719" s="3" t="str">
        <f t="shared" si="11"/>
        <v/>
      </c>
    </row>
    <row r="720">
      <c r="A720" s="1" t="s">
        <v>723</v>
      </c>
      <c r="B720" s="3" t="str">
        <f>IFERROR(__xludf.DUMMYFUNCTION("SPLIT(A720, "","")"),"5-32")</f>
        <v>5-32</v>
      </c>
      <c r="C720" s="3" t="str">
        <f>IFERROR(__xludf.DUMMYFUNCTION("""COMPUTED_VALUE"""),"32-63")</f>
        <v>32-63</v>
      </c>
      <c r="D720" s="3">
        <f>IFERROR(__xludf.DUMMYFUNCTION("SPLIT(B720, ""-"")"),5.0)</f>
        <v>5</v>
      </c>
      <c r="E720" s="3">
        <f>IFERROR(__xludf.DUMMYFUNCTION("""COMPUTED_VALUE"""),32.0)</f>
        <v>32</v>
      </c>
      <c r="F720" s="3">
        <f>IFERROR(__xludf.DUMMYFUNCTION("SPLIT(C720, ""-"")"),32.0)</f>
        <v>32</v>
      </c>
      <c r="G720" s="3">
        <f>IFERROR(__xludf.DUMMYFUNCTION("""COMPUTED_VALUE"""),63.0)</f>
        <v>63</v>
      </c>
      <c r="I720" s="3" t="str">
        <f t="shared" si="1"/>
        <v>y</v>
      </c>
      <c r="J720" s="3" t="str">
        <f t="shared" si="2"/>
        <v/>
      </c>
      <c r="K720" s="3" t="str">
        <f t="shared" si="3"/>
        <v/>
      </c>
      <c r="L720" s="3" t="str">
        <f t="shared" si="4"/>
        <v>y</v>
      </c>
      <c r="N720" s="3" t="str">
        <f t="shared" si="5"/>
        <v/>
      </c>
      <c r="O720" s="3" t="str">
        <f t="shared" si="6"/>
        <v/>
      </c>
      <c r="Q720" s="3" t="str">
        <f t="shared" si="7"/>
        <v/>
      </c>
      <c r="U720" s="3" t="str">
        <f t="shared" si="8"/>
        <v>Överlapp</v>
      </c>
      <c r="V720" s="3" t="str">
        <f t="shared" si="9"/>
        <v>Överlapp</v>
      </c>
      <c r="W720" s="3" t="str">
        <f t="shared" si="10"/>
        <v>Överlapp</v>
      </c>
      <c r="X720" s="3" t="str">
        <f t="shared" si="11"/>
        <v/>
      </c>
    </row>
    <row r="721">
      <c r="A721" s="1" t="s">
        <v>724</v>
      </c>
      <c r="B721" s="3" t="str">
        <f>IFERROR(__xludf.DUMMYFUNCTION("SPLIT(A721, "","")"),"6-80")</f>
        <v>6-80</v>
      </c>
      <c r="C721" s="3" t="str">
        <f>IFERROR(__xludf.DUMMYFUNCTION("""COMPUTED_VALUE"""),"5-80")</f>
        <v>5-80</v>
      </c>
      <c r="D721" s="3">
        <f>IFERROR(__xludf.DUMMYFUNCTION("SPLIT(B721, ""-"")"),6.0)</f>
        <v>6</v>
      </c>
      <c r="E721" s="3">
        <f>IFERROR(__xludf.DUMMYFUNCTION("""COMPUTED_VALUE"""),80.0)</f>
        <v>80</v>
      </c>
      <c r="F721" s="3">
        <f>IFERROR(__xludf.DUMMYFUNCTION("SPLIT(C721, ""-"")"),5.0)</f>
        <v>5</v>
      </c>
      <c r="G721" s="3">
        <f>IFERROR(__xludf.DUMMYFUNCTION("""COMPUTED_VALUE"""),80.0)</f>
        <v>80</v>
      </c>
      <c r="I721" s="3" t="str">
        <f t="shared" si="1"/>
        <v/>
      </c>
      <c r="J721" s="3" t="str">
        <f t="shared" si="2"/>
        <v>y</v>
      </c>
      <c r="K721" s="3" t="str">
        <f t="shared" si="3"/>
        <v>y</v>
      </c>
      <c r="L721" s="3" t="str">
        <f t="shared" si="4"/>
        <v>y</v>
      </c>
      <c r="N721" s="3" t="str">
        <f t="shared" si="5"/>
        <v/>
      </c>
      <c r="O721" s="3">
        <f t="shared" si="6"/>
        <v>1</v>
      </c>
      <c r="Q721" s="3">
        <f t="shared" si="7"/>
        <v>1</v>
      </c>
      <c r="U721" s="3" t="str">
        <f t="shared" si="8"/>
        <v>Överlapp</v>
      </c>
      <c r="V721" s="3" t="str">
        <f t="shared" si="9"/>
        <v>Överlapp</v>
      </c>
      <c r="W721" s="3" t="str">
        <f t="shared" si="10"/>
        <v>Överlapp</v>
      </c>
      <c r="X721" s="3" t="str">
        <f t="shared" si="11"/>
        <v/>
      </c>
    </row>
    <row r="722">
      <c r="A722" s="1" t="s">
        <v>725</v>
      </c>
      <c r="B722" s="3" t="str">
        <f>IFERROR(__xludf.DUMMYFUNCTION("SPLIT(A722, "","")"),"35-91")</f>
        <v>35-91</v>
      </c>
      <c r="C722" s="3" t="str">
        <f>IFERROR(__xludf.DUMMYFUNCTION("""COMPUTED_VALUE"""),"91-91")</f>
        <v>91-91</v>
      </c>
      <c r="D722" s="3">
        <f>IFERROR(__xludf.DUMMYFUNCTION("SPLIT(B722, ""-"")"),35.0)</f>
        <v>35</v>
      </c>
      <c r="E722" s="3">
        <f>IFERROR(__xludf.DUMMYFUNCTION("""COMPUTED_VALUE"""),91.0)</f>
        <v>91</v>
      </c>
      <c r="F722" s="3">
        <f>IFERROR(__xludf.DUMMYFUNCTION("SPLIT(C722, ""-"")"),91.0)</f>
        <v>91</v>
      </c>
      <c r="G722" s="3">
        <f>IFERROR(__xludf.DUMMYFUNCTION("""COMPUTED_VALUE"""),91.0)</f>
        <v>91</v>
      </c>
      <c r="I722" s="3" t="str">
        <f t="shared" si="1"/>
        <v>y</v>
      </c>
      <c r="J722" s="3" t="str">
        <f t="shared" si="2"/>
        <v>y</v>
      </c>
      <c r="K722" s="3" t="str">
        <f t="shared" si="3"/>
        <v/>
      </c>
      <c r="L722" s="3" t="str">
        <f t="shared" si="4"/>
        <v>y</v>
      </c>
      <c r="N722" s="3">
        <f t="shared" si="5"/>
        <v>1</v>
      </c>
      <c r="O722" s="3" t="str">
        <f t="shared" si="6"/>
        <v/>
      </c>
      <c r="Q722" s="3">
        <f t="shared" si="7"/>
        <v>1</v>
      </c>
      <c r="U722" s="3" t="str">
        <f t="shared" si="8"/>
        <v>Överlapp</v>
      </c>
      <c r="V722" s="3" t="str">
        <f t="shared" si="9"/>
        <v>Överlapp</v>
      </c>
      <c r="W722" s="3" t="str">
        <f t="shared" si="10"/>
        <v>Överlapp</v>
      </c>
      <c r="X722" s="3" t="str">
        <f t="shared" si="11"/>
        <v/>
      </c>
    </row>
    <row r="723">
      <c r="A723" s="1" t="s">
        <v>726</v>
      </c>
      <c r="B723" s="3" t="str">
        <f>IFERROR(__xludf.DUMMYFUNCTION("SPLIT(A723, "","")"),"65-70")</f>
        <v>65-70</v>
      </c>
      <c r="C723" s="3" t="str">
        <f>IFERROR(__xludf.DUMMYFUNCTION("""COMPUTED_VALUE"""),"7-79")</f>
        <v>7-79</v>
      </c>
      <c r="D723" s="3">
        <f>IFERROR(__xludf.DUMMYFUNCTION("SPLIT(B723, ""-"")"),65.0)</f>
        <v>65</v>
      </c>
      <c r="E723" s="3">
        <f>IFERROR(__xludf.DUMMYFUNCTION("""COMPUTED_VALUE"""),70.0)</f>
        <v>70</v>
      </c>
      <c r="F723" s="3">
        <f>IFERROR(__xludf.DUMMYFUNCTION("SPLIT(C723, ""-"")"),7.0)</f>
        <v>7</v>
      </c>
      <c r="G723" s="3">
        <f>IFERROR(__xludf.DUMMYFUNCTION("""COMPUTED_VALUE"""),79.0)</f>
        <v>79</v>
      </c>
      <c r="I723" s="3" t="str">
        <f t="shared" si="1"/>
        <v/>
      </c>
      <c r="J723" s="3" t="str">
        <f t="shared" si="2"/>
        <v/>
      </c>
      <c r="K723" s="3" t="str">
        <f t="shared" si="3"/>
        <v>y</v>
      </c>
      <c r="L723" s="3" t="str">
        <f t="shared" si="4"/>
        <v>y</v>
      </c>
      <c r="N723" s="3" t="str">
        <f t="shared" si="5"/>
        <v/>
      </c>
      <c r="O723" s="3">
        <f t="shared" si="6"/>
        <v>1</v>
      </c>
      <c r="Q723" s="3">
        <f t="shared" si="7"/>
        <v>1</v>
      </c>
      <c r="U723" s="3">
        <f t="shared" si="8"/>
        <v>1</v>
      </c>
      <c r="V723" s="3" t="str">
        <f t="shared" si="9"/>
        <v>Överlapp</v>
      </c>
      <c r="W723" s="3" t="str">
        <f t="shared" si="10"/>
        <v>Överlapp</v>
      </c>
      <c r="X723" s="3" t="str">
        <f t="shared" si="11"/>
        <v/>
      </c>
    </row>
    <row r="724">
      <c r="A724" s="1" t="s">
        <v>727</v>
      </c>
      <c r="B724" s="3" t="str">
        <f>IFERROR(__xludf.DUMMYFUNCTION("SPLIT(A724, "","")"),"4-77")</f>
        <v>4-77</v>
      </c>
      <c r="C724" s="3" t="str">
        <f>IFERROR(__xludf.DUMMYFUNCTION("""COMPUTED_VALUE"""),"5-77")</f>
        <v>5-77</v>
      </c>
      <c r="D724" s="3">
        <f>IFERROR(__xludf.DUMMYFUNCTION("SPLIT(B724, ""-"")"),4.0)</f>
        <v>4</v>
      </c>
      <c r="E724" s="3">
        <f>IFERROR(__xludf.DUMMYFUNCTION("""COMPUTED_VALUE"""),77.0)</f>
        <v>77</v>
      </c>
      <c r="F724" s="3">
        <f>IFERROR(__xludf.DUMMYFUNCTION("SPLIT(C724, ""-"")"),5.0)</f>
        <v>5</v>
      </c>
      <c r="G724" s="3">
        <f>IFERROR(__xludf.DUMMYFUNCTION("""COMPUTED_VALUE"""),77.0)</f>
        <v>77</v>
      </c>
      <c r="I724" s="3" t="str">
        <f t="shared" si="1"/>
        <v>y</v>
      </c>
      <c r="J724" s="3" t="str">
        <f t="shared" si="2"/>
        <v>y</v>
      </c>
      <c r="K724" s="3" t="str">
        <f t="shared" si="3"/>
        <v/>
      </c>
      <c r="L724" s="3" t="str">
        <f t="shared" si="4"/>
        <v>y</v>
      </c>
      <c r="N724" s="3">
        <f t="shared" si="5"/>
        <v>1</v>
      </c>
      <c r="O724" s="3" t="str">
        <f t="shared" si="6"/>
        <v/>
      </c>
      <c r="Q724" s="3">
        <f t="shared" si="7"/>
        <v>1</v>
      </c>
      <c r="U724" s="3" t="str">
        <f t="shared" si="8"/>
        <v>Överlapp</v>
      </c>
      <c r="V724" s="3" t="str">
        <f t="shared" si="9"/>
        <v>Överlapp</v>
      </c>
      <c r="W724" s="3" t="str">
        <f t="shared" si="10"/>
        <v>Överlapp</v>
      </c>
      <c r="X724" s="3" t="str">
        <f t="shared" si="11"/>
        <v/>
      </c>
    </row>
    <row r="725">
      <c r="A725" s="1" t="s">
        <v>728</v>
      </c>
      <c r="B725" s="3" t="str">
        <f>IFERROR(__xludf.DUMMYFUNCTION("SPLIT(A725, "","")"),"75-76")</f>
        <v>75-76</v>
      </c>
      <c r="C725" s="3" t="str">
        <f>IFERROR(__xludf.DUMMYFUNCTION("""COMPUTED_VALUE"""),"6-76")</f>
        <v>6-76</v>
      </c>
      <c r="D725" s="3">
        <f>IFERROR(__xludf.DUMMYFUNCTION("SPLIT(B725, ""-"")"),75.0)</f>
        <v>75</v>
      </c>
      <c r="E725" s="3">
        <f>IFERROR(__xludf.DUMMYFUNCTION("""COMPUTED_VALUE"""),76.0)</f>
        <v>76</v>
      </c>
      <c r="F725" s="3">
        <f>IFERROR(__xludf.DUMMYFUNCTION("SPLIT(C725, ""-"")"),6.0)</f>
        <v>6</v>
      </c>
      <c r="G725" s="3">
        <f>IFERROR(__xludf.DUMMYFUNCTION("""COMPUTED_VALUE"""),76.0)</f>
        <v>76</v>
      </c>
      <c r="I725" s="3" t="str">
        <f t="shared" si="1"/>
        <v/>
      </c>
      <c r="J725" s="3" t="str">
        <f t="shared" si="2"/>
        <v>y</v>
      </c>
      <c r="K725" s="3" t="str">
        <f t="shared" si="3"/>
        <v>y</v>
      </c>
      <c r="L725" s="3" t="str">
        <f t="shared" si="4"/>
        <v>y</v>
      </c>
      <c r="N725" s="3" t="str">
        <f t="shared" si="5"/>
        <v/>
      </c>
      <c r="O725" s="3">
        <f t="shared" si="6"/>
        <v>1</v>
      </c>
      <c r="Q725" s="3">
        <f t="shared" si="7"/>
        <v>1</v>
      </c>
      <c r="U725" s="3" t="str">
        <f t="shared" si="8"/>
        <v>Överlapp</v>
      </c>
      <c r="V725" s="3" t="str">
        <f t="shared" si="9"/>
        <v>Överlapp</v>
      </c>
      <c r="W725" s="3" t="str">
        <f t="shared" si="10"/>
        <v>Överlapp</v>
      </c>
      <c r="X725" s="3" t="str">
        <f t="shared" si="11"/>
        <v/>
      </c>
    </row>
    <row r="726">
      <c r="A726" s="1" t="s">
        <v>729</v>
      </c>
      <c r="B726" s="3" t="str">
        <f>IFERROR(__xludf.DUMMYFUNCTION("SPLIT(A726, "","")"),"4-88")</f>
        <v>4-88</v>
      </c>
      <c r="C726" s="3" t="str">
        <f>IFERROR(__xludf.DUMMYFUNCTION("""COMPUTED_VALUE"""),"4-89")</f>
        <v>4-89</v>
      </c>
      <c r="D726" s="3">
        <f>IFERROR(__xludf.DUMMYFUNCTION("SPLIT(B726, ""-"")"),4.0)</f>
        <v>4</v>
      </c>
      <c r="E726" s="3">
        <f>IFERROR(__xludf.DUMMYFUNCTION("""COMPUTED_VALUE"""),88.0)</f>
        <v>88</v>
      </c>
      <c r="F726" s="3">
        <f>IFERROR(__xludf.DUMMYFUNCTION("SPLIT(C726, ""-"")"),4.0)</f>
        <v>4</v>
      </c>
      <c r="G726" s="3">
        <f>IFERROR(__xludf.DUMMYFUNCTION("""COMPUTED_VALUE"""),89.0)</f>
        <v>89</v>
      </c>
      <c r="I726" s="3" t="str">
        <f t="shared" si="1"/>
        <v>y</v>
      </c>
      <c r="J726" s="3" t="str">
        <f t="shared" si="2"/>
        <v/>
      </c>
      <c r="K726" s="3" t="str">
        <f t="shared" si="3"/>
        <v>y</v>
      </c>
      <c r="L726" s="3" t="str">
        <f t="shared" si="4"/>
        <v>y</v>
      </c>
      <c r="N726" s="3" t="str">
        <f t="shared" si="5"/>
        <v/>
      </c>
      <c r="O726" s="3">
        <f t="shared" si="6"/>
        <v>1</v>
      </c>
      <c r="Q726" s="3">
        <f t="shared" si="7"/>
        <v>1</v>
      </c>
      <c r="U726" s="3" t="str">
        <f t="shared" si="8"/>
        <v>Överlapp</v>
      </c>
      <c r="V726" s="3" t="str">
        <f t="shared" si="9"/>
        <v>Överlapp</v>
      </c>
      <c r="W726" s="3" t="str">
        <f t="shared" si="10"/>
        <v>Överlapp</v>
      </c>
      <c r="X726" s="3" t="str">
        <f t="shared" si="11"/>
        <v/>
      </c>
    </row>
    <row r="727">
      <c r="A727" s="1" t="s">
        <v>730</v>
      </c>
      <c r="B727" s="3" t="str">
        <f>IFERROR(__xludf.DUMMYFUNCTION("SPLIT(A727, "","")"),"37-91")</f>
        <v>37-91</v>
      </c>
      <c r="C727" s="3" t="str">
        <f>IFERROR(__xludf.DUMMYFUNCTION("""COMPUTED_VALUE"""),"90-90")</f>
        <v>90-90</v>
      </c>
      <c r="D727" s="3">
        <f>IFERROR(__xludf.DUMMYFUNCTION("SPLIT(B727, ""-"")"),37.0)</f>
        <v>37</v>
      </c>
      <c r="E727" s="3">
        <f>IFERROR(__xludf.DUMMYFUNCTION("""COMPUTED_VALUE"""),91.0)</f>
        <v>91</v>
      </c>
      <c r="F727" s="3">
        <f>IFERROR(__xludf.DUMMYFUNCTION("SPLIT(C727, ""-"")"),90.0)</f>
        <v>90</v>
      </c>
      <c r="G727" s="3">
        <f>IFERROR(__xludf.DUMMYFUNCTION("""COMPUTED_VALUE"""),90.0)</f>
        <v>90</v>
      </c>
      <c r="I727" s="3" t="str">
        <f t="shared" si="1"/>
        <v>y</v>
      </c>
      <c r="J727" s="3" t="str">
        <f t="shared" si="2"/>
        <v>y</v>
      </c>
      <c r="K727" s="3" t="str">
        <f t="shared" si="3"/>
        <v/>
      </c>
      <c r="L727" s="3" t="str">
        <f t="shared" si="4"/>
        <v/>
      </c>
      <c r="N727" s="3">
        <f t="shared" si="5"/>
        <v>1</v>
      </c>
      <c r="O727" s="3" t="str">
        <f t="shared" si="6"/>
        <v/>
      </c>
      <c r="Q727" s="3">
        <f t="shared" si="7"/>
        <v>1</v>
      </c>
      <c r="U727" s="3">
        <f t="shared" si="8"/>
        <v>1</v>
      </c>
      <c r="V727" s="3" t="str">
        <f t="shared" si="9"/>
        <v>Överlapp</v>
      </c>
      <c r="W727" s="3" t="str">
        <f t="shared" si="10"/>
        <v>Överlapp</v>
      </c>
      <c r="X727" s="3" t="str">
        <f t="shared" si="11"/>
        <v/>
      </c>
    </row>
    <row r="728">
      <c r="A728" s="1" t="s">
        <v>148</v>
      </c>
      <c r="B728" s="3" t="str">
        <f>IFERROR(__xludf.DUMMYFUNCTION("SPLIT(A728, "","")"),"9-79")</f>
        <v>9-79</v>
      </c>
      <c r="C728" s="3" t="str">
        <f>IFERROR(__xludf.DUMMYFUNCTION("""COMPUTED_VALUE"""),"8-78")</f>
        <v>8-78</v>
      </c>
      <c r="D728" s="3">
        <f>IFERROR(__xludf.DUMMYFUNCTION("SPLIT(B728, ""-"")"),9.0)</f>
        <v>9</v>
      </c>
      <c r="E728" s="3">
        <f>IFERROR(__xludf.DUMMYFUNCTION("""COMPUTED_VALUE"""),79.0)</f>
        <v>79</v>
      </c>
      <c r="F728" s="3">
        <f>IFERROR(__xludf.DUMMYFUNCTION("SPLIT(C728, ""-"")"),8.0)</f>
        <v>8</v>
      </c>
      <c r="G728" s="3">
        <f>IFERROR(__xludf.DUMMYFUNCTION("""COMPUTED_VALUE"""),78.0)</f>
        <v>78</v>
      </c>
      <c r="I728" s="3" t="str">
        <f t="shared" si="1"/>
        <v/>
      </c>
      <c r="J728" s="3" t="str">
        <f t="shared" si="2"/>
        <v>y</v>
      </c>
      <c r="K728" s="3" t="str">
        <f t="shared" si="3"/>
        <v>y</v>
      </c>
      <c r="L728" s="3" t="str">
        <f t="shared" si="4"/>
        <v/>
      </c>
      <c r="N728" s="3" t="str">
        <f t="shared" si="5"/>
        <v/>
      </c>
      <c r="O728" s="3" t="str">
        <f t="shared" si="6"/>
        <v/>
      </c>
      <c r="Q728" s="3" t="str">
        <f t="shared" si="7"/>
        <v/>
      </c>
      <c r="U728" s="3">
        <f t="shared" si="8"/>
        <v>1</v>
      </c>
      <c r="V728" s="3" t="str">
        <f t="shared" si="9"/>
        <v>Överlapp</v>
      </c>
      <c r="W728" s="3" t="str">
        <f t="shared" si="10"/>
        <v>Överlapp</v>
      </c>
      <c r="X728" s="3" t="str">
        <f t="shared" si="11"/>
        <v/>
      </c>
    </row>
    <row r="729">
      <c r="A729" s="1" t="s">
        <v>731</v>
      </c>
      <c r="B729" s="4">
        <f>IFERROR(__xludf.DUMMYFUNCTION("SPLIT(A729, "","")"),44623.0)</f>
        <v>44623</v>
      </c>
      <c r="C729" s="3" t="str">
        <f>IFERROR(__xludf.DUMMYFUNCTION("""COMPUTED_VALUE"""),"2-98")</f>
        <v>2-98</v>
      </c>
      <c r="D729" s="3">
        <f>IFERROR(__xludf.DUMMYFUNCTION("SPLIT(B729, ""-"")"),3.0)</f>
        <v>3</v>
      </c>
      <c r="E729" s="3">
        <f>IFERROR(__xludf.DUMMYFUNCTION("""COMPUTED_VALUE"""),3.0)</f>
        <v>3</v>
      </c>
      <c r="F729" s="3">
        <f>IFERROR(__xludf.DUMMYFUNCTION("SPLIT(C729, ""-"")"),2.0)</f>
        <v>2</v>
      </c>
      <c r="G729" s="3">
        <f>IFERROR(__xludf.DUMMYFUNCTION("""COMPUTED_VALUE"""),98.0)</f>
        <v>98</v>
      </c>
      <c r="I729" s="3" t="str">
        <f t="shared" si="1"/>
        <v/>
      </c>
      <c r="J729" s="3" t="str">
        <f t="shared" si="2"/>
        <v/>
      </c>
      <c r="K729" s="3" t="str">
        <f t="shared" si="3"/>
        <v>y</v>
      </c>
      <c r="L729" s="3" t="str">
        <f t="shared" si="4"/>
        <v>y</v>
      </c>
      <c r="N729" s="3" t="str">
        <f t="shared" si="5"/>
        <v/>
      </c>
      <c r="O729" s="3">
        <f t="shared" si="6"/>
        <v>1</v>
      </c>
      <c r="Q729" s="3">
        <f t="shared" si="7"/>
        <v>1</v>
      </c>
      <c r="U729" s="3">
        <f t="shared" si="8"/>
        <v>1</v>
      </c>
      <c r="V729" s="3" t="str">
        <f t="shared" si="9"/>
        <v>Överlapp</v>
      </c>
      <c r="W729" s="3" t="str">
        <f t="shared" si="10"/>
        <v>Överlapp</v>
      </c>
      <c r="X729" s="3" t="str">
        <f t="shared" si="11"/>
        <v/>
      </c>
    </row>
    <row r="730">
      <c r="A730" s="1" t="s">
        <v>732</v>
      </c>
      <c r="B730" s="3" t="str">
        <f>IFERROR(__xludf.DUMMYFUNCTION("SPLIT(A730, "","")"),"52-66")</f>
        <v>52-66</v>
      </c>
      <c r="C730" s="3" t="str">
        <f>IFERROR(__xludf.DUMMYFUNCTION("""COMPUTED_VALUE"""),"53-95")</f>
        <v>53-95</v>
      </c>
      <c r="D730" s="3">
        <f>IFERROR(__xludf.DUMMYFUNCTION("SPLIT(B730, ""-"")"),52.0)</f>
        <v>52</v>
      </c>
      <c r="E730" s="3">
        <f>IFERROR(__xludf.DUMMYFUNCTION("""COMPUTED_VALUE"""),66.0)</f>
        <v>66</v>
      </c>
      <c r="F730" s="3">
        <f>IFERROR(__xludf.DUMMYFUNCTION("SPLIT(C730, ""-"")"),53.0)</f>
        <v>53</v>
      </c>
      <c r="G730" s="3">
        <f>IFERROR(__xludf.DUMMYFUNCTION("""COMPUTED_VALUE"""),95.0)</f>
        <v>95</v>
      </c>
      <c r="I730" s="3" t="str">
        <f t="shared" si="1"/>
        <v>y</v>
      </c>
      <c r="J730" s="3" t="str">
        <f t="shared" si="2"/>
        <v/>
      </c>
      <c r="K730" s="3" t="str">
        <f t="shared" si="3"/>
        <v/>
      </c>
      <c r="L730" s="3" t="str">
        <f t="shared" si="4"/>
        <v>y</v>
      </c>
      <c r="N730" s="3" t="str">
        <f t="shared" si="5"/>
        <v/>
      </c>
      <c r="O730" s="3" t="str">
        <f t="shared" si="6"/>
        <v/>
      </c>
      <c r="Q730" s="3" t="str">
        <f t="shared" si="7"/>
        <v/>
      </c>
      <c r="U730" s="3">
        <f t="shared" si="8"/>
        <v>1</v>
      </c>
      <c r="V730" s="3" t="str">
        <f t="shared" si="9"/>
        <v>Överlapp</v>
      </c>
      <c r="W730" s="3" t="str">
        <f t="shared" si="10"/>
        <v>Överlapp</v>
      </c>
      <c r="X730" s="3" t="str">
        <f t="shared" si="11"/>
        <v/>
      </c>
    </row>
    <row r="731">
      <c r="A731" s="1" t="s">
        <v>733</v>
      </c>
      <c r="B731" s="3" t="str">
        <f>IFERROR(__xludf.DUMMYFUNCTION("SPLIT(A731, "","")"),"37-49")</f>
        <v>37-49</v>
      </c>
      <c r="C731" s="3" t="str">
        <f>IFERROR(__xludf.DUMMYFUNCTION("""COMPUTED_VALUE"""),"49-55")</f>
        <v>49-55</v>
      </c>
      <c r="D731" s="3">
        <f>IFERROR(__xludf.DUMMYFUNCTION("SPLIT(B731, ""-"")"),37.0)</f>
        <v>37</v>
      </c>
      <c r="E731" s="3">
        <f>IFERROR(__xludf.DUMMYFUNCTION("""COMPUTED_VALUE"""),49.0)</f>
        <v>49</v>
      </c>
      <c r="F731" s="3">
        <f>IFERROR(__xludf.DUMMYFUNCTION("SPLIT(C731, ""-"")"),49.0)</f>
        <v>49</v>
      </c>
      <c r="G731" s="3">
        <f>IFERROR(__xludf.DUMMYFUNCTION("""COMPUTED_VALUE"""),55.0)</f>
        <v>55</v>
      </c>
      <c r="I731" s="3" t="str">
        <f t="shared" si="1"/>
        <v>y</v>
      </c>
      <c r="J731" s="3" t="str">
        <f t="shared" si="2"/>
        <v/>
      </c>
      <c r="K731" s="3" t="str">
        <f t="shared" si="3"/>
        <v/>
      </c>
      <c r="L731" s="3" t="str">
        <f t="shared" si="4"/>
        <v>y</v>
      </c>
      <c r="N731" s="3" t="str">
        <f t="shared" si="5"/>
        <v/>
      </c>
      <c r="O731" s="3" t="str">
        <f t="shared" si="6"/>
        <v/>
      </c>
      <c r="Q731" s="3" t="str">
        <f t="shared" si="7"/>
        <v/>
      </c>
      <c r="U731" s="3" t="str">
        <f t="shared" si="8"/>
        <v>Överlapp</v>
      </c>
      <c r="V731" s="3" t="str">
        <f t="shared" si="9"/>
        <v>Överlapp</v>
      </c>
      <c r="W731" s="3" t="str">
        <f t="shared" si="10"/>
        <v>Överlapp</v>
      </c>
      <c r="X731" s="3" t="str">
        <f t="shared" si="11"/>
        <v/>
      </c>
    </row>
    <row r="732">
      <c r="A732" s="1" t="s">
        <v>734</v>
      </c>
      <c r="B732" s="3" t="str">
        <f>IFERROR(__xludf.DUMMYFUNCTION("SPLIT(A732, "","")"),"1-99")</f>
        <v>1-99</v>
      </c>
      <c r="C732" s="3" t="str">
        <f>IFERROR(__xludf.DUMMYFUNCTION("""COMPUTED_VALUE"""),"1-86")</f>
        <v>1-86</v>
      </c>
      <c r="D732" s="3">
        <f>IFERROR(__xludf.DUMMYFUNCTION("SPLIT(B732, ""-"")"),1.0)</f>
        <v>1</v>
      </c>
      <c r="E732" s="3">
        <f>IFERROR(__xludf.DUMMYFUNCTION("""COMPUTED_VALUE"""),99.0)</f>
        <v>99</v>
      </c>
      <c r="F732" s="3">
        <f>IFERROR(__xludf.DUMMYFUNCTION("SPLIT(C732, ""-"")"),1.0)</f>
        <v>1</v>
      </c>
      <c r="G732" s="3">
        <f>IFERROR(__xludf.DUMMYFUNCTION("""COMPUTED_VALUE"""),86.0)</f>
        <v>86</v>
      </c>
      <c r="I732" s="3" t="str">
        <f t="shared" si="1"/>
        <v>y</v>
      </c>
      <c r="J732" s="3" t="str">
        <f t="shared" si="2"/>
        <v>y</v>
      </c>
      <c r="K732" s="3" t="str">
        <f t="shared" si="3"/>
        <v>y</v>
      </c>
      <c r="L732" s="3" t="str">
        <f t="shared" si="4"/>
        <v/>
      </c>
      <c r="N732" s="3">
        <f t="shared" si="5"/>
        <v>1</v>
      </c>
      <c r="O732" s="3" t="str">
        <f t="shared" si="6"/>
        <v/>
      </c>
      <c r="Q732" s="3">
        <f t="shared" si="7"/>
        <v>1</v>
      </c>
      <c r="U732" s="3" t="str">
        <f t="shared" si="8"/>
        <v>Överlapp</v>
      </c>
      <c r="V732" s="3" t="str">
        <f t="shared" si="9"/>
        <v>Överlapp</v>
      </c>
      <c r="W732" s="3" t="str">
        <f t="shared" si="10"/>
        <v>Överlapp</v>
      </c>
      <c r="X732" s="3" t="str">
        <f t="shared" si="11"/>
        <v/>
      </c>
    </row>
    <row r="733">
      <c r="A733" s="1" t="s">
        <v>735</v>
      </c>
      <c r="B733" s="3" t="str">
        <f>IFERROR(__xludf.DUMMYFUNCTION("SPLIT(A733, "","")"),"55-67")</f>
        <v>55-67</v>
      </c>
      <c r="C733" s="3" t="str">
        <f>IFERROR(__xludf.DUMMYFUNCTION("""COMPUTED_VALUE"""),"54-56")</f>
        <v>54-56</v>
      </c>
      <c r="D733" s="3">
        <f>IFERROR(__xludf.DUMMYFUNCTION("SPLIT(B733, ""-"")"),55.0)</f>
        <v>55</v>
      </c>
      <c r="E733" s="3">
        <f>IFERROR(__xludf.DUMMYFUNCTION("""COMPUTED_VALUE"""),67.0)</f>
        <v>67</v>
      </c>
      <c r="F733" s="3">
        <f>IFERROR(__xludf.DUMMYFUNCTION("SPLIT(C733, ""-"")"),54.0)</f>
        <v>54</v>
      </c>
      <c r="G733" s="3">
        <f>IFERROR(__xludf.DUMMYFUNCTION("""COMPUTED_VALUE"""),56.0)</f>
        <v>56</v>
      </c>
      <c r="I733" s="3" t="str">
        <f t="shared" si="1"/>
        <v/>
      </c>
      <c r="J733" s="3" t="str">
        <f t="shared" si="2"/>
        <v>y</v>
      </c>
      <c r="K733" s="3" t="str">
        <f t="shared" si="3"/>
        <v>y</v>
      </c>
      <c r="L733" s="3" t="str">
        <f t="shared" si="4"/>
        <v/>
      </c>
      <c r="N733" s="3" t="str">
        <f t="shared" si="5"/>
        <v/>
      </c>
      <c r="O733" s="3" t="str">
        <f t="shared" si="6"/>
        <v/>
      </c>
      <c r="Q733" s="3" t="str">
        <f t="shared" si="7"/>
        <v/>
      </c>
      <c r="U733" s="3">
        <f t="shared" si="8"/>
        <v>1</v>
      </c>
      <c r="V733" s="3" t="str">
        <f t="shared" si="9"/>
        <v>Överlapp</v>
      </c>
      <c r="W733" s="3" t="str">
        <f t="shared" si="10"/>
        <v>Överlapp</v>
      </c>
      <c r="X733" s="3" t="str">
        <f t="shared" si="11"/>
        <v/>
      </c>
    </row>
    <row r="734">
      <c r="A734" s="1" t="s">
        <v>736</v>
      </c>
      <c r="B734" s="3" t="str">
        <f>IFERROR(__xludf.DUMMYFUNCTION("SPLIT(A734, "","")"),"6-89")</f>
        <v>6-89</v>
      </c>
      <c r="C734" s="3" t="str">
        <f>IFERROR(__xludf.DUMMYFUNCTION("""COMPUTED_VALUE"""),"7-89")</f>
        <v>7-89</v>
      </c>
      <c r="D734" s="3">
        <f>IFERROR(__xludf.DUMMYFUNCTION("SPLIT(B734, ""-"")"),6.0)</f>
        <v>6</v>
      </c>
      <c r="E734" s="3">
        <f>IFERROR(__xludf.DUMMYFUNCTION("""COMPUTED_VALUE"""),89.0)</f>
        <v>89</v>
      </c>
      <c r="F734" s="3">
        <f>IFERROR(__xludf.DUMMYFUNCTION("SPLIT(C734, ""-"")"),7.0)</f>
        <v>7</v>
      </c>
      <c r="G734" s="3">
        <f>IFERROR(__xludf.DUMMYFUNCTION("""COMPUTED_VALUE"""),89.0)</f>
        <v>89</v>
      </c>
      <c r="I734" s="3" t="str">
        <f t="shared" si="1"/>
        <v>y</v>
      </c>
      <c r="J734" s="3" t="str">
        <f t="shared" si="2"/>
        <v>y</v>
      </c>
      <c r="K734" s="3" t="str">
        <f t="shared" si="3"/>
        <v/>
      </c>
      <c r="L734" s="3" t="str">
        <f t="shared" si="4"/>
        <v>y</v>
      </c>
      <c r="N734" s="3">
        <f t="shared" si="5"/>
        <v>1</v>
      </c>
      <c r="O734" s="3" t="str">
        <f t="shared" si="6"/>
        <v/>
      </c>
      <c r="Q734" s="3">
        <f t="shared" si="7"/>
        <v>1</v>
      </c>
      <c r="U734" s="3" t="str">
        <f t="shared" si="8"/>
        <v>Överlapp</v>
      </c>
      <c r="V734" s="3" t="str">
        <f t="shared" si="9"/>
        <v>Överlapp</v>
      </c>
      <c r="W734" s="3" t="str">
        <f t="shared" si="10"/>
        <v>Överlapp</v>
      </c>
      <c r="X734" s="3" t="str">
        <f t="shared" si="11"/>
        <v/>
      </c>
    </row>
    <row r="735">
      <c r="A735" s="1" t="s">
        <v>737</v>
      </c>
      <c r="B735" s="3" t="str">
        <f>IFERROR(__xludf.DUMMYFUNCTION("SPLIT(A735, "","")"),"51-71")</f>
        <v>51-71</v>
      </c>
      <c r="C735" s="3" t="str">
        <f>IFERROR(__xludf.DUMMYFUNCTION("""COMPUTED_VALUE"""),"52-85")</f>
        <v>52-85</v>
      </c>
      <c r="D735" s="3">
        <f>IFERROR(__xludf.DUMMYFUNCTION("SPLIT(B735, ""-"")"),51.0)</f>
        <v>51</v>
      </c>
      <c r="E735" s="3">
        <f>IFERROR(__xludf.DUMMYFUNCTION("""COMPUTED_VALUE"""),71.0)</f>
        <v>71</v>
      </c>
      <c r="F735" s="3">
        <f>IFERROR(__xludf.DUMMYFUNCTION("SPLIT(C735, ""-"")"),52.0)</f>
        <v>52</v>
      </c>
      <c r="G735" s="3">
        <f>IFERROR(__xludf.DUMMYFUNCTION("""COMPUTED_VALUE"""),85.0)</f>
        <v>85</v>
      </c>
      <c r="I735" s="3" t="str">
        <f t="shared" si="1"/>
        <v>y</v>
      </c>
      <c r="J735" s="3" t="str">
        <f t="shared" si="2"/>
        <v/>
      </c>
      <c r="K735" s="3" t="str">
        <f t="shared" si="3"/>
        <v/>
      </c>
      <c r="L735" s="3" t="str">
        <f t="shared" si="4"/>
        <v>y</v>
      </c>
      <c r="N735" s="3" t="str">
        <f t="shared" si="5"/>
        <v/>
      </c>
      <c r="O735" s="3" t="str">
        <f t="shared" si="6"/>
        <v/>
      </c>
      <c r="Q735" s="3" t="str">
        <f t="shared" si="7"/>
        <v/>
      </c>
      <c r="U735" s="3">
        <f t="shared" si="8"/>
        <v>1</v>
      </c>
      <c r="V735" s="3" t="str">
        <f t="shared" si="9"/>
        <v>Överlapp</v>
      </c>
      <c r="W735" s="3" t="str">
        <f t="shared" si="10"/>
        <v>Överlapp</v>
      </c>
      <c r="X735" s="3" t="str">
        <f t="shared" si="11"/>
        <v/>
      </c>
    </row>
    <row r="736">
      <c r="A736" s="1" t="s">
        <v>738</v>
      </c>
      <c r="B736" s="3" t="str">
        <f>IFERROR(__xludf.DUMMYFUNCTION("SPLIT(A736, "","")"),"4-89")</f>
        <v>4-89</v>
      </c>
      <c r="C736" s="3" t="str">
        <f>IFERROR(__xludf.DUMMYFUNCTION("""COMPUTED_VALUE"""),"3-89")</f>
        <v>3-89</v>
      </c>
      <c r="D736" s="3">
        <f>IFERROR(__xludf.DUMMYFUNCTION("SPLIT(B736, ""-"")"),4.0)</f>
        <v>4</v>
      </c>
      <c r="E736" s="3">
        <f>IFERROR(__xludf.DUMMYFUNCTION("""COMPUTED_VALUE"""),89.0)</f>
        <v>89</v>
      </c>
      <c r="F736" s="3">
        <f>IFERROR(__xludf.DUMMYFUNCTION("SPLIT(C736, ""-"")"),3.0)</f>
        <v>3</v>
      </c>
      <c r="G736" s="3">
        <f>IFERROR(__xludf.DUMMYFUNCTION("""COMPUTED_VALUE"""),89.0)</f>
        <v>89</v>
      </c>
      <c r="I736" s="3" t="str">
        <f t="shared" si="1"/>
        <v/>
      </c>
      <c r="J736" s="3" t="str">
        <f t="shared" si="2"/>
        <v>y</v>
      </c>
      <c r="K736" s="3" t="str">
        <f t="shared" si="3"/>
        <v>y</v>
      </c>
      <c r="L736" s="3" t="str">
        <f t="shared" si="4"/>
        <v>y</v>
      </c>
      <c r="N736" s="3" t="str">
        <f t="shared" si="5"/>
        <v/>
      </c>
      <c r="O736" s="3">
        <f t="shared" si="6"/>
        <v>1</v>
      </c>
      <c r="Q736" s="3">
        <f t="shared" si="7"/>
        <v>1</v>
      </c>
      <c r="U736" s="3" t="str">
        <f t="shared" si="8"/>
        <v>Överlapp</v>
      </c>
      <c r="V736" s="3" t="str">
        <f t="shared" si="9"/>
        <v>Överlapp</v>
      </c>
      <c r="W736" s="3" t="str">
        <f t="shared" si="10"/>
        <v>Överlapp</v>
      </c>
      <c r="X736" s="3" t="str">
        <f t="shared" si="11"/>
        <v/>
      </c>
    </row>
    <row r="737">
      <c r="A737" s="1" t="s">
        <v>739</v>
      </c>
      <c r="B737" s="4">
        <f>IFERROR(__xludf.DUMMYFUNCTION("SPLIT(A737, "","")"),44812.0)</f>
        <v>44812</v>
      </c>
      <c r="C737" s="3" t="str">
        <f>IFERROR(__xludf.DUMMYFUNCTION("""COMPUTED_VALUE"""),"9-90")</f>
        <v>9-90</v>
      </c>
      <c r="D737" s="3">
        <f>IFERROR(__xludf.DUMMYFUNCTION("SPLIT(B737, ""-"")"),8.0)</f>
        <v>8</v>
      </c>
      <c r="E737" s="3">
        <f>IFERROR(__xludf.DUMMYFUNCTION("""COMPUTED_VALUE"""),9.0)</f>
        <v>9</v>
      </c>
      <c r="F737" s="3">
        <f>IFERROR(__xludf.DUMMYFUNCTION("SPLIT(C737, ""-"")"),9.0)</f>
        <v>9</v>
      </c>
      <c r="G737" s="3">
        <f>IFERROR(__xludf.DUMMYFUNCTION("""COMPUTED_VALUE"""),90.0)</f>
        <v>90</v>
      </c>
      <c r="I737" s="3" t="str">
        <f t="shared" si="1"/>
        <v>y</v>
      </c>
      <c r="J737" s="3" t="str">
        <f t="shared" si="2"/>
        <v/>
      </c>
      <c r="K737" s="3" t="str">
        <f t="shared" si="3"/>
        <v/>
      </c>
      <c r="L737" s="3" t="str">
        <f t="shared" si="4"/>
        <v>y</v>
      </c>
      <c r="N737" s="3" t="str">
        <f t="shared" si="5"/>
        <v/>
      </c>
      <c r="O737" s="3" t="str">
        <f t="shared" si="6"/>
        <v/>
      </c>
      <c r="Q737" s="3" t="str">
        <f t="shared" si="7"/>
        <v/>
      </c>
      <c r="U737" s="3" t="str">
        <f t="shared" si="8"/>
        <v>Överlapp</v>
      </c>
      <c r="V737" s="3" t="str">
        <f t="shared" si="9"/>
        <v>Överlapp</v>
      </c>
      <c r="W737" s="3" t="str">
        <f t="shared" si="10"/>
        <v>Överlapp</v>
      </c>
      <c r="X737" s="3" t="str">
        <f t="shared" si="11"/>
        <v/>
      </c>
    </row>
    <row r="738">
      <c r="A738" s="1" t="s">
        <v>740</v>
      </c>
      <c r="B738" s="3" t="str">
        <f>IFERROR(__xludf.DUMMYFUNCTION("SPLIT(A738, "","")"),"4-57")</f>
        <v>4-57</v>
      </c>
      <c r="C738" s="4">
        <f>IFERROR(__xludf.DUMMYFUNCTION("""COMPUTED_VALUE"""),44686.0)</f>
        <v>44686</v>
      </c>
      <c r="D738" s="3">
        <f>IFERROR(__xludf.DUMMYFUNCTION("SPLIT(B738, ""-"")"),4.0)</f>
        <v>4</v>
      </c>
      <c r="E738" s="3">
        <f>IFERROR(__xludf.DUMMYFUNCTION("""COMPUTED_VALUE"""),57.0)</f>
        <v>57</v>
      </c>
      <c r="F738" s="3">
        <f>IFERROR(__xludf.DUMMYFUNCTION("SPLIT(C738, ""-"")"),5.0)</f>
        <v>5</v>
      </c>
      <c r="G738" s="3">
        <f>IFERROR(__xludf.DUMMYFUNCTION("""COMPUTED_VALUE"""),5.0)</f>
        <v>5</v>
      </c>
      <c r="I738" s="3" t="str">
        <f t="shared" si="1"/>
        <v>y</v>
      </c>
      <c r="J738" s="3" t="str">
        <f t="shared" si="2"/>
        <v>y</v>
      </c>
      <c r="K738" s="3" t="str">
        <f t="shared" si="3"/>
        <v/>
      </c>
      <c r="L738" s="3" t="str">
        <f t="shared" si="4"/>
        <v/>
      </c>
      <c r="N738" s="3">
        <f t="shared" si="5"/>
        <v>1</v>
      </c>
      <c r="O738" s="3" t="str">
        <f t="shared" si="6"/>
        <v/>
      </c>
      <c r="Q738" s="3">
        <f t="shared" si="7"/>
        <v>1</v>
      </c>
      <c r="U738" s="3">
        <f t="shared" si="8"/>
        <v>1</v>
      </c>
      <c r="V738" s="3" t="str">
        <f t="shared" si="9"/>
        <v>Överlapp</v>
      </c>
      <c r="W738" s="3" t="str">
        <f t="shared" si="10"/>
        <v>Överlapp</v>
      </c>
      <c r="X738" s="3" t="str">
        <f t="shared" si="11"/>
        <v/>
      </c>
    </row>
    <row r="739">
      <c r="A739" s="1" t="s">
        <v>741</v>
      </c>
      <c r="B739" s="3" t="str">
        <f>IFERROR(__xludf.DUMMYFUNCTION("SPLIT(A739, "","")"),"8-70")</f>
        <v>8-70</v>
      </c>
      <c r="C739" s="3" t="str">
        <f>IFERROR(__xludf.DUMMYFUNCTION("""COMPUTED_VALUE"""),"27-69")</f>
        <v>27-69</v>
      </c>
      <c r="D739" s="3">
        <f>IFERROR(__xludf.DUMMYFUNCTION("SPLIT(B739, ""-"")"),8.0)</f>
        <v>8</v>
      </c>
      <c r="E739" s="3">
        <f>IFERROR(__xludf.DUMMYFUNCTION("""COMPUTED_VALUE"""),70.0)</f>
        <v>70</v>
      </c>
      <c r="F739" s="3">
        <f>IFERROR(__xludf.DUMMYFUNCTION("SPLIT(C739, ""-"")"),27.0)</f>
        <v>27</v>
      </c>
      <c r="G739" s="3">
        <f>IFERROR(__xludf.DUMMYFUNCTION("""COMPUTED_VALUE"""),69.0)</f>
        <v>69</v>
      </c>
      <c r="I739" s="3" t="str">
        <f t="shared" si="1"/>
        <v>y</v>
      </c>
      <c r="J739" s="3" t="str">
        <f t="shared" si="2"/>
        <v>y</v>
      </c>
      <c r="K739" s="3" t="str">
        <f t="shared" si="3"/>
        <v/>
      </c>
      <c r="L739" s="3" t="str">
        <f t="shared" si="4"/>
        <v/>
      </c>
      <c r="N739" s="3">
        <f t="shared" si="5"/>
        <v>1</v>
      </c>
      <c r="O739" s="3" t="str">
        <f t="shared" si="6"/>
        <v/>
      </c>
      <c r="Q739" s="3">
        <f t="shared" si="7"/>
        <v>1</v>
      </c>
      <c r="U739" s="3">
        <f t="shared" si="8"/>
        <v>1</v>
      </c>
      <c r="V739" s="3" t="str">
        <f t="shared" si="9"/>
        <v>Överlapp</v>
      </c>
      <c r="W739" s="3" t="str">
        <f t="shared" si="10"/>
        <v>Överlapp</v>
      </c>
      <c r="X739" s="3" t="str">
        <f t="shared" si="11"/>
        <v/>
      </c>
    </row>
    <row r="740">
      <c r="A740" s="1" t="s">
        <v>742</v>
      </c>
      <c r="B740" s="3" t="str">
        <f>IFERROR(__xludf.DUMMYFUNCTION("SPLIT(A740, "","")"),"4-93")</f>
        <v>4-93</v>
      </c>
      <c r="C740" s="3" t="str">
        <f>IFERROR(__xludf.DUMMYFUNCTION("""COMPUTED_VALUE"""),"5-96")</f>
        <v>5-96</v>
      </c>
      <c r="D740" s="3">
        <f>IFERROR(__xludf.DUMMYFUNCTION("SPLIT(B740, ""-"")"),4.0)</f>
        <v>4</v>
      </c>
      <c r="E740" s="3">
        <f>IFERROR(__xludf.DUMMYFUNCTION("""COMPUTED_VALUE"""),93.0)</f>
        <v>93</v>
      </c>
      <c r="F740" s="3">
        <f>IFERROR(__xludf.DUMMYFUNCTION("SPLIT(C740, ""-"")"),5.0)</f>
        <v>5</v>
      </c>
      <c r="G740" s="3">
        <f>IFERROR(__xludf.DUMMYFUNCTION("""COMPUTED_VALUE"""),96.0)</f>
        <v>96</v>
      </c>
      <c r="I740" s="3" t="str">
        <f t="shared" si="1"/>
        <v>y</v>
      </c>
      <c r="J740" s="3" t="str">
        <f t="shared" si="2"/>
        <v/>
      </c>
      <c r="K740" s="3" t="str">
        <f t="shared" si="3"/>
        <v/>
      </c>
      <c r="L740" s="3" t="str">
        <f t="shared" si="4"/>
        <v>y</v>
      </c>
      <c r="N740" s="3" t="str">
        <f t="shared" si="5"/>
        <v/>
      </c>
      <c r="O740" s="3" t="str">
        <f t="shared" si="6"/>
        <v/>
      </c>
      <c r="Q740" s="3" t="str">
        <f t="shared" si="7"/>
        <v/>
      </c>
      <c r="U740" s="3">
        <f t="shared" si="8"/>
        <v>1</v>
      </c>
      <c r="V740" s="3" t="str">
        <f t="shared" si="9"/>
        <v>Överlapp</v>
      </c>
      <c r="W740" s="3" t="str">
        <f t="shared" si="10"/>
        <v>Överlapp</v>
      </c>
      <c r="X740" s="3" t="str">
        <f t="shared" si="11"/>
        <v/>
      </c>
    </row>
    <row r="741">
      <c r="A741" s="1" t="s">
        <v>743</v>
      </c>
      <c r="B741" s="3" t="str">
        <f>IFERROR(__xludf.DUMMYFUNCTION("SPLIT(A741, "","")"),"18-18")</f>
        <v>18-18</v>
      </c>
      <c r="C741" s="3" t="str">
        <f>IFERROR(__xludf.DUMMYFUNCTION("""COMPUTED_VALUE"""),"17-19")</f>
        <v>17-19</v>
      </c>
      <c r="D741" s="3">
        <f>IFERROR(__xludf.DUMMYFUNCTION("SPLIT(B741, ""-"")"),18.0)</f>
        <v>18</v>
      </c>
      <c r="E741" s="3">
        <f>IFERROR(__xludf.DUMMYFUNCTION("""COMPUTED_VALUE"""),18.0)</f>
        <v>18</v>
      </c>
      <c r="F741" s="3">
        <f>IFERROR(__xludf.DUMMYFUNCTION("SPLIT(C741, ""-"")"),17.0)</f>
        <v>17</v>
      </c>
      <c r="G741" s="3">
        <f>IFERROR(__xludf.DUMMYFUNCTION("""COMPUTED_VALUE"""),19.0)</f>
        <v>19</v>
      </c>
      <c r="I741" s="3" t="str">
        <f t="shared" si="1"/>
        <v/>
      </c>
      <c r="J741" s="3" t="str">
        <f t="shared" si="2"/>
        <v/>
      </c>
      <c r="K741" s="3" t="str">
        <f t="shared" si="3"/>
        <v>y</v>
      </c>
      <c r="L741" s="3" t="str">
        <f t="shared" si="4"/>
        <v>y</v>
      </c>
      <c r="N741" s="3" t="str">
        <f t="shared" si="5"/>
        <v/>
      </c>
      <c r="O741" s="3">
        <f t="shared" si="6"/>
        <v>1</v>
      </c>
      <c r="Q741" s="3">
        <f t="shared" si="7"/>
        <v>1</v>
      </c>
      <c r="U741" s="3">
        <f t="shared" si="8"/>
        <v>1</v>
      </c>
      <c r="V741" s="3" t="str">
        <f t="shared" si="9"/>
        <v>Överlapp</v>
      </c>
      <c r="W741" s="3" t="str">
        <f t="shared" si="10"/>
        <v>Överlapp</v>
      </c>
      <c r="X741" s="3" t="str">
        <f t="shared" si="11"/>
        <v/>
      </c>
    </row>
    <row r="742">
      <c r="A742" s="1" t="s">
        <v>744</v>
      </c>
      <c r="B742" s="3" t="str">
        <f>IFERROR(__xludf.DUMMYFUNCTION("SPLIT(A742, "","")"),"13-14")</f>
        <v>13-14</v>
      </c>
      <c r="C742" s="3" t="str">
        <f>IFERROR(__xludf.DUMMYFUNCTION("""COMPUTED_VALUE"""),"13-86")</f>
        <v>13-86</v>
      </c>
      <c r="D742" s="3">
        <f>IFERROR(__xludf.DUMMYFUNCTION("SPLIT(B742, ""-"")"),13.0)</f>
        <v>13</v>
      </c>
      <c r="E742" s="3">
        <f>IFERROR(__xludf.DUMMYFUNCTION("""COMPUTED_VALUE"""),14.0)</f>
        <v>14</v>
      </c>
      <c r="F742" s="3">
        <f>IFERROR(__xludf.DUMMYFUNCTION("SPLIT(C742, ""-"")"),13.0)</f>
        <v>13</v>
      </c>
      <c r="G742" s="3">
        <f>IFERROR(__xludf.DUMMYFUNCTION("""COMPUTED_VALUE"""),86.0)</f>
        <v>86</v>
      </c>
      <c r="I742" s="3" t="str">
        <f t="shared" si="1"/>
        <v>y</v>
      </c>
      <c r="J742" s="3" t="str">
        <f t="shared" si="2"/>
        <v/>
      </c>
      <c r="K742" s="3" t="str">
        <f t="shared" si="3"/>
        <v>y</v>
      </c>
      <c r="L742" s="3" t="str">
        <f t="shared" si="4"/>
        <v>y</v>
      </c>
      <c r="N742" s="3" t="str">
        <f t="shared" si="5"/>
        <v/>
      </c>
      <c r="O742" s="3">
        <f t="shared" si="6"/>
        <v>1</v>
      </c>
      <c r="Q742" s="3">
        <f t="shared" si="7"/>
        <v>1</v>
      </c>
      <c r="U742" s="3" t="str">
        <f t="shared" si="8"/>
        <v>Överlapp</v>
      </c>
      <c r="V742" s="3" t="str">
        <f t="shared" si="9"/>
        <v>Överlapp</v>
      </c>
      <c r="W742" s="3" t="str">
        <f t="shared" si="10"/>
        <v>Överlapp</v>
      </c>
      <c r="X742" s="3" t="str">
        <f t="shared" si="11"/>
        <v/>
      </c>
    </row>
    <row r="743">
      <c r="A743" s="1" t="s">
        <v>745</v>
      </c>
      <c r="B743" s="3" t="str">
        <f>IFERROR(__xludf.DUMMYFUNCTION("SPLIT(A743, "","")"),"86-98")</f>
        <v>86-98</v>
      </c>
      <c r="C743" s="3" t="str">
        <f>IFERROR(__xludf.DUMMYFUNCTION("""COMPUTED_VALUE"""),"23-98")</f>
        <v>23-98</v>
      </c>
      <c r="D743" s="3">
        <f>IFERROR(__xludf.DUMMYFUNCTION("SPLIT(B743, ""-"")"),86.0)</f>
        <v>86</v>
      </c>
      <c r="E743" s="3">
        <f>IFERROR(__xludf.DUMMYFUNCTION("""COMPUTED_VALUE"""),98.0)</f>
        <v>98</v>
      </c>
      <c r="F743" s="3">
        <f>IFERROR(__xludf.DUMMYFUNCTION("SPLIT(C743, ""-"")"),23.0)</f>
        <v>23</v>
      </c>
      <c r="G743" s="3">
        <f>IFERROR(__xludf.DUMMYFUNCTION("""COMPUTED_VALUE"""),98.0)</f>
        <v>98</v>
      </c>
      <c r="I743" s="3" t="str">
        <f t="shared" si="1"/>
        <v/>
      </c>
      <c r="J743" s="3" t="str">
        <f t="shared" si="2"/>
        <v>y</v>
      </c>
      <c r="K743" s="3" t="str">
        <f t="shared" si="3"/>
        <v>y</v>
      </c>
      <c r="L743" s="3" t="str">
        <f t="shared" si="4"/>
        <v>y</v>
      </c>
      <c r="N743" s="3" t="str">
        <f t="shared" si="5"/>
        <v/>
      </c>
      <c r="O743" s="3">
        <f t="shared" si="6"/>
        <v>1</v>
      </c>
      <c r="Q743" s="3">
        <f t="shared" si="7"/>
        <v>1</v>
      </c>
      <c r="U743" s="3" t="str">
        <f t="shared" si="8"/>
        <v>Överlapp</v>
      </c>
      <c r="V743" s="3" t="str">
        <f t="shared" si="9"/>
        <v>Överlapp</v>
      </c>
      <c r="W743" s="3" t="str">
        <f t="shared" si="10"/>
        <v>Överlapp</v>
      </c>
      <c r="X743" s="3" t="str">
        <f t="shared" si="11"/>
        <v/>
      </c>
    </row>
    <row r="744">
      <c r="A744" s="1" t="s">
        <v>746</v>
      </c>
      <c r="B744" s="3" t="str">
        <f>IFERROR(__xludf.DUMMYFUNCTION("SPLIT(A744, "","")"),"21-47")</f>
        <v>21-47</v>
      </c>
      <c r="C744" s="3" t="str">
        <f>IFERROR(__xludf.DUMMYFUNCTION("""COMPUTED_VALUE"""),"22-47")</f>
        <v>22-47</v>
      </c>
      <c r="D744" s="3">
        <f>IFERROR(__xludf.DUMMYFUNCTION("SPLIT(B744, ""-"")"),21.0)</f>
        <v>21</v>
      </c>
      <c r="E744" s="3">
        <f>IFERROR(__xludf.DUMMYFUNCTION("""COMPUTED_VALUE"""),47.0)</f>
        <v>47</v>
      </c>
      <c r="F744" s="3">
        <f>IFERROR(__xludf.DUMMYFUNCTION("SPLIT(C744, ""-"")"),22.0)</f>
        <v>22</v>
      </c>
      <c r="G744" s="3">
        <f>IFERROR(__xludf.DUMMYFUNCTION("""COMPUTED_VALUE"""),47.0)</f>
        <v>47</v>
      </c>
      <c r="I744" s="3" t="str">
        <f t="shared" si="1"/>
        <v>y</v>
      </c>
      <c r="J744" s="3" t="str">
        <f t="shared" si="2"/>
        <v>y</v>
      </c>
      <c r="K744" s="3" t="str">
        <f t="shared" si="3"/>
        <v/>
      </c>
      <c r="L744" s="3" t="str">
        <f t="shared" si="4"/>
        <v>y</v>
      </c>
      <c r="N744" s="3">
        <f t="shared" si="5"/>
        <v>1</v>
      </c>
      <c r="O744" s="3" t="str">
        <f t="shared" si="6"/>
        <v/>
      </c>
      <c r="Q744" s="3">
        <f t="shared" si="7"/>
        <v>1</v>
      </c>
      <c r="U744" s="3" t="str">
        <f t="shared" si="8"/>
        <v>Överlapp</v>
      </c>
      <c r="V744" s="3" t="str">
        <f t="shared" si="9"/>
        <v>Överlapp</v>
      </c>
      <c r="W744" s="3" t="str">
        <f t="shared" si="10"/>
        <v>Överlapp</v>
      </c>
      <c r="X744" s="3" t="str">
        <f t="shared" si="11"/>
        <v/>
      </c>
    </row>
    <row r="745">
      <c r="A745" s="1" t="s">
        <v>747</v>
      </c>
      <c r="B745" s="3" t="str">
        <f>IFERROR(__xludf.DUMMYFUNCTION("SPLIT(A745, "","")"),"4-31")</f>
        <v>4-31</v>
      </c>
      <c r="C745" s="4">
        <f>IFERROR(__xludf.DUMMYFUNCTION("""COMPUTED_VALUE"""),44683.0)</f>
        <v>44683</v>
      </c>
      <c r="D745" s="3">
        <f>IFERROR(__xludf.DUMMYFUNCTION("SPLIT(B745, ""-"")"),4.0)</f>
        <v>4</v>
      </c>
      <c r="E745" s="3">
        <f>IFERROR(__xludf.DUMMYFUNCTION("""COMPUTED_VALUE"""),31.0)</f>
        <v>31</v>
      </c>
      <c r="F745" s="3">
        <f>IFERROR(__xludf.DUMMYFUNCTION("SPLIT(C745, ""-"")"),2.0)</f>
        <v>2</v>
      </c>
      <c r="G745" s="3">
        <f>IFERROR(__xludf.DUMMYFUNCTION("""COMPUTED_VALUE"""),5.0)</f>
        <v>5</v>
      </c>
      <c r="I745" s="3" t="str">
        <f t="shared" si="1"/>
        <v/>
      </c>
      <c r="J745" s="3" t="str">
        <f t="shared" si="2"/>
        <v>y</v>
      </c>
      <c r="K745" s="3" t="str">
        <f t="shared" si="3"/>
        <v>y</v>
      </c>
      <c r="L745" s="3" t="str">
        <f t="shared" si="4"/>
        <v/>
      </c>
      <c r="N745" s="3" t="str">
        <f t="shared" si="5"/>
        <v/>
      </c>
      <c r="O745" s="3" t="str">
        <f t="shared" si="6"/>
        <v/>
      </c>
      <c r="Q745" s="3" t="str">
        <f t="shared" si="7"/>
        <v/>
      </c>
      <c r="U745" s="3">
        <f t="shared" si="8"/>
        <v>1</v>
      </c>
      <c r="V745" s="3" t="str">
        <f t="shared" si="9"/>
        <v>Överlapp</v>
      </c>
      <c r="W745" s="3" t="str">
        <f t="shared" si="10"/>
        <v>Överlapp</v>
      </c>
      <c r="X745" s="3" t="str">
        <f t="shared" si="11"/>
        <v/>
      </c>
    </row>
    <row r="746">
      <c r="A746" s="1" t="s">
        <v>748</v>
      </c>
      <c r="B746" s="3" t="str">
        <f>IFERROR(__xludf.DUMMYFUNCTION("SPLIT(A746, "","")"),"12-55")</f>
        <v>12-55</v>
      </c>
      <c r="C746" s="3" t="str">
        <f>IFERROR(__xludf.DUMMYFUNCTION("""COMPUTED_VALUE"""),"12-56")</f>
        <v>12-56</v>
      </c>
      <c r="D746" s="3">
        <f>IFERROR(__xludf.DUMMYFUNCTION("SPLIT(B746, ""-"")"),12.0)</f>
        <v>12</v>
      </c>
      <c r="E746" s="3">
        <f>IFERROR(__xludf.DUMMYFUNCTION("""COMPUTED_VALUE"""),55.0)</f>
        <v>55</v>
      </c>
      <c r="F746" s="3">
        <f>IFERROR(__xludf.DUMMYFUNCTION("SPLIT(C746, ""-"")"),12.0)</f>
        <v>12</v>
      </c>
      <c r="G746" s="3">
        <f>IFERROR(__xludf.DUMMYFUNCTION("""COMPUTED_VALUE"""),56.0)</f>
        <v>56</v>
      </c>
      <c r="I746" s="3" t="str">
        <f t="shared" si="1"/>
        <v>y</v>
      </c>
      <c r="J746" s="3" t="str">
        <f t="shared" si="2"/>
        <v/>
      </c>
      <c r="K746" s="3" t="str">
        <f t="shared" si="3"/>
        <v>y</v>
      </c>
      <c r="L746" s="3" t="str">
        <f t="shared" si="4"/>
        <v>y</v>
      </c>
      <c r="N746" s="3" t="str">
        <f t="shared" si="5"/>
        <v/>
      </c>
      <c r="O746" s="3">
        <f t="shared" si="6"/>
        <v>1</v>
      </c>
      <c r="Q746" s="3">
        <f t="shared" si="7"/>
        <v>1</v>
      </c>
      <c r="U746" s="3" t="str">
        <f t="shared" si="8"/>
        <v>Överlapp</v>
      </c>
      <c r="V746" s="3" t="str">
        <f t="shared" si="9"/>
        <v>Överlapp</v>
      </c>
      <c r="W746" s="3" t="str">
        <f t="shared" si="10"/>
        <v>Överlapp</v>
      </c>
      <c r="X746" s="3" t="str">
        <f t="shared" si="11"/>
        <v/>
      </c>
    </row>
    <row r="747">
      <c r="A747" s="1" t="s">
        <v>749</v>
      </c>
      <c r="B747" s="3" t="str">
        <f>IFERROR(__xludf.DUMMYFUNCTION("SPLIT(A747, "","")"),"23-42")</f>
        <v>23-42</v>
      </c>
      <c r="C747" s="3" t="str">
        <f>IFERROR(__xludf.DUMMYFUNCTION("""COMPUTED_VALUE"""),"27-27")</f>
        <v>27-27</v>
      </c>
      <c r="D747" s="3">
        <f>IFERROR(__xludf.DUMMYFUNCTION("SPLIT(B747, ""-"")"),23.0)</f>
        <v>23</v>
      </c>
      <c r="E747" s="3">
        <f>IFERROR(__xludf.DUMMYFUNCTION("""COMPUTED_VALUE"""),42.0)</f>
        <v>42</v>
      </c>
      <c r="F747" s="3">
        <f>IFERROR(__xludf.DUMMYFUNCTION("SPLIT(C747, ""-"")"),27.0)</f>
        <v>27</v>
      </c>
      <c r="G747" s="3">
        <f>IFERROR(__xludf.DUMMYFUNCTION("""COMPUTED_VALUE"""),27.0)</f>
        <v>27</v>
      </c>
      <c r="I747" s="3" t="str">
        <f t="shared" si="1"/>
        <v>y</v>
      </c>
      <c r="J747" s="3" t="str">
        <f t="shared" si="2"/>
        <v>y</v>
      </c>
      <c r="K747" s="3" t="str">
        <f t="shared" si="3"/>
        <v/>
      </c>
      <c r="L747" s="3" t="str">
        <f t="shared" si="4"/>
        <v/>
      </c>
      <c r="N747" s="3">
        <f t="shared" si="5"/>
        <v>1</v>
      </c>
      <c r="O747" s="3" t="str">
        <f t="shared" si="6"/>
        <v/>
      </c>
      <c r="Q747" s="3">
        <f t="shared" si="7"/>
        <v>1</v>
      </c>
      <c r="U747" s="3">
        <f t="shared" si="8"/>
        <v>1</v>
      </c>
      <c r="V747" s="3" t="str">
        <f t="shared" si="9"/>
        <v>Överlapp</v>
      </c>
      <c r="W747" s="3" t="str">
        <f t="shared" si="10"/>
        <v>Överlapp</v>
      </c>
      <c r="X747" s="3" t="str">
        <f t="shared" si="11"/>
        <v/>
      </c>
    </row>
    <row r="748">
      <c r="A748" s="1" t="s">
        <v>750</v>
      </c>
      <c r="B748" s="3" t="str">
        <f>IFERROR(__xludf.DUMMYFUNCTION("SPLIT(A748, "","")"),"40-81")</f>
        <v>40-81</v>
      </c>
      <c r="C748" s="3" t="str">
        <f>IFERROR(__xludf.DUMMYFUNCTION("""COMPUTED_VALUE"""),"45-76")</f>
        <v>45-76</v>
      </c>
      <c r="D748" s="3">
        <f>IFERROR(__xludf.DUMMYFUNCTION("SPLIT(B748, ""-"")"),40.0)</f>
        <v>40</v>
      </c>
      <c r="E748" s="3">
        <f>IFERROR(__xludf.DUMMYFUNCTION("""COMPUTED_VALUE"""),81.0)</f>
        <v>81</v>
      </c>
      <c r="F748" s="3">
        <f>IFERROR(__xludf.DUMMYFUNCTION("SPLIT(C748, ""-"")"),45.0)</f>
        <v>45</v>
      </c>
      <c r="G748" s="3">
        <f>IFERROR(__xludf.DUMMYFUNCTION("""COMPUTED_VALUE"""),76.0)</f>
        <v>76</v>
      </c>
      <c r="I748" s="3" t="str">
        <f t="shared" si="1"/>
        <v>y</v>
      </c>
      <c r="J748" s="3" t="str">
        <f t="shared" si="2"/>
        <v>y</v>
      </c>
      <c r="K748" s="3" t="str">
        <f t="shared" si="3"/>
        <v/>
      </c>
      <c r="L748" s="3" t="str">
        <f t="shared" si="4"/>
        <v/>
      </c>
      <c r="N748" s="3">
        <f t="shared" si="5"/>
        <v>1</v>
      </c>
      <c r="O748" s="3" t="str">
        <f t="shared" si="6"/>
        <v/>
      </c>
      <c r="Q748" s="3">
        <f t="shared" si="7"/>
        <v>1</v>
      </c>
      <c r="U748" s="3">
        <f t="shared" si="8"/>
        <v>1</v>
      </c>
      <c r="V748" s="3" t="str">
        <f t="shared" si="9"/>
        <v>Överlapp</v>
      </c>
      <c r="W748" s="3" t="str">
        <f t="shared" si="10"/>
        <v>Överlapp</v>
      </c>
      <c r="X748" s="3" t="str">
        <f t="shared" si="11"/>
        <v/>
      </c>
    </row>
    <row r="749">
      <c r="A749" s="1" t="s">
        <v>751</v>
      </c>
      <c r="B749" s="3" t="str">
        <f>IFERROR(__xludf.DUMMYFUNCTION("SPLIT(A749, "","")"),"12-93")</f>
        <v>12-93</v>
      </c>
      <c r="C749" s="3" t="str">
        <f>IFERROR(__xludf.DUMMYFUNCTION("""COMPUTED_VALUE"""),"13-93")</f>
        <v>13-93</v>
      </c>
      <c r="D749" s="3">
        <f>IFERROR(__xludf.DUMMYFUNCTION("SPLIT(B749, ""-"")"),12.0)</f>
        <v>12</v>
      </c>
      <c r="E749" s="3">
        <f>IFERROR(__xludf.DUMMYFUNCTION("""COMPUTED_VALUE"""),93.0)</f>
        <v>93</v>
      </c>
      <c r="F749" s="3">
        <f>IFERROR(__xludf.DUMMYFUNCTION("SPLIT(C749, ""-"")"),13.0)</f>
        <v>13</v>
      </c>
      <c r="G749" s="3">
        <f>IFERROR(__xludf.DUMMYFUNCTION("""COMPUTED_VALUE"""),93.0)</f>
        <v>93</v>
      </c>
      <c r="I749" s="3" t="str">
        <f t="shared" si="1"/>
        <v>y</v>
      </c>
      <c r="J749" s="3" t="str">
        <f t="shared" si="2"/>
        <v>y</v>
      </c>
      <c r="K749" s="3" t="str">
        <f t="shared" si="3"/>
        <v/>
      </c>
      <c r="L749" s="3" t="str">
        <f t="shared" si="4"/>
        <v>y</v>
      </c>
      <c r="N749" s="3">
        <f t="shared" si="5"/>
        <v>1</v>
      </c>
      <c r="O749" s="3" t="str">
        <f t="shared" si="6"/>
        <v/>
      </c>
      <c r="Q749" s="3">
        <f t="shared" si="7"/>
        <v>1</v>
      </c>
      <c r="U749" s="3" t="str">
        <f t="shared" si="8"/>
        <v>Överlapp</v>
      </c>
      <c r="V749" s="3" t="str">
        <f t="shared" si="9"/>
        <v>Överlapp</v>
      </c>
      <c r="W749" s="3" t="str">
        <f t="shared" si="10"/>
        <v>Överlapp</v>
      </c>
      <c r="X749" s="3" t="str">
        <f t="shared" si="11"/>
        <v/>
      </c>
    </row>
    <row r="750">
      <c r="A750" s="1" t="s">
        <v>752</v>
      </c>
      <c r="B750" s="3" t="str">
        <f>IFERROR(__xludf.DUMMYFUNCTION("SPLIT(A750, "","")"),"12-68")</f>
        <v>12-68</v>
      </c>
      <c r="C750" s="3" t="str">
        <f>IFERROR(__xludf.DUMMYFUNCTION("""COMPUTED_VALUE"""),"32-67")</f>
        <v>32-67</v>
      </c>
      <c r="D750" s="3">
        <f>IFERROR(__xludf.DUMMYFUNCTION("SPLIT(B750, ""-"")"),12.0)</f>
        <v>12</v>
      </c>
      <c r="E750" s="3">
        <f>IFERROR(__xludf.DUMMYFUNCTION("""COMPUTED_VALUE"""),68.0)</f>
        <v>68</v>
      </c>
      <c r="F750" s="3">
        <f>IFERROR(__xludf.DUMMYFUNCTION("SPLIT(C750, ""-"")"),32.0)</f>
        <v>32</v>
      </c>
      <c r="G750" s="3">
        <f>IFERROR(__xludf.DUMMYFUNCTION("""COMPUTED_VALUE"""),67.0)</f>
        <v>67</v>
      </c>
      <c r="I750" s="3" t="str">
        <f t="shared" si="1"/>
        <v>y</v>
      </c>
      <c r="J750" s="3" t="str">
        <f t="shared" si="2"/>
        <v>y</v>
      </c>
      <c r="K750" s="3" t="str">
        <f t="shared" si="3"/>
        <v/>
      </c>
      <c r="L750" s="3" t="str">
        <f t="shared" si="4"/>
        <v/>
      </c>
      <c r="N750" s="3">
        <f t="shared" si="5"/>
        <v>1</v>
      </c>
      <c r="O750" s="3" t="str">
        <f t="shared" si="6"/>
        <v/>
      </c>
      <c r="Q750" s="3">
        <f t="shared" si="7"/>
        <v>1</v>
      </c>
      <c r="U750" s="3">
        <f t="shared" si="8"/>
        <v>1</v>
      </c>
      <c r="V750" s="3" t="str">
        <f t="shared" si="9"/>
        <v>Överlapp</v>
      </c>
      <c r="W750" s="3" t="str">
        <f t="shared" si="10"/>
        <v>Överlapp</v>
      </c>
      <c r="X750" s="3" t="str">
        <f t="shared" si="11"/>
        <v/>
      </c>
    </row>
    <row r="751">
      <c r="A751" s="1" t="s">
        <v>753</v>
      </c>
      <c r="B751" s="3" t="str">
        <f>IFERROR(__xludf.DUMMYFUNCTION("SPLIT(A751, "","")"),"3-96")</f>
        <v>3-96</v>
      </c>
      <c r="C751" s="3" t="str">
        <f>IFERROR(__xludf.DUMMYFUNCTION("""COMPUTED_VALUE"""),"4-98")</f>
        <v>4-98</v>
      </c>
      <c r="D751" s="3">
        <f>IFERROR(__xludf.DUMMYFUNCTION("SPLIT(B751, ""-"")"),3.0)</f>
        <v>3</v>
      </c>
      <c r="E751" s="3">
        <f>IFERROR(__xludf.DUMMYFUNCTION("""COMPUTED_VALUE"""),96.0)</f>
        <v>96</v>
      </c>
      <c r="F751" s="3">
        <f>IFERROR(__xludf.DUMMYFUNCTION("SPLIT(C751, ""-"")"),4.0)</f>
        <v>4</v>
      </c>
      <c r="G751" s="3">
        <f>IFERROR(__xludf.DUMMYFUNCTION("""COMPUTED_VALUE"""),98.0)</f>
        <v>98</v>
      </c>
      <c r="I751" s="3" t="str">
        <f t="shared" si="1"/>
        <v>y</v>
      </c>
      <c r="J751" s="3" t="str">
        <f t="shared" si="2"/>
        <v/>
      </c>
      <c r="K751" s="3" t="str">
        <f t="shared" si="3"/>
        <v/>
      </c>
      <c r="L751" s="3" t="str">
        <f t="shared" si="4"/>
        <v>y</v>
      </c>
      <c r="N751" s="3" t="str">
        <f t="shared" si="5"/>
        <v/>
      </c>
      <c r="O751" s="3" t="str">
        <f t="shared" si="6"/>
        <v/>
      </c>
      <c r="Q751" s="3" t="str">
        <f t="shared" si="7"/>
        <v/>
      </c>
      <c r="U751" s="3">
        <f t="shared" si="8"/>
        <v>1</v>
      </c>
      <c r="V751" s="3" t="str">
        <f t="shared" si="9"/>
        <v>Överlapp</v>
      </c>
      <c r="W751" s="3" t="str">
        <f t="shared" si="10"/>
        <v>Överlapp</v>
      </c>
      <c r="X751" s="3" t="str">
        <f t="shared" si="11"/>
        <v/>
      </c>
    </row>
    <row r="752">
      <c r="A752" s="1" t="s">
        <v>754</v>
      </c>
      <c r="B752" s="3" t="str">
        <f>IFERROR(__xludf.DUMMYFUNCTION("SPLIT(A752, "","")"),"38-77")</f>
        <v>38-77</v>
      </c>
      <c r="C752" s="3" t="str">
        <f>IFERROR(__xludf.DUMMYFUNCTION("""COMPUTED_VALUE"""),"37-77")</f>
        <v>37-77</v>
      </c>
      <c r="D752" s="3">
        <f>IFERROR(__xludf.DUMMYFUNCTION("SPLIT(B752, ""-"")"),38.0)</f>
        <v>38</v>
      </c>
      <c r="E752" s="3">
        <f>IFERROR(__xludf.DUMMYFUNCTION("""COMPUTED_VALUE"""),77.0)</f>
        <v>77</v>
      </c>
      <c r="F752" s="3">
        <f>IFERROR(__xludf.DUMMYFUNCTION("SPLIT(C752, ""-"")"),37.0)</f>
        <v>37</v>
      </c>
      <c r="G752" s="3">
        <f>IFERROR(__xludf.DUMMYFUNCTION("""COMPUTED_VALUE"""),77.0)</f>
        <v>77</v>
      </c>
      <c r="I752" s="3" t="str">
        <f t="shared" si="1"/>
        <v/>
      </c>
      <c r="J752" s="3" t="str">
        <f t="shared" si="2"/>
        <v>y</v>
      </c>
      <c r="K752" s="3" t="str">
        <f t="shared" si="3"/>
        <v>y</v>
      </c>
      <c r="L752" s="3" t="str">
        <f t="shared" si="4"/>
        <v>y</v>
      </c>
      <c r="N752" s="3" t="str">
        <f t="shared" si="5"/>
        <v/>
      </c>
      <c r="O752" s="3">
        <f t="shared" si="6"/>
        <v>1</v>
      </c>
      <c r="Q752" s="3">
        <f t="shared" si="7"/>
        <v>1</v>
      </c>
      <c r="U752" s="3" t="str">
        <f t="shared" si="8"/>
        <v>Överlapp</v>
      </c>
      <c r="V752" s="3" t="str">
        <f t="shared" si="9"/>
        <v>Överlapp</v>
      </c>
      <c r="W752" s="3" t="str">
        <f t="shared" si="10"/>
        <v>Överlapp</v>
      </c>
      <c r="X752" s="3" t="str">
        <f t="shared" si="11"/>
        <v/>
      </c>
    </row>
    <row r="753">
      <c r="A753" s="1" t="s">
        <v>755</v>
      </c>
      <c r="B753" s="4">
        <f>IFERROR(__xludf.DUMMYFUNCTION("SPLIT(A753, "","")"),44844.0)</f>
        <v>44844</v>
      </c>
      <c r="C753" s="3" t="str">
        <f>IFERROR(__xludf.DUMMYFUNCTION("""COMPUTED_VALUE"""),"10-63")</f>
        <v>10-63</v>
      </c>
      <c r="D753" s="3">
        <f>IFERROR(__xludf.DUMMYFUNCTION("SPLIT(B753, ""-"")"),10.0)</f>
        <v>10</v>
      </c>
      <c r="E753" s="3">
        <f>IFERROR(__xludf.DUMMYFUNCTION("""COMPUTED_VALUE"""),10.0)</f>
        <v>10</v>
      </c>
      <c r="F753" s="3">
        <f>IFERROR(__xludf.DUMMYFUNCTION("SPLIT(C753, ""-"")"),10.0)</f>
        <v>10</v>
      </c>
      <c r="G753" s="3">
        <f>IFERROR(__xludf.DUMMYFUNCTION("""COMPUTED_VALUE"""),63.0)</f>
        <v>63</v>
      </c>
      <c r="I753" s="3" t="str">
        <f t="shared" si="1"/>
        <v>y</v>
      </c>
      <c r="J753" s="3" t="str">
        <f t="shared" si="2"/>
        <v/>
      </c>
      <c r="K753" s="3" t="str">
        <f t="shared" si="3"/>
        <v>y</v>
      </c>
      <c r="L753" s="3" t="str">
        <f t="shared" si="4"/>
        <v>y</v>
      </c>
      <c r="N753" s="3" t="str">
        <f t="shared" si="5"/>
        <v/>
      </c>
      <c r="O753" s="3">
        <f t="shared" si="6"/>
        <v>1</v>
      </c>
      <c r="Q753" s="3">
        <f t="shared" si="7"/>
        <v>1</v>
      </c>
      <c r="U753" s="3" t="str">
        <f t="shared" si="8"/>
        <v>Överlapp</v>
      </c>
      <c r="V753" s="3" t="str">
        <f t="shared" si="9"/>
        <v>Överlapp</v>
      </c>
      <c r="W753" s="3" t="str">
        <f t="shared" si="10"/>
        <v>Överlapp</v>
      </c>
      <c r="X753" s="3" t="str">
        <f t="shared" si="11"/>
        <v/>
      </c>
    </row>
    <row r="754">
      <c r="A754" s="1" t="s">
        <v>756</v>
      </c>
      <c r="B754" s="3" t="str">
        <f>IFERROR(__xludf.DUMMYFUNCTION("SPLIT(A754, "","")"),"64-85")</f>
        <v>64-85</v>
      </c>
      <c r="C754" s="3" t="str">
        <f>IFERROR(__xludf.DUMMYFUNCTION("""COMPUTED_VALUE"""),"63-85")</f>
        <v>63-85</v>
      </c>
      <c r="D754" s="3">
        <f>IFERROR(__xludf.DUMMYFUNCTION("SPLIT(B754, ""-"")"),64.0)</f>
        <v>64</v>
      </c>
      <c r="E754" s="3">
        <f>IFERROR(__xludf.DUMMYFUNCTION("""COMPUTED_VALUE"""),85.0)</f>
        <v>85</v>
      </c>
      <c r="F754" s="3">
        <f>IFERROR(__xludf.DUMMYFUNCTION("SPLIT(C754, ""-"")"),63.0)</f>
        <v>63</v>
      </c>
      <c r="G754" s="3">
        <f>IFERROR(__xludf.DUMMYFUNCTION("""COMPUTED_VALUE"""),85.0)</f>
        <v>85</v>
      </c>
      <c r="I754" s="3" t="str">
        <f t="shared" si="1"/>
        <v/>
      </c>
      <c r="J754" s="3" t="str">
        <f t="shared" si="2"/>
        <v>y</v>
      </c>
      <c r="K754" s="3" t="str">
        <f t="shared" si="3"/>
        <v>y</v>
      </c>
      <c r="L754" s="3" t="str">
        <f t="shared" si="4"/>
        <v>y</v>
      </c>
      <c r="N754" s="3" t="str">
        <f t="shared" si="5"/>
        <v/>
      </c>
      <c r="O754" s="3">
        <f t="shared" si="6"/>
        <v>1</v>
      </c>
      <c r="Q754" s="3">
        <f t="shared" si="7"/>
        <v>1</v>
      </c>
      <c r="U754" s="3" t="str">
        <f t="shared" si="8"/>
        <v>Överlapp</v>
      </c>
      <c r="V754" s="3" t="str">
        <f t="shared" si="9"/>
        <v>Överlapp</v>
      </c>
      <c r="W754" s="3" t="str">
        <f t="shared" si="10"/>
        <v>Överlapp</v>
      </c>
      <c r="X754" s="3" t="str">
        <f t="shared" si="11"/>
        <v/>
      </c>
    </row>
    <row r="755">
      <c r="A755" s="1" t="s">
        <v>757</v>
      </c>
      <c r="B755" s="3" t="str">
        <f>IFERROR(__xludf.DUMMYFUNCTION("SPLIT(A755, "","")"),"26-99")</f>
        <v>26-99</v>
      </c>
      <c r="C755" s="3" t="str">
        <f>IFERROR(__xludf.DUMMYFUNCTION("""COMPUTED_VALUE"""),"27-98")</f>
        <v>27-98</v>
      </c>
      <c r="D755" s="3">
        <f>IFERROR(__xludf.DUMMYFUNCTION("SPLIT(B755, ""-"")"),26.0)</f>
        <v>26</v>
      </c>
      <c r="E755" s="3">
        <f>IFERROR(__xludf.DUMMYFUNCTION("""COMPUTED_VALUE"""),99.0)</f>
        <v>99</v>
      </c>
      <c r="F755" s="3">
        <f>IFERROR(__xludf.DUMMYFUNCTION("SPLIT(C755, ""-"")"),27.0)</f>
        <v>27</v>
      </c>
      <c r="G755" s="3">
        <f>IFERROR(__xludf.DUMMYFUNCTION("""COMPUTED_VALUE"""),98.0)</f>
        <v>98</v>
      </c>
      <c r="I755" s="3" t="str">
        <f t="shared" si="1"/>
        <v>y</v>
      </c>
      <c r="J755" s="3" t="str">
        <f t="shared" si="2"/>
        <v>y</v>
      </c>
      <c r="K755" s="3" t="str">
        <f t="shared" si="3"/>
        <v/>
      </c>
      <c r="L755" s="3" t="str">
        <f t="shared" si="4"/>
        <v/>
      </c>
      <c r="N755" s="3">
        <f t="shared" si="5"/>
        <v>1</v>
      </c>
      <c r="O755" s="3" t="str">
        <f t="shared" si="6"/>
        <v/>
      </c>
      <c r="Q755" s="3">
        <f t="shared" si="7"/>
        <v>1</v>
      </c>
      <c r="U755" s="3">
        <f t="shared" si="8"/>
        <v>1</v>
      </c>
      <c r="V755" s="3" t="str">
        <f t="shared" si="9"/>
        <v>Överlapp</v>
      </c>
      <c r="W755" s="3" t="str">
        <f t="shared" si="10"/>
        <v>Överlapp</v>
      </c>
      <c r="X755" s="3" t="str">
        <f t="shared" si="11"/>
        <v/>
      </c>
    </row>
    <row r="756">
      <c r="A756" s="1" t="s">
        <v>758</v>
      </c>
      <c r="B756" s="3" t="str">
        <f>IFERROR(__xludf.DUMMYFUNCTION("SPLIT(A756, "","")"),"6-75")</f>
        <v>6-75</v>
      </c>
      <c r="C756" s="3" t="str">
        <f>IFERROR(__xludf.DUMMYFUNCTION("""COMPUTED_VALUE"""),"7-49")</f>
        <v>7-49</v>
      </c>
      <c r="D756" s="3">
        <f>IFERROR(__xludf.DUMMYFUNCTION("SPLIT(B756, ""-"")"),6.0)</f>
        <v>6</v>
      </c>
      <c r="E756" s="3">
        <f>IFERROR(__xludf.DUMMYFUNCTION("""COMPUTED_VALUE"""),75.0)</f>
        <v>75</v>
      </c>
      <c r="F756" s="3">
        <f>IFERROR(__xludf.DUMMYFUNCTION("SPLIT(C756, ""-"")"),7.0)</f>
        <v>7</v>
      </c>
      <c r="G756" s="3">
        <f>IFERROR(__xludf.DUMMYFUNCTION("""COMPUTED_VALUE"""),49.0)</f>
        <v>49</v>
      </c>
      <c r="I756" s="3" t="str">
        <f t="shared" si="1"/>
        <v>y</v>
      </c>
      <c r="J756" s="3" t="str">
        <f t="shared" si="2"/>
        <v>y</v>
      </c>
      <c r="K756" s="3" t="str">
        <f t="shared" si="3"/>
        <v/>
      </c>
      <c r="L756" s="3" t="str">
        <f t="shared" si="4"/>
        <v/>
      </c>
      <c r="N756" s="3">
        <f t="shared" si="5"/>
        <v>1</v>
      </c>
      <c r="O756" s="3" t="str">
        <f t="shared" si="6"/>
        <v/>
      </c>
      <c r="Q756" s="3">
        <f t="shared" si="7"/>
        <v>1</v>
      </c>
      <c r="U756" s="3">
        <f t="shared" si="8"/>
        <v>1</v>
      </c>
      <c r="V756" s="3" t="str">
        <f t="shared" si="9"/>
        <v>Överlapp</v>
      </c>
      <c r="W756" s="3" t="str">
        <f t="shared" si="10"/>
        <v>Överlapp</v>
      </c>
      <c r="X756" s="3" t="str">
        <f t="shared" si="11"/>
        <v/>
      </c>
    </row>
    <row r="757">
      <c r="A757" s="1" t="s">
        <v>759</v>
      </c>
      <c r="B757" s="3" t="str">
        <f>IFERROR(__xludf.DUMMYFUNCTION("SPLIT(A757, "","")"),"3-65")</f>
        <v>3-65</v>
      </c>
      <c r="C757" s="4">
        <f>IFERROR(__xludf.DUMMYFUNCTION("""COMPUTED_VALUE"""),44623.0)</f>
        <v>44623</v>
      </c>
      <c r="D757" s="3">
        <f>IFERROR(__xludf.DUMMYFUNCTION("SPLIT(B757, ""-"")"),3.0)</f>
        <v>3</v>
      </c>
      <c r="E757" s="3">
        <f>IFERROR(__xludf.DUMMYFUNCTION("""COMPUTED_VALUE"""),65.0)</f>
        <v>65</v>
      </c>
      <c r="F757" s="3">
        <f>IFERROR(__xludf.DUMMYFUNCTION("SPLIT(C757, ""-"")"),3.0)</f>
        <v>3</v>
      </c>
      <c r="G757" s="3">
        <f>IFERROR(__xludf.DUMMYFUNCTION("""COMPUTED_VALUE"""),3.0)</f>
        <v>3</v>
      </c>
      <c r="I757" s="3" t="str">
        <f t="shared" si="1"/>
        <v>y</v>
      </c>
      <c r="J757" s="3" t="str">
        <f t="shared" si="2"/>
        <v>y</v>
      </c>
      <c r="K757" s="3" t="str">
        <f t="shared" si="3"/>
        <v>y</v>
      </c>
      <c r="L757" s="3" t="str">
        <f t="shared" si="4"/>
        <v/>
      </c>
      <c r="N757" s="3">
        <f t="shared" si="5"/>
        <v>1</v>
      </c>
      <c r="O757" s="3" t="str">
        <f t="shared" si="6"/>
        <v/>
      </c>
      <c r="Q757" s="3">
        <f t="shared" si="7"/>
        <v>1</v>
      </c>
      <c r="U757" s="3" t="str">
        <f t="shared" si="8"/>
        <v>Överlapp</v>
      </c>
      <c r="V757" s="3" t="str">
        <f t="shared" si="9"/>
        <v>Överlapp</v>
      </c>
      <c r="W757" s="3" t="str">
        <f t="shared" si="10"/>
        <v>Överlapp</v>
      </c>
      <c r="X757" s="3" t="str">
        <f t="shared" si="11"/>
        <v/>
      </c>
    </row>
    <row r="758">
      <c r="A758" s="1" t="s">
        <v>760</v>
      </c>
      <c r="B758" s="3" t="str">
        <f>IFERROR(__xludf.DUMMYFUNCTION("SPLIT(A758, "","")"),"26-66")</f>
        <v>26-66</v>
      </c>
      <c r="C758" s="3" t="str">
        <f>IFERROR(__xludf.DUMMYFUNCTION("""COMPUTED_VALUE"""),"66-66")</f>
        <v>66-66</v>
      </c>
      <c r="D758" s="3">
        <f>IFERROR(__xludf.DUMMYFUNCTION("SPLIT(B758, ""-"")"),26.0)</f>
        <v>26</v>
      </c>
      <c r="E758" s="3">
        <f>IFERROR(__xludf.DUMMYFUNCTION("""COMPUTED_VALUE"""),66.0)</f>
        <v>66</v>
      </c>
      <c r="F758" s="3">
        <f>IFERROR(__xludf.DUMMYFUNCTION("SPLIT(C758, ""-"")"),66.0)</f>
        <v>66</v>
      </c>
      <c r="G758" s="3">
        <f>IFERROR(__xludf.DUMMYFUNCTION("""COMPUTED_VALUE"""),66.0)</f>
        <v>66</v>
      </c>
      <c r="I758" s="3" t="str">
        <f t="shared" si="1"/>
        <v>y</v>
      </c>
      <c r="J758" s="3" t="str">
        <f t="shared" si="2"/>
        <v>y</v>
      </c>
      <c r="K758" s="3" t="str">
        <f t="shared" si="3"/>
        <v/>
      </c>
      <c r="L758" s="3" t="str">
        <f t="shared" si="4"/>
        <v>y</v>
      </c>
      <c r="N758" s="3">
        <f t="shared" si="5"/>
        <v>1</v>
      </c>
      <c r="O758" s="3" t="str">
        <f t="shared" si="6"/>
        <v/>
      </c>
      <c r="Q758" s="3">
        <f t="shared" si="7"/>
        <v>1</v>
      </c>
      <c r="U758" s="3" t="str">
        <f t="shared" si="8"/>
        <v>Överlapp</v>
      </c>
      <c r="V758" s="3" t="str">
        <f t="shared" si="9"/>
        <v>Överlapp</v>
      </c>
      <c r="W758" s="3" t="str">
        <f t="shared" si="10"/>
        <v>Överlapp</v>
      </c>
      <c r="X758" s="3" t="str">
        <f t="shared" si="11"/>
        <v/>
      </c>
    </row>
    <row r="759">
      <c r="A759" s="1" t="s">
        <v>761</v>
      </c>
      <c r="B759" s="3" t="str">
        <f>IFERROR(__xludf.DUMMYFUNCTION("SPLIT(A759, "","")"),"23-61")</f>
        <v>23-61</v>
      </c>
      <c r="C759" s="3" t="str">
        <f>IFERROR(__xludf.DUMMYFUNCTION("""COMPUTED_VALUE"""),"4-48")</f>
        <v>4-48</v>
      </c>
      <c r="D759" s="3">
        <f>IFERROR(__xludf.DUMMYFUNCTION("SPLIT(B759, ""-"")"),23.0)</f>
        <v>23</v>
      </c>
      <c r="E759" s="3">
        <f>IFERROR(__xludf.DUMMYFUNCTION("""COMPUTED_VALUE"""),61.0)</f>
        <v>61</v>
      </c>
      <c r="F759" s="3">
        <f>IFERROR(__xludf.DUMMYFUNCTION("SPLIT(C759, ""-"")"),4.0)</f>
        <v>4</v>
      </c>
      <c r="G759" s="3">
        <f>IFERROR(__xludf.DUMMYFUNCTION("""COMPUTED_VALUE"""),48.0)</f>
        <v>48</v>
      </c>
      <c r="I759" s="3" t="str">
        <f t="shared" si="1"/>
        <v/>
      </c>
      <c r="J759" s="3" t="str">
        <f t="shared" si="2"/>
        <v>y</v>
      </c>
      <c r="K759" s="3" t="str">
        <f t="shared" si="3"/>
        <v>y</v>
      </c>
      <c r="L759" s="3" t="str">
        <f t="shared" si="4"/>
        <v/>
      </c>
      <c r="N759" s="3" t="str">
        <f t="shared" si="5"/>
        <v/>
      </c>
      <c r="O759" s="3" t="str">
        <f t="shared" si="6"/>
        <v/>
      </c>
      <c r="Q759" s="3" t="str">
        <f t="shared" si="7"/>
        <v/>
      </c>
      <c r="U759" s="3">
        <f t="shared" si="8"/>
        <v>1</v>
      </c>
      <c r="V759" s="3" t="str">
        <f t="shared" si="9"/>
        <v>Överlapp</v>
      </c>
      <c r="W759" s="3" t="str">
        <f t="shared" si="10"/>
        <v>Överlapp</v>
      </c>
      <c r="X759" s="3" t="str">
        <f t="shared" si="11"/>
        <v/>
      </c>
    </row>
    <row r="760">
      <c r="A760" s="1" t="s">
        <v>762</v>
      </c>
      <c r="B760" s="3" t="str">
        <f>IFERROR(__xludf.DUMMYFUNCTION("SPLIT(A760, "","")"),"34-36")</f>
        <v>34-36</v>
      </c>
      <c r="C760" s="3" t="str">
        <f>IFERROR(__xludf.DUMMYFUNCTION("""COMPUTED_VALUE"""),"33-35")</f>
        <v>33-35</v>
      </c>
      <c r="D760" s="3">
        <f>IFERROR(__xludf.DUMMYFUNCTION("SPLIT(B760, ""-"")"),34.0)</f>
        <v>34</v>
      </c>
      <c r="E760" s="3">
        <f>IFERROR(__xludf.DUMMYFUNCTION("""COMPUTED_VALUE"""),36.0)</f>
        <v>36</v>
      </c>
      <c r="F760" s="3">
        <f>IFERROR(__xludf.DUMMYFUNCTION("SPLIT(C760, ""-"")"),33.0)</f>
        <v>33</v>
      </c>
      <c r="G760" s="3">
        <f>IFERROR(__xludf.DUMMYFUNCTION("""COMPUTED_VALUE"""),35.0)</f>
        <v>35</v>
      </c>
      <c r="I760" s="3" t="str">
        <f t="shared" si="1"/>
        <v/>
      </c>
      <c r="J760" s="3" t="str">
        <f t="shared" si="2"/>
        <v>y</v>
      </c>
      <c r="K760" s="3" t="str">
        <f t="shared" si="3"/>
        <v>y</v>
      </c>
      <c r="L760" s="3" t="str">
        <f t="shared" si="4"/>
        <v/>
      </c>
      <c r="N760" s="3" t="str">
        <f t="shared" si="5"/>
        <v/>
      </c>
      <c r="O760" s="3" t="str">
        <f t="shared" si="6"/>
        <v/>
      </c>
      <c r="Q760" s="3" t="str">
        <f t="shared" si="7"/>
        <v/>
      </c>
      <c r="U760" s="3">
        <f t="shared" si="8"/>
        <v>1</v>
      </c>
      <c r="V760" s="3" t="str">
        <f t="shared" si="9"/>
        <v>Överlapp</v>
      </c>
      <c r="W760" s="3" t="str">
        <f t="shared" si="10"/>
        <v>Överlapp</v>
      </c>
      <c r="X760" s="3" t="str">
        <f t="shared" si="11"/>
        <v/>
      </c>
    </row>
    <row r="761">
      <c r="A761" s="1" t="s">
        <v>763</v>
      </c>
      <c r="B761" s="3" t="str">
        <f>IFERROR(__xludf.DUMMYFUNCTION("SPLIT(A761, "","")"),"70-93")</f>
        <v>70-93</v>
      </c>
      <c r="C761" s="3" t="str">
        <f>IFERROR(__xludf.DUMMYFUNCTION("""COMPUTED_VALUE"""),"93-93")</f>
        <v>93-93</v>
      </c>
      <c r="D761" s="3">
        <f>IFERROR(__xludf.DUMMYFUNCTION("SPLIT(B761, ""-"")"),70.0)</f>
        <v>70</v>
      </c>
      <c r="E761" s="3">
        <f>IFERROR(__xludf.DUMMYFUNCTION("""COMPUTED_VALUE"""),93.0)</f>
        <v>93</v>
      </c>
      <c r="F761" s="3">
        <f>IFERROR(__xludf.DUMMYFUNCTION("SPLIT(C761, ""-"")"),93.0)</f>
        <v>93</v>
      </c>
      <c r="G761" s="3">
        <f>IFERROR(__xludf.DUMMYFUNCTION("""COMPUTED_VALUE"""),93.0)</f>
        <v>93</v>
      </c>
      <c r="I761" s="3" t="str">
        <f t="shared" si="1"/>
        <v>y</v>
      </c>
      <c r="J761" s="3" t="str">
        <f t="shared" si="2"/>
        <v>y</v>
      </c>
      <c r="K761" s="3" t="str">
        <f t="shared" si="3"/>
        <v/>
      </c>
      <c r="L761" s="3" t="str">
        <f t="shared" si="4"/>
        <v>y</v>
      </c>
      <c r="N761" s="3">
        <f t="shared" si="5"/>
        <v>1</v>
      </c>
      <c r="O761" s="3" t="str">
        <f t="shared" si="6"/>
        <v/>
      </c>
      <c r="Q761" s="3">
        <f t="shared" si="7"/>
        <v>1</v>
      </c>
      <c r="U761" s="3" t="str">
        <f t="shared" si="8"/>
        <v>Överlapp</v>
      </c>
      <c r="V761" s="3" t="str">
        <f t="shared" si="9"/>
        <v>Överlapp</v>
      </c>
      <c r="W761" s="3" t="str">
        <f t="shared" si="10"/>
        <v>Överlapp</v>
      </c>
      <c r="X761" s="3" t="str">
        <f t="shared" si="11"/>
        <v/>
      </c>
    </row>
    <row r="762">
      <c r="A762" s="1" t="s">
        <v>764</v>
      </c>
      <c r="B762" s="3" t="str">
        <f>IFERROR(__xludf.DUMMYFUNCTION("SPLIT(A762, "","")"),"31-98")</f>
        <v>31-98</v>
      </c>
      <c r="C762" s="3" t="str">
        <f>IFERROR(__xludf.DUMMYFUNCTION("""COMPUTED_VALUE"""),"32-99")</f>
        <v>32-99</v>
      </c>
      <c r="D762" s="3">
        <f>IFERROR(__xludf.DUMMYFUNCTION("SPLIT(B762, ""-"")"),31.0)</f>
        <v>31</v>
      </c>
      <c r="E762" s="3">
        <f>IFERROR(__xludf.DUMMYFUNCTION("""COMPUTED_VALUE"""),98.0)</f>
        <v>98</v>
      </c>
      <c r="F762" s="3">
        <f>IFERROR(__xludf.DUMMYFUNCTION("SPLIT(C762, ""-"")"),32.0)</f>
        <v>32</v>
      </c>
      <c r="G762" s="3">
        <f>IFERROR(__xludf.DUMMYFUNCTION("""COMPUTED_VALUE"""),99.0)</f>
        <v>99</v>
      </c>
      <c r="I762" s="3" t="str">
        <f t="shared" si="1"/>
        <v>y</v>
      </c>
      <c r="J762" s="3" t="str">
        <f t="shared" si="2"/>
        <v/>
      </c>
      <c r="K762" s="3" t="str">
        <f t="shared" si="3"/>
        <v/>
      </c>
      <c r="L762" s="3" t="str">
        <f t="shared" si="4"/>
        <v>y</v>
      </c>
      <c r="N762" s="3" t="str">
        <f t="shared" si="5"/>
        <v/>
      </c>
      <c r="O762" s="3" t="str">
        <f t="shared" si="6"/>
        <v/>
      </c>
      <c r="Q762" s="3" t="str">
        <f t="shared" si="7"/>
        <v/>
      </c>
      <c r="U762" s="3">
        <f t="shared" si="8"/>
        <v>1</v>
      </c>
      <c r="V762" s="3" t="str">
        <f t="shared" si="9"/>
        <v>Överlapp</v>
      </c>
      <c r="W762" s="3" t="str">
        <f t="shared" si="10"/>
        <v>Överlapp</v>
      </c>
      <c r="X762" s="3" t="str">
        <f t="shared" si="11"/>
        <v/>
      </c>
    </row>
    <row r="763">
      <c r="A763" s="1" t="s">
        <v>765</v>
      </c>
      <c r="B763" s="3" t="str">
        <f>IFERROR(__xludf.DUMMYFUNCTION("SPLIT(A763, "","")"),"33-34")</f>
        <v>33-34</v>
      </c>
      <c r="C763" s="3" t="str">
        <f>IFERROR(__xludf.DUMMYFUNCTION("""COMPUTED_VALUE"""),"33-58")</f>
        <v>33-58</v>
      </c>
      <c r="D763" s="3">
        <f>IFERROR(__xludf.DUMMYFUNCTION("SPLIT(B763, ""-"")"),33.0)</f>
        <v>33</v>
      </c>
      <c r="E763" s="3">
        <f>IFERROR(__xludf.DUMMYFUNCTION("""COMPUTED_VALUE"""),34.0)</f>
        <v>34</v>
      </c>
      <c r="F763" s="3">
        <f>IFERROR(__xludf.DUMMYFUNCTION("SPLIT(C763, ""-"")"),33.0)</f>
        <v>33</v>
      </c>
      <c r="G763" s="3">
        <f>IFERROR(__xludf.DUMMYFUNCTION("""COMPUTED_VALUE"""),58.0)</f>
        <v>58</v>
      </c>
      <c r="I763" s="3" t="str">
        <f t="shared" si="1"/>
        <v>y</v>
      </c>
      <c r="J763" s="3" t="str">
        <f t="shared" si="2"/>
        <v/>
      </c>
      <c r="K763" s="3" t="str">
        <f t="shared" si="3"/>
        <v>y</v>
      </c>
      <c r="L763" s="3" t="str">
        <f t="shared" si="4"/>
        <v>y</v>
      </c>
      <c r="N763" s="3" t="str">
        <f t="shared" si="5"/>
        <v/>
      </c>
      <c r="O763" s="3">
        <f t="shared" si="6"/>
        <v>1</v>
      </c>
      <c r="Q763" s="3">
        <f t="shared" si="7"/>
        <v>1</v>
      </c>
      <c r="U763" s="3" t="str">
        <f t="shared" si="8"/>
        <v>Överlapp</v>
      </c>
      <c r="V763" s="3" t="str">
        <f t="shared" si="9"/>
        <v>Överlapp</v>
      </c>
      <c r="W763" s="3" t="str">
        <f t="shared" si="10"/>
        <v>Överlapp</v>
      </c>
      <c r="X763" s="3" t="str">
        <f t="shared" si="11"/>
        <v/>
      </c>
    </row>
    <row r="764">
      <c r="A764" s="1" t="s">
        <v>766</v>
      </c>
      <c r="B764" s="3" t="str">
        <f>IFERROR(__xludf.DUMMYFUNCTION("SPLIT(A764, "","")"),"72-84")</f>
        <v>72-84</v>
      </c>
      <c r="C764" s="3" t="str">
        <f>IFERROR(__xludf.DUMMYFUNCTION("""COMPUTED_VALUE"""),"72-85")</f>
        <v>72-85</v>
      </c>
      <c r="D764" s="3">
        <f>IFERROR(__xludf.DUMMYFUNCTION("SPLIT(B764, ""-"")"),72.0)</f>
        <v>72</v>
      </c>
      <c r="E764" s="3">
        <f>IFERROR(__xludf.DUMMYFUNCTION("""COMPUTED_VALUE"""),84.0)</f>
        <v>84</v>
      </c>
      <c r="F764" s="3">
        <f>IFERROR(__xludf.DUMMYFUNCTION("SPLIT(C764, ""-"")"),72.0)</f>
        <v>72</v>
      </c>
      <c r="G764" s="3">
        <f>IFERROR(__xludf.DUMMYFUNCTION("""COMPUTED_VALUE"""),85.0)</f>
        <v>85</v>
      </c>
      <c r="I764" s="3" t="str">
        <f t="shared" si="1"/>
        <v>y</v>
      </c>
      <c r="J764" s="3" t="str">
        <f t="shared" si="2"/>
        <v/>
      </c>
      <c r="K764" s="3" t="str">
        <f t="shared" si="3"/>
        <v>y</v>
      </c>
      <c r="L764" s="3" t="str">
        <f t="shared" si="4"/>
        <v>y</v>
      </c>
      <c r="N764" s="3" t="str">
        <f t="shared" si="5"/>
        <v/>
      </c>
      <c r="O764" s="3">
        <f t="shared" si="6"/>
        <v>1</v>
      </c>
      <c r="Q764" s="3">
        <f t="shared" si="7"/>
        <v>1</v>
      </c>
      <c r="U764" s="3" t="str">
        <f t="shared" si="8"/>
        <v>Överlapp</v>
      </c>
      <c r="V764" s="3" t="str">
        <f t="shared" si="9"/>
        <v>Överlapp</v>
      </c>
      <c r="W764" s="3" t="str">
        <f t="shared" si="10"/>
        <v>Överlapp</v>
      </c>
      <c r="X764" s="3" t="str">
        <f t="shared" si="11"/>
        <v/>
      </c>
    </row>
    <row r="765">
      <c r="A765" s="1" t="s">
        <v>767</v>
      </c>
      <c r="B765" s="3" t="str">
        <f>IFERROR(__xludf.DUMMYFUNCTION("SPLIT(A765, "","")"),"9-64")</f>
        <v>9-64</v>
      </c>
      <c r="C765" s="3" t="str">
        <f>IFERROR(__xludf.DUMMYFUNCTION("""COMPUTED_VALUE"""),"58-86")</f>
        <v>58-86</v>
      </c>
      <c r="D765" s="3">
        <f>IFERROR(__xludf.DUMMYFUNCTION("SPLIT(B765, ""-"")"),9.0)</f>
        <v>9</v>
      </c>
      <c r="E765" s="3">
        <f>IFERROR(__xludf.DUMMYFUNCTION("""COMPUTED_VALUE"""),64.0)</f>
        <v>64</v>
      </c>
      <c r="F765" s="3">
        <f>IFERROR(__xludf.DUMMYFUNCTION("SPLIT(C765, ""-"")"),58.0)</f>
        <v>58</v>
      </c>
      <c r="G765" s="3">
        <f>IFERROR(__xludf.DUMMYFUNCTION("""COMPUTED_VALUE"""),86.0)</f>
        <v>86</v>
      </c>
      <c r="I765" s="3" t="str">
        <f t="shared" si="1"/>
        <v>y</v>
      </c>
      <c r="J765" s="3" t="str">
        <f t="shared" si="2"/>
        <v/>
      </c>
      <c r="K765" s="3" t="str">
        <f t="shared" si="3"/>
        <v/>
      </c>
      <c r="L765" s="3" t="str">
        <f t="shared" si="4"/>
        <v>y</v>
      </c>
      <c r="N765" s="3" t="str">
        <f t="shared" si="5"/>
        <v/>
      </c>
      <c r="O765" s="3" t="str">
        <f t="shared" si="6"/>
        <v/>
      </c>
      <c r="Q765" s="3" t="str">
        <f t="shared" si="7"/>
        <v/>
      </c>
      <c r="U765" s="3">
        <f t="shared" si="8"/>
        <v>1</v>
      </c>
      <c r="V765" s="3" t="str">
        <f t="shared" si="9"/>
        <v>Överlapp</v>
      </c>
      <c r="W765" s="3" t="str">
        <f t="shared" si="10"/>
        <v>Överlapp</v>
      </c>
      <c r="X765" s="3" t="str">
        <f t="shared" si="11"/>
        <v/>
      </c>
    </row>
    <row r="766">
      <c r="A766" s="1" t="s">
        <v>768</v>
      </c>
      <c r="B766" s="3" t="str">
        <f>IFERROR(__xludf.DUMMYFUNCTION("SPLIT(A766, "","")"),"55-85")</f>
        <v>55-85</v>
      </c>
      <c r="C766" s="3" t="str">
        <f>IFERROR(__xludf.DUMMYFUNCTION("""COMPUTED_VALUE"""),"85-94")</f>
        <v>85-94</v>
      </c>
      <c r="D766" s="3">
        <f>IFERROR(__xludf.DUMMYFUNCTION("SPLIT(B766, ""-"")"),55.0)</f>
        <v>55</v>
      </c>
      <c r="E766" s="3">
        <f>IFERROR(__xludf.DUMMYFUNCTION("""COMPUTED_VALUE"""),85.0)</f>
        <v>85</v>
      </c>
      <c r="F766" s="3">
        <f>IFERROR(__xludf.DUMMYFUNCTION("SPLIT(C766, ""-"")"),85.0)</f>
        <v>85</v>
      </c>
      <c r="G766" s="3">
        <f>IFERROR(__xludf.DUMMYFUNCTION("""COMPUTED_VALUE"""),94.0)</f>
        <v>94</v>
      </c>
      <c r="I766" s="3" t="str">
        <f t="shared" si="1"/>
        <v>y</v>
      </c>
      <c r="J766" s="3" t="str">
        <f t="shared" si="2"/>
        <v/>
      </c>
      <c r="K766" s="3" t="str">
        <f t="shared" si="3"/>
        <v/>
      </c>
      <c r="L766" s="3" t="str">
        <f t="shared" si="4"/>
        <v>y</v>
      </c>
      <c r="N766" s="3" t="str">
        <f t="shared" si="5"/>
        <v/>
      </c>
      <c r="O766" s="3" t="str">
        <f t="shared" si="6"/>
        <v/>
      </c>
      <c r="Q766" s="3" t="str">
        <f t="shared" si="7"/>
        <v/>
      </c>
      <c r="U766" s="3" t="str">
        <f t="shared" si="8"/>
        <v>Överlapp</v>
      </c>
      <c r="V766" s="3" t="str">
        <f t="shared" si="9"/>
        <v>Överlapp</v>
      </c>
      <c r="W766" s="3" t="str">
        <f t="shared" si="10"/>
        <v>Överlapp</v>
      </c>
      <c r="X766" s="3" t="str">
        <f t="shared" si="11"/>
        <v/>
      </c>
    </row>
    <row r="767">
      <c r="A767" s="1" t="s">
        <v>769</v>
      </c>
      <c r="B767" s="3" t="str">
        <f>IFERROR(__xludf.DUMMYFUNCTION("SPLIT(A767, "","")"),"90-91")</f>
        <v>90-91</v>
      </c>
      <c r="C767" s="3" t="str">
        <f>IFERROR(__xludf.DUMMYFUNCTION("""COMPUTED_VALUE"""),"68-90")</f>
        <v>68-90</v>
      </c>
      <c r="D767" s="3">
        <f>IFERROR(__xludf.DUMMYFUNCTION("SPLIT(B767, ""-"")"),90.0)</f>
        <v>90</v>
      </c>
      <c r="E767" s="3">
        <f>IFERROR(__xludf.DUMMYFUNCTION("""COMPUTED_VALUE"""),91.0)</f>
        <v>91</v>
      </c>
      <c r="F767" s="3">
        <f>IFERROR(__xludf.DUMMYFUNCTION("SPLIT(C767, ""-"")"),68.0)</f>
        <v>68</v>
      </c>
      <c r="G767" s="3">
        <f>IFERROR(__xludf.DUMMYFUNCTION("""COMPUTED_VALUE"""),90.0)</f>
        <v>90</v>
      </c>
      <c r="I767" s="3" t="str">
        <f t="shared" si="1"/>
        <v/>
      </c>
      <c r="J767" s="3" t="str">
        <f t="shared" si="2"/>
        <v>y</v>
      </c>
      <c r="K767" s="3" t="str">
        <f t="shared" si="3"/>
        <v>y</v>
      </c>
      <c r="L767" s="3" t="str">
        <f t="shared" si="4"/>
        <v/>
      </c>
      <c r="N767" s="3" t="str">
        <f t="shared" si="5"/>
        <v/>
      </c>
      <c r="O767" s="3" t="str">
        <f t="shared" si="6"/>
        <v/>
      </c>
      <c r="Q767" s="3" t="str">
        <f t="shared" si="7"/>
        <v/>
      </c>
      <c r="U767" s="3" t="str">
        <f t="shared" si="8"/>
        <v>Överlapp</v>
      </c>
      <c r="V767" s="3" t="str">
        <f t="shared" si="9"/>
        <v>Överlapp</v>
      </c>
      <c r="W767" s="3" t="str">
        <f t="shared" si="10"/>
        <v>Överlapp</v>
      </c>
      <c r="X767" s="3" t="str">
        <f t="shared" si="11"/>
        <v/>
      </c>
    </row>
    <row r="768">
      <c r="A768" s="1" t="s">
        <v>770</v>
      </c>
      <c r="B768" s="3" t="str">
        <f>IFERROR(__xludf.DUMMYFUNCTION("SPLIT(A768, "","")"),"13-15")</f>
        <v>13-15</v>
      </c>
      <c r="C768" s="3" t="str">
        <f>IFERROR(__xludf.DUMMYFUNCTION("""COMPUTED_VALUE"""),"15-85")</f>
        <v>15-85</v>
      </c>
      <c r="D768" s="3">
        <f>IFERROR(__xludf.DUMMYFUNCTION("SPLIT(B768, ""-"")"),13.0)</f>
        <v>13</v>
      </c>
      <c r="E768" s="3">
        <f>IFERROR(__xludf.DUMMYFUNCTION("""COMPUTED_VALUE"""),15.0)</f>
        <v>15</v>
      </c>
      <c r="F768" s="3">
        <f>IFERROR(__xludf.DUMMYFUNCTION("SPLIT(C768, ""-"")"),15.0)</f>
        <v>15</v>
      </c>
      <c r="G768" s="3">
        <f>IFERROR(__xludf.DUMMYFUNCTION("""COMPUTED_VALUE"""),85.0)</f>
        <v>85</v>
      </c>
      <c r="I768" s="3" t="str">
        <f t="shared" si="1"/>
        <v>y</v>
      </c>
      <c r="J768" s="3" t="str">
        <f t="shared" si="2"/>
        <v/>
      </c>
      <c r="K768" s="3" t="str">
        <f t="shared" si="3"/>
        <v/>
      </c>
      <c r="L768" s="3" t="str">
        <f t="shared" si="4"/>
        <v>y</v>
      </c>
      <c r="N768" s="3" t="str">
        <f t="shared" si="5"/>
        <v/>
      </c>
      <c r="O768" s="3" t="str">
        <f t="shared" si="6"/>
        <v/>
      </c>
      <c r="Q768" s="3" t="str">
        <f t="shared" si="7"/>
        <v/>
      </c>
      <c r="U768" s="3" t="str">
        <f t="shared" si="8"/>
        <v>Överlapp</v>
      </c>
      <c r="V768" s="3" t="str">
        <f t="shared" si="9"/>
        <v>Överlapp</v>
      </c>
      <c r="W768" s="3" t="str">
        <f t="shared" si="10"/>
        <v>Överlapp</v>
      </c>
      <c r="X768" s="3" t="str">
        <f t="shared" si="11"/>
        <v/>
      </c>
    </row>
    <row r="769">
      <c r="A769" s="1" t="s">
        <v>771</v>
      </c>
      <c r="B769" s="3" t="str">
        <f>IFERROR(__xludf.DUMMYFUNCTION("SPLIT(A769, "","")"),"66-67")</f>
        <v>66-67</v>
      </c>
      <c r="C769" s="3" t="str">
        <f>IFERROR(__xludf.DUMMYFUNCTION("""COMPUTED_VALUE"""),"66-84")</f>
        <v>66-84</v>
      </c>
      <c r="D769" s="3">
        <f>IFERROR(__xludf.DUMMYFUNCTION("SPLIT(B769, ""-"")"),66.0)</f>
        <v>66</v>
      </c>
      <c r="E769" s="3">
        <f>IFERROR(__xludf.DUMMYFUNCTION("""COMPUTED_VALUE"""),67.0)</f>
        <v>67</v>
      </c>
      <c r="F769" s="3">
        <f>IFERROR(__xludf.DUMMYFUNCTION("SPLIT(C769, ""-"")"),66.0)</f>
        <v>66</v>
      </c>
      <c r="G769" s="3">
        <f>IFERROR(__xludf.DUMMYFUNCTION("""COMPUTED_VALUE"""),84.0)</f>
        <v>84</v>
      </c>
      <c r="I769" s="3" t="str">
        <f t="shared" si="1"/>
        <v>y</v>
      </c>
      <c r="J769" s="3" t="str">
        <f t="shared" si="2"/>
        <v/>
      </c>
      <c r="K769" s="3" t="str">
        <f t="shared" si="3"/>
        <v>y</v>
      </c>
      <c r="L769" s="3" t="str">
        <f t="shared" si="4"/>
        <v>y</v>
      </c>
      <c r="N769" s="3" t="str">
        <f t="shared" si="5"/>
        <v/>
      </c>
      <c r="O769" s="3">
        <f t="shared" si="6"/>
        <v>1</v>
      </c>
      <c r="Q769" s="3">
        <f t="shared" si="7"/>
        <v>1</v>
      </c>
      <c r="U769" s="3" t="str">
        <f t="shared" si="8"/>
        <v>Överlapp</v>
      </c>
      <c r="V769" s="3" t="str">
        <f t="shared" si="9"/>
        <v>Överlapp</v>
      </c>
      <c r="W769" s="3" t="str">
        <f t="shared" si="10"/>
        <v>Överlapp</v>
      </c>
      <c r="X769" s="3" t="str">
        <f t="shared" si="11"/>
        <v/>
      </c>
    </row>
    <row r="770">
      <c r="A770" s="1" t="s">
        <v>772</v>
      </c>
      <c r="B770" s="3" t="str">
        <f>IFERROR(__xludf.DUMMYFUNCTION("SPLIT(A770, "","")"),"1-87")</f>
        <v>1-87</v>
      </c>
      <c r="C770" s="3" t="str">
        <f>IFERROR(__xludf.DUMMYFUNCTION("""COMPUTED_VALUE"""),"3-99")</f>
        <v>3-99</v>
      </c>
      <c r="D770" s="3">
        <f>IFERROR(__xludf.DUMMYFUNCTION("SPLIT(B770, ""-"")"),1.0)</f>
        <v>1</v>
      </c>
      <c r="E770" s="3">
        <f>IFERROR(__xludf.DUMMYFUNCTION("""COMPUTED_VALUE"""),87.0)</f>
        <v>87</v>
      </c>
      <c r="F770" s="3">
        <f>IFERROR(__xludf.DUMMYFUNCTION("SPLIT(C770, ""-"")"),3.0)</f>
        <v>3</v>
      </c>
      <c r="G770" s="3">
        <f>IFERROR(__xludf.DUMMYFUNCTION("""COMPUTED_VALUE"""),99.0)</f>
        <v>99</v>
      </c>
      <c r="I770" s="3" t="str">
        <f t="shared" si="1"/>
        <v>y</v>
      </c>
      <c r="J770" s="3" t="str">
        <f t="shared" si="2"/>
        <v/>
      </c>
      <c r="K770" s="3" t="str">
        <f t="shared" si="3"/>
        <v/>
      </c>
      <c r="L770" s="3" t="str">
        <f t="shared" si="4"/>
        <v>y</v>
      </c>
      <c r="N770" s="3" t="str">
        <f t="shared" si="5"/>
        <v/>
      </c>
      <c r="O770" s="3" t="str">
        <f t="shared" si="6"/>
        <v/>
      </c>
      <c r="Q770" s="3" t="str">
        <f t="shared" si="7"/>
        <v/>
      </c>
      <c r="U770" s="3">
        <f t="shared" si="8"/>
        <v>1</v>
      </c>
      <c r="V770" s="3" t="str">
        <f t="shared" si="9"/>
        <v>Överlapp</v>
      </c>
      <c r="W770" s="3" t="str">
        <f t="shared" si="10"/>
        <v>Överlapp</v>
      </c>
      <c r="X770" s="3" t="str">
        <f t="shared" si="11"/>
        <v/>
      </c>
    </row>
    <row r="771">
      <c r="A771" s="1" t="s">
        <v>773</v>
      </c>
      <c r="B771" s="3" t="str">
        <f>IFERROR(__xludf.DUMMYFUNCTION("SPLIT(A771, "","")"),"2-82")</f>
        <v>2-82</v>
      </c>
      <c r="C771" s="3" t="str">
        <f>IFERROR(__xludf.DUMMYFUNCTION("""COMPUTED_VALUE"""),"15-81")</f>
        <v>15-81</v>
      </c>
      <c r="D771" s="3">
        <f>IFERROR(__xludf.DUMMYFUNCTION("SPLIT(B771, ""-"")"),2.0)</f>
        <v>2</v>
      </c>
      <c r="E771" s="3">
        <f>IFERROR(__xludf.DUMMYFUNCTION("""COMPUTED_VALUE"""),82.0)</f>
        <v>82</v>
      </c>
      <c r="F771" s="3">
        <f>IFERROR(__xludf.DUMMYFUNCTION("SPLIT(C771, ""-"")"),15.0)</f>
        <v>15</v>
      </c>
      <c r="G771" s="3">
        <f>IFERROR(__xludf.DUMMYFUNCTION("""COMPUTED_VALUE"""),81.0)</f>
        <v>81</v>
      </c>
      <c r="I771" s="3" t="str">
        <f t="shared" si="1"/>
        <v>y</v>
      </c>
      <c r="J771" s="3" t="str">
        <f t="shared" si="2"/>
        <v>y</v>
      </c>
      <c r="K771" s="3" t="str">
        <f t="shared" si="3"/>
        <v/>
      </c>
      <c r="L771" s="3" t="str">
        <f t="shared" si="4"/>
        <v/>
      </c>
      <c r="N771" s="3">
        <f t="shared" si="5"/>
        <v>1</v>
      </c>
      <c r="O771" s="3" t="str">
        <f t="shared" si="6"/>
        <v/>
      </c>
      <c r="Q771" s="3">
        <f t="shared" si="7"/>
        <v>1</v>
      </c>
      <c r="U771" s="3">
        <f t="shared" si="8"/>
        <v>1</v>
      </c>
      <c r="V771" s="3" t="str">
        <f t="shared" si="9"/>
        <v>Överlapp</v>
      </c>
      <c r="W771" s="3" t="str">
        <f t="shared" si="10"/>
        <v>Överlapp</v>
      </c>
      <c r="X771" s="3" t="str">
        <f t="shared" si="11"/>
        <v/>
      </c>
    </row>
    <row r="772">
      <c r="A772" s="1" t="s">
        <v>774</v>
      </c>
      <c r="B772" s="3" t="str">
        <f>IFERROR(__xludf.DUMMYFUNCTION("SPLIT(A772, "","")"),"19-46")</f>
        <v>19-46</v>
      </c>
      <c r="C772" s="3" t="str">
        <f>IFERROR(__xludf.DUMMYFUNCTION("""COMPUTED_VALUE"""),"20-31")</f>
        <v>20-31</v>
      </c>
      <c r="D772" s="3">
        <f>IFERROR(__xludf.DUMMYFUNCTION("SPLIT(B772, ""-"")"),19.0)</f>
        <v>19</v>
      </c>
      <c r="E772" s="3">
        <f>IFERROR(__xludf.DUMMYFUNCTION("""COMPUTED_VALUE"""),46.0)</f>
        <v>46</v>
      </c>
      <c r="F772" s="3">
        <f>IFERROR(__xludf.DUMMYFUNCTION("SPLIT(C772, ""-"")"),20.0)</f>
        <v>20</v>
      </c>
      <c r="G772" s="3">
        <f>IFERROR(__xludf.DUMMYFUNCTION("""COMPUTED_VALUE"""),31.0)</f>
        <v>31</v>
      </c>
      <c r="I772" s="3" t="str">
        <f t="shared" si="1"/>
        <v>y</v>
      </c>
      <c r="J772" s="3" t="str">
        <f t="shared" si="2"/>
        <v>y</v>
      </c>
      <c r="K772" s="3" t="str">
        <f t="shared" si="3"/>
        <v/>
      </c>
      <c r="L772" s="3" t="str">
        <f t="shared" si="4"/>
        <v/>
      </c>
      <c r="N772" s="3">
        <f t="shared" si="5"/>
        <v>1</v>
      </c>
      <c r="O772" s="3" t="str">
        <f t="shared" si="6"/>
        <v/>
      </c>
      <c r="Q772" s="3">
        <f t="shared" si="7"/>
        <v>1</v>
      </c>
      <c r="U772" s="3">
        <f t="shared" si="8"/>
        <v>1</v>
      </c>
      <c r="V772" s="3" t="str">
        <f t="shared" si="9"/>
        <v>Överlapp</v>
      </c>
      <c r="W772" s="3" t="str">
        <f t="shared" si="10"/>
        <v>Överlapp</v>
      </c>
      <c r="X772" s="3" t="str">
        <f t="shared" si="11"/>
        <v/>
      </c>
    </row>
    <row r="773">
      <c r="A773" s="1" t="s">
        <v>775</v>
      </c>
      <c r="B773" s="3" t="str">
        <f>IFERROR(__xludf.DUMMYFUNCTION("SPLIT(A773, "","")"),"24-75")</f>
        <v>24-75</v>
      </c>
      <c r="C773" s="3" t="str">
        <f>IFERROR(__xludf.DUMMYFUNCTION("""COMPUTED_VALUE"""),"25-75")</f>
        <v>25-75</v>
      </c>
      <c r="D773" s="3">
        <f>IFERROR(__xludf.DUMMYFUNCTION("SPLIT(B773, ""-"")"),24.0)</f>
        <v>24</v>
      </c>
      <c r="E773" s="3">
        <f>IFERROR(__xludf.DUMMYFUNCTION("""COMPUTED_VALUE"""),75.0)</f>
        <v>75</v>
      </c>
      <c r="F773" s="3">
        <f>IFERROR(__xludf.DUMMYFUNCTION("SPLIT(C773, ""-"")"),25.0)</f>
        <v>25</v>
      </c>
      <c r="G773" s="3">
        <f>IFERROR(__xludf.DUMMYFUNCTION("""COMPUTED_VALUE"""),75.0)</f>
        <v>75</v>
      </c>
      <c r="I773" s="3" t="str">
        <f t="shared" si="1"/>
        <v>y</v>
      </c>
      <c r="J773" s="3" t="str">
        <f t="shared" si="2"/>
        <v>y</v>
      </c>
      <c r="K773" s="3" t="str">
        <f t="shared" si="3"/>
        <v/>
      </c>
      <c r="L773" s="3" t="str">
        <f t="shared" si="4"/>
        <v>y</v>
      </c>
      <c r="N773" s="3">
        <f t="shared" si="5"/>
        <v>1</v>
      </c>
      <c r="O773" s="3" t="str">
        <f t="shared" si="6"/>
        <v/>
      </c>
      <c r="Q773" s="3">
        <f t="shared" si="7"/>
        <v>1</v>
      </c>
      <c r="U773" s="3" t="str">
        <f t="shared" si="8"/>
        <v>Överlapp</v>
      </c>
      <c r="V773" s="3" t="str">
        <f t="shared" si="9"/>
        <v>Överlapp</v>
      </c>
      <c r="W773" s="3" t="str">
        <f t="shared" si="10"/>
        <v>Överlapp</v>
      </c>
      <c r="X773" s="3" t="str">
        <f t="shared" si="11"/>
        <v/>
      </c>
    </row>
    <row r="774">
      <c r="A774" s="1" t="s">
        <v>776</v>
      </c>
      <c r="B774" s="3" t="str">
        <f>IFERROR(__xludf.DUMMYFUNCTION("SPLIT(A774, "","")"),"62-80")</f>
        <v>62-80</v>
      </c>
      <c r="C774" s="3" t="str">
        <f>IFERROR(__xludf.DUMMYFUNCTION("""COMPUTED_VALUE"""),"66-81")</f>
        <v>66-81</v>
      </c>
      <c r="D774" s="3">
        <f>IFERROR(__xludf.DUMMYFUNCTION("SPLIT(B774, ""-"")"),62.0)</f>
        <v>62</v>
      </c>
      <c r="E774" s="3">
        <f>IFERROR(__xludf.DUMMYFUNCTION("""COMPUTED_VALUE"""),80.0)</f>
        <v>80</v>
      </c>
      <c r="F774" s="3">
        <f>IFERROR(__xludf.DUMMYFUNCTION("SPLIT(C774, ""-"")"),66.0)</f>
        <v>66</v>
      </c>
      <c r="G774" s="3">
        <f>IFERROR(__xludf.DUMMYFUNCTION("""COMPUTED_VALUE"""),81.0)</f>
        <v>81</v>
      </c>
      <c r="I774" s="3" t="str">
        <f t="shared" si="1"/>
        <v>y</v>
      </c>
      <c r="J774" s="3" t="str">
        <f t="shared" si="2"/>
        <v/>
      </c>
      <c r="K774" s="3" t="str">
        <f t="shared" si="3"/>
        <v/>
      </c>
      <c r="L774" s="3" t="str">
        <f t="shared" si="4"/>
        <v>y</v>
      </c>
      <c r="N774" s="3" t="str">
        <f t="shared" si="5"/>
        <v/>
      </c>
      <c r="O774" s="3" t="str">
        <f t="shared" si="6"/>
        <v/>
      </c>
      <c r="Q774" s="3" t="str">
        <f t="shared" si="7"/>
        <v/>
      </c>
      <c r="U774" s="3">
        <f t="shared" si="8"/>
        <v>1</v>
      </c>
      <c r="V774" s="3" t="str">
        <f t="shared" si="9"/>
        <v>Överlapp</v>
      </c>
      <c r="W774" s="3" t="str">
        <f t="shared" si="10"/>
        <v>Överlapp</v>
      </c>
      <c r="X774" s="3" t="str">
        <f t="shared" si="11"/>
        <v/>
      </c>
    </row>
    <row r="775">
      <c r="A775" s="1" t="s">
        <v>777</v>
      </c>
      <c r="B775" s="3" t="str">
        <f>IFERROR(__xludf.DUMMYFUNCTION("SPLIT(A775, "","")"),"34-69")</f>
        <v>34-69</v>
      </c>
      <c r="C775" s="3" t="str">
        <f>IFERROR(__xludf.DUMMYFUNCTION("""COMPUTED_VALUE"""),"34-70")</f>
        <v>34-70</v>
      </c>
      <c r="D775" s="3">
        <f>IFERROR(__xludf.DUMMYFUNCTION("SPLIT(B775, ""-"")"),34.0)</f>
        <v>34</v>
      </c>
      <c r="E775" s="3">
        <f>IFERROR(__xludf.DUMMYFUNCTION("""COMPUTED_VALUE"""),69.0)</f>
        <v>69</v>
      </c>
      <c r="F775" s="3">
        <f>IFERROR(__xludf.DUMMYFUNCTION("SPLIT(C775, ""-"")"),34.0)</f>
        <v>34</v>
      </c>
      <c r="G775" s="3">
        <f>IFERROR(__xludf.DUMMYFUNCTION("""COMPUTED_VALUE"""),70.0)</f>
        <v>70</v>
      </c>
      <c r="I775" s="3" t="str">
        <f t="shared" si="1"/>
        <v>y</v>
      </c>
      <c r="J775" s="3" t="str">
        <f t="shared" si="2"/>
        <v/>
      </c>
      <c r="K775" s="3" t="str">
        <f t="shared" si="3"/>
        <v>y</v>
      </c>
      <c r="L775" s="3" t="str">
        <f t="shared" si="4"/>
        <v>y</v>
      </c>
      <c r="N775" s="3" t="str">
        <f t="shared" si="5"/>
        <v/>
      </c>
      <c r="O775" s="3">
        <f t="shared" si="6"/>
        <v>1</v>
      </c>
      <c r="Q775" s="3">
        <f t="shared" si="7"/>
        <v>1</v>
      </c>
      <c r="U775" s="3" t="str">
        <f t="shared" si="8"/>
        <v>Överlapp</v>
      </c>
      <c r="V775" s="3" t="str">
        <f t="shared" si="9"/>
        <v>Överlapp</v>
      </c>
      <c r="W775" s="3" t="str">
        <f t="shared" si="10"/>
        <v>Överlapp</v>
      </c>
      <c r="X775" s="3" t="str">
        <f t="shared" si="11"/>
        <v/>
      </c>
    </row>
    <row r="776">
      <c r="A776" s="1" t="s">
        <v>778</v>
      </c>
      <c r="B776" s="3" t="str">
        <f>IFERROR(__xludf.DUMMYFUNCTION("SPLIT(A776, "","")"),"2-76")</f>
        <v>2-76</v>
      </c>
      <c r="C776" s="4">
        <f>IFERROR(__xludf.DUMMYFUNCTION("""COMPUTED_VALUE"""),44623.0)</f>
        <v>44623</v>
      </c>
      <c r="D776" s="3">
        <f>IFERROR(__xludf.DUMMYFUNCTION("SPLIT(B776, ""-"")"),2.0)</f>
        <v>2</v>
      </c>
      <c r="E776" s="3">
        <f>IFERROR(__xludf.DUMMYFUNCTION("""COMPUTED_VALUE"""),76.0)</f>
        <v>76</v>
      </c>
      <c r="F776" s="3">
        <f>IFERROR(__xludf.DUMMYFUNCTION("SPLIT(C776, ""-"")"),3.0)</f>
        <v>3</v>
      </c>
      <c r="G776" s="3">
        <f>IFERROR(__xludf.DUMMYFUNCTION("""COMPUTED_VALUE"""),3.0)</f>
        <v>3</v>
      </c>
      <c r="I776" s="3" t="str">
        <f t="shared" si="1"/>
        <v>y</v>
      </c>
      <c r="J776" s="3" t="str">
        <f t="shared" si="2"/>
        <v>y</v>
      </c>
      <c r="K776" s="3" t="str">
        <f t="shared" si="3"/>
        <v/>
      </c>
      <c r="L776" s="3" t="str">
        <f t="shared" si="4"/>
        <v/>
      </c>
      <c r="N776" s="3">
        <f t="shared" si="5"/>
        <v>1</v>
      </c>
      <c r="O776" s="3" t="str">
        <f t="shared" si="6"/>
        <v/>
      </c>
      <c r="Q776" s="3">
        <f t="shared" si="7"/>
        <v>1</v>
      </c>
      <c r="U776" s="3">
        <f t="shared" si="8"/>
        <v>1</v>
      </c>
      <c r="V776" s="3" t="str">
        <f t="shared" si="9"/>
        <v>Överlapp</v>
      </c>
      <c r="W776" s="3" t="str">
        <f t="shared" si="10"/>
        <v>Överlapp</v>
      </c>
      <c r="X776" s="3" t="str">
        <f t="shared" si="11"/>
        <v/>
      </c>
    </row>
    <row r="777">
      <c r="A777" s="1" t="s">
        <v>779</v>
      </c>
      <c r="B777" s="3" t="str">
        <f>IFERROR(__xludf.DUMMYFUNCTION("SPLIT(A777, "","")"),"20-72")</f>
        <v>20-72</v>
      </c>
      <c r="C777" s="3" t="str">
        <f>IFERROR(__xludf.DUMMYFUNCTION("""COMPUTED_VALUE"""),"71-72")</f>
        <v>71-72</v>
      </c>
      <c r="D777" s="3">
        <f>IFERROR(__xludf.DUMMYFUNCTION("SPLIT(B777, ""-"")"),20.0)</f>
        <v>20</v>
      </c>
      <c r="E777" s="3">
        <f>IFERROR(__xludf.DUMMYFUNCTION("""COMPUTED_VALUE"""),72.0)</f>
        <v>72</v>
      </c>
      <c r="F777" s="3">
        <f>IFERROR(__xludf.DUMMYFUNCTION("SPLIT(C777, ""-"")"),71.0)</f>
        <v>71</v>
      </c>
      <c r="G777" s="3">
        <f>IFERROR(__xludf.DUMMYFUNCTION("""COMPUTED_VALUE"""),72.0)</f>
        <v>72</v>
      </c>
      <c r="I777" s="3" t="str">
        <f t="shared" si="1"/>
        <v>y</v>
      </c>
      <c r="J777" s="3" t="str">
        <f t="shared" si="2"/>
        <v>y</v>
      </c>
      <c r="K777" s="3" t="str">
        <f t="shared" si="3"/>
        <v/>
      </c>
      <c r="L777" s="3" t="str">
        <f t="shared" si="4"/>
        <v>y</v>
      </c>
      <c r="N777" s="3">
        <f t="shared" si="5"/>
        <v>1</v>
      </c>
      <c r="O777" s="3" t="str">
        <f t="shared" si="6"/>
        <v/>
      </c>
      <c r="Q777" s="3">
        <f t="shared" si="7"/>
        <v>1</v>
      </c>
      <c r="U777" s="3" t="str">
        <f t="shared" si="8"/>
        <v>Överlapp</v>
      </c>
      <c r="V777" s="3" t="str">
        <f t="shared" si="9"/>
        <v>Överlapp</v>
      </c>
      <c r="W777" s="3" t="str">
        <f t="shared" si="10"/>
        <v>Överlapp</v>
      </c>
      <c r="X777" s="3" t="str">
        <f t="shared" si="11"/>
        <v/>
      </c>
    </row>
    <row r="778">
      <c r="A778" s="1" t="s">
        <v>780</v>
      </c>
      <c r="B778" s="3" t="str">
        <f>IFERROR(__xludf.DUMMYFUNCTION("SPLIT(A778, "","")"),"1-50")</f>
        <v>1-50</v>
      </c>
      <c r="C778" s="3" t="str">
        <f>IFERROR(__xludf.DUMMYFUNCTION("""COMPUTED_VALUE"""),"37-38")</f>
        <v>37-38</v>
      </c>
      <c r="D778" s="3">
        <f>IFERROR(__xludf.DUMMYFUNCTION("SPLIT(B778, ""-"")"),1.0)</f>
        <v>1</v>
      </c>
      <c r="E778" s="3">
        <f>IFERROR(__xludf.DUMMYFUNCTION("""COMPUTED_VALUE"""),50.0)</f>
        <v>50</v>
      </c>
      <c r="F778" s="3">
        <f>IFERROR(__xludf.DUMMYFUNCTION("SPLIT(C778, ""-"")"),37.0)</f>
        <v>37</v>
      </c>
      <c r="G778" s="3">
        <f>IFERROR(__xludf.DUMMYFUNCTION("""COMPUTED_VALUE"""),38.0)</f>
        <v>38</v>
      </c>
      <c r="I778" s="3" t="str">
        <f t="shared" si="1"/>
        <v>y</v>
      </c>
      <c r="J778" s="3" t="str">
        <f t="shared" si="2"/>
        <v>y</v>
      </c>
      <c r="K778" s="3" t="str">
        <f t="shared" si="3"/>
        <v/>
      </c>
      <c r="L778" s="3" t="str">
        <f t="shared" si="4"/>
        <v/>
      </c>
      <c r="N778" s="3">
        <f t="shared" si="5"/>
        <v>1</v>
      </c>
      <c r="O778" s="3" t="str">
        <f t="shared" si="6"/>
        <v/>
      </c>
      <c r="Q778" s="3">
        <f t="shared" si="7"/>
        <v>1</v>
      </c>
      <c r="U778" s="3">
        <f t="shared" si="8"/>
        <v>1</v>
      </c>
      <c r="V778" s="3" t="str">
        <f t="shared" si="9"/>
        <v>Överlapp</v>
      </c>
      <c r="W778" s="3" t="str">
        <f t="shared" si="10"/>
        <v>Överlapp</v>
      </c>
      <c r="X778" s="3" t="str">
        <f t="shared" si="11"/>
        <v/>
      </c>
    </row>
    <row r="779">
      <c r="A779" s="1" t="s">
        <v>781</v>
      </c>
      <c r="B779" s="3" t="str">
        <f>IFERROR(__xludf.DUMMYFUNCTION("SPLIT(A779, "","")"),"2-18")</f>
        <v>2-18</v>
      </c>
      <c r="C779" s="3" t="str">
        <f>IFERROR(__xludf.DUMMYFUNCTION("""COMPUTED_VALUE"""),"3-18")</f>
        <v>3-18</v>
      </c>
      <c r="D779" s="3">
        <f>IFERROR(__xludf.DUMMYFUNCTION("SPLIT(B779, ""-"")"),2.0)</f>
        <v>2</v>
      </c>
      <c r="E779" s="3">
        <f>IFERROR(__xludf.DUMMYFUNCTION("""COMPUTED_VALUE"""),18.0)</f>
        <v>18</v>
      </c>
      <c r="F779" s="3">
        <f>IFERROR(__xludf.DUMMYFUNCTION("SPLIT(C779, ""-"")"),3.0)</f>
        <v>3</v>
      </c>
      <c r="G779" s="3">
        <f>IFERROR(__xludf.DUMMYFUNCTION("""COMPUTED_VALUE"""),18.0)</f>
        <v>18</v>
      </c>
      <c r="I779" s="3" t="str">
        <f t="shared" si="1"/>
        <v>y</v>
      </c>
      <c r="J779" s="3" t="str">
        <f t="shared" si="2"/>
        <v>y</v>
      </c>
      <c r="K779" s="3" t="str">
        <f t="shared" si="3"/>
        <v/>
      </c>
      <c r="L779" s="3" t="str">
        <f t="shared" si="4"/>
        <v>y</v>
      </c>
      <c r="N779" s="3">
        <f t="shared" si="5"/>
        <v>1</v>
      </c>
      <c r="O779" s="3" t="str">
        <f t="shared" si="6"/>
        <v/>
      </c>
      <c r="Q779" s="3">
        <f t="shared" si="7"/>
        <v>1</v>
      </c>
      <c r="U779" s="3" t="str">
        <f t="shared" si="8"/>
        <v>Överlapp</v>
      </c>
      <c r="V779" s="3" t="str">
        <f t="shared" si="9"/>
        <v>Överlapp</v>
      </c>
      <c r="W779" s="3" t="str">
        <f t="shared" si="10"/>
        <v>Överlapp</v>
      </c>
      <c r="X779" s="3" t="str">
        <f t="shared" si="11"/>
        <v/>
      </c>
    </row>
    <row r="780">
      <c r="A780" s="1" t="s">
        <v>782</v>
      </c>
      <c r="B780" s="3" t="str">
        <f>IFERROR(__xludf.DUMMYFUNCTION("SPLIT(A780, "","")"),"5-79")</f>
        <v>5-79</v>
      </c>
      <c r="C780" s="3" t="str">
        <f>IFERROR(__xludf.DUMMYFUNCTION("""COMPUTED_VALUE"""),"6-97")</f>
        <v>6-97</v>
      </c>
      <c r="D780" s="3">
        <f>IFERROR(__xludf.DUMMYFUNCTION("SPLIT(B780, ""-"")"),5.0)</f>
        <v>5</v>
      </c>
      <c r="E780" s="3">
        <f>IFERROR(__xludf.DUMMYFUNCTION("""COMPUTED_VALUE"""),79.0)</f>
        <v>79</v>
      </c>
      <c r="F780" s="3">
        <f>IFERROR(__xludf.DUMMYFUNCTION("SPLIT(C780, ""-"")"),6.0)</f>
        <v>6</v>
      </c>
      <c r="G780" s="3">
        <f>IFERROR(__xludf.DUMMYFUNCTION("""COMPUTED_VALUE"""),97.0)</f>
        <v>97</v>
      </c>
      <c r="I780" s="3" t="str">
        <f t="shared" si="1"/>
        <v>y</v>
      </c>
      <c r="J780" s="3" t="str">
        <f t="shared" si="2"/>
        <v/>
      </c>
      <c r="K780" s="3" t="str">
        <f t="shared" si="3"/>
        <v/>
      </c>
      <c r="L780" s="3" t="str">
        <f t="shared" si="4"/>
        <v>y</v>
      </c>
      <c r="N780" s="3" t="str">
        <f t="shared" si="5"/>
        <v/>
      </c>
      <c r="O780" s="3" t="str">
        <f t="shared" si="6"/>
        <v/>
      </c>
      <c r="Q780" s="3" t="str">
        <f t="shared" si="7"/>
        <v/>
      </c>
      <c r="U780" s="3">
        <f t="shared" si="8"/>
        <v>1</v>
      </c>
      <c r="V780" s="3" t="str">
        <f t="shared" si="9"/>
        <v>Överlapp</v>
      </c>
      <c r="W780" s="3" t="str">
        <f t="shared" si="10"/>
        <v>Överlapp</v>
      </c>
      <c r="X780" s="3" t="str">
        <f t="shared" si="11"/>
        <v/>
      </c>
    </row>
    <row r="781">
      <c r="A781" s="1" t="s">
        <v>783</v>
      </c>
      <c r="B781" s="3" t="str">
        <f>IFERROR(__xludf.DUMMYFUNCTION("SPLIT(A781, "","")"),"20-87")</f>
        <v>20-87</v>
      </c>
      <c r="C781" s="3" t="str">
        <f>IFERROR(__xludf.DUMMYFUNCTION("""COMPUTED_VALUE"""),"6-88")</f>
        <v>6-88</v>
      </c>
      <c r="D781" s="3">
        <f>IFERROR(__xludf.DUMMYFUNCTION("SPLIT(B781, ""-"")"),20.0)</f>
        <v>20</v>
      </c>
      <c r="E781" s="3">
        <f>IFERROR(__xludf.DUMMYFUNCTION("""COMPUTED_VALUE"""),87.0)</f>
        <v>87</v>
      </c>
      <c r="F781" s="3">
        <f>IFERROR(__xludf.DUMMYFUNCTION("SPLIT(C781, ""-"")"),6.0)</f>
        <v>6</v>
      </c>
      <c r="G781" s="3">
        <f>IFERROR(__xludf.DUMMYFUNCTION("""COMPUTED_VALUE"""),88.0)</f>
        <v>88</v>
      </c>
      <c r="I781" s="3" t="str">
        <f t="shared" si="1"/>
        <v/>
      </c>
      <c r="J781" s="3" t="str">
        <f t="shared" si="2"/>
        <v/>
      </c>
      <c r="K781" s="3" t="str">
        <f t="shared" si="3"/>
        <v>y</v>
      </c>
      <c r="L781" s="3" t="str">
        <f t="shared" si="4"/>
        <v>y</v>
      </c>
      <c r="N781" s="3" t="str">
        <f t="shared" si="5"/>
        <v/>
      </c>
      <c r="O781" s="3">
        <f t="shared" si="6"/>
        <v>1</v>
      </c>
      <c r="Q781" s="3">
        <f t="shared" si="7"/>
        <v>1</v>
      </c>
      <c r="U781" s="3">
        <f t="shared" si="8"/>
        <v>1</v>
      </c>
      <c r="V781" s="3" t="str">
        <f t="shared" si="9"/>
        <v>Överlapp</v>
      </c>
      <c r="W781" s="3" t="str">
        <f t="shared" si="10"/>
        <v>Överlapp</v>
      </c>
      <c r="X781" s="3" t="str">
        <f t="shared" si="11"/>
        <v/>
      </c>
    </row>
    <row r="782">
      <c r="A782" s="1" t="s">
        <v>784</v>
      </c>
      <c r="B782" s="3" t="str">
        <f>IFERROR(__xludf.DUMMYFUNCTION("SPLIT(A782, "","")"),"83-83")</f>
        <v>83-83</v>
      </c>
      <c r="C782" s="3" t="str">
        <f>IFERROR(__xludf.DUMMYFUNCTION("""COMPUTED_VALUE"""),"61-84")</f>
        <v>61-84</v>
      </c>
      <c r="D782" s="3">
        <f>IFERROR(__xludf.DUMMYFUNCTION("SPLIT(B782, ""-"")"),83.0)</f>
        <v>83</v>
      </c>
      <c r="E782" s="3">
        <f>IFERROR(__xludf.DUMMYFUNCTION("""COMPUTED_VALUE"""),83.0)</f>
        <v>83</v>
      </c>
      <c r="F782" s="3">
        <f>IFERROR(__xludf.DUMMYFUNCTION("SPLIT(C782, ""-"")"),61.0)</f>
        <v>61</v>
      </c>
      <c r="G782" s="3">
        <f>IFERROR(__xludf.DUMMYFUNCTION("""COMPUTED_VALUE"""),84.0)</f>
        <v>84</v>
      </c>
      <c r="I782" s="3" t="str">
        <f t="shared" si="1"/>
        <v/>
      </c>
      <c r="J782" s="3" t="str">
        <f t="shared" si="2"/>
        <v/>
      </c>
      <c r="K782" s="3" t="str">
        <f t="shared" si="3"/>
        <v>y</v>
      </c>
      <c r="L782" s="3" t="str">
        <f t="shared" si="4"/>
        <v>y</v>
      </c>
      <c r="N782" s="3" t="str">
        <f t="shared" si="5"/>
        <v/>
      </c>
      <c r="O782" s="3">
        <f t="shared" si="6"/>
        <v>1</v>
      </c>
      <c r="Q782" s="3">
        <f t="shared" si="7"/>
        <v>1</v>
      </c>
      <c r="U782" s="3">
        <f t="shared" si="8"/>
        <v>1</v>
      </c>
      <c r="V782" s="3" t="str">
        <f t="shared" si="9"/>
        <v>Överlapp</v>
      </c>
      <c r="W782" s="3" t="str">
        <f t="shared" si="10"/>
        <v>Överlapp</v>
      </c>
      <c r="X782" s="3" t="str">
        <f t="shared" si="11"/>
        <v/>
      </c>
    </row>
    <row r="783">
      <c r="A783" s="1" t="s">
        <v>785</v>
      </c>
      <c r="B783" s="3" t="str">
        <f>IFERROR(__xludf.DUMMYFUNCTION("SPLIT(A783, "","")"),"39-40")</f>
        <v>39-40</v>
      </c>
      <c r="C783" s="3" t="str">
        <f>IFERROR(__xludf.DUMMYFUNCTION("""COMPUTED_VALUE"""),"40-40")</f>
        <v>40-40</v>
      </c>
      <c r="D783" s="3">
        <f>IFERROR(__xludf.DUMMYFUNCTION("SPLIT(B783, ""-"")"),39.0)</f>
        <v>39</v>
      </c>
      <c r="E783" s="3">
        <f>IFERROR(__xludf.DUMMYFUNCTION("""COMPUTED_VALUE"""),40.0)</f>
        <v>40</v>
      </c>
      <c r="F783" s="3">
        <f>IFERROR(__xludf.DUMMYFUNCTION("SPLIT(C783, ""-"")"),40.0)</f>
        <v>40</v>
      </c>
      <c r="G783" s="3">
        <f>IFERROR(__xludf.DUMMYFUNCTION("""COMPUTED_VALUE"""),40.0)</f>
        <v>40</v>
      </c>
      <c r="I783" s="3" t="str">
        <f t="shared" si="1"/>
        <v>y</v>
      </c>
      <c r="J783" s="3" t="str">
        <f t="shared" si="2"/>
        <v>y</v>
      </c>
      <c r="K783" s="3" t="str">
        <f t="shared" si="3"/>
        <v/>
      </c>
      <c r="L783" s="3" t="str">
        <f t="shared" si="4"/>
        <v>y</v>
      </c>
      <c r="N783" s="3">
        <f t="shared" si="5"/>
        <v>1</v>
      </c>
      <c r="O783" s="3" t="str">
        <f t="shared" si="6"/>
        <v/>
      </c>
      <c r="Q783" s="3">
        <f t="shared" si="7"/>
        <v>1</v>
      </c>
      <c r="U783" s="3" t="str">
        <f t="shared" si="8"/>
        <v>Överlapp</v>
      </c>
      <c r="V783" s="3" t="str">
        <f t="shared" si="9"/>
        <v>Överlapp</v>
      </c>
      <c r="W783" s="3" t="str">
        <f t="shared" si="10"/>
        <v>Överlapp</v>
      </c>
      <c r="X783" s="3" t="str">
        <f t="shared" si="11"/>
        <v/>
      </c>
    </row>
    <row r="784">
      <c r="A784" s="1" t="s">
        <v>786</v>
      </c>
      <c r="B784" s="3" t="str">
        <f>IFERROR(__xludf.DUMMYFUNCTION("SPLIT(A784, "","")"),"1-96")</f>
        <v>1-96</v>
      </c>
      <c r="C784" s="3" t="str">
        <f>IFERROR(__xludf.DUMMYFUNCTION("""COMPUTED_VALUE"""),"2-84")</f>
        <v>2-84</v>
      </c>
      <c r="D784" s="3">
        <f>IFERROR(__xludf.DUMMYFUNCTION("SPLIT(B784, ""-"")"),1.0)</f>
        <v>1</v>
      </c>
      <c r="E784" s="3">
        <f>IFERROR(__xludf.DUMMYFUNCTION("""COMPUTED_VALUE"""),96.0)</f>
        <v>96</v>
      </c>
      <c r="F784" s="3">
        <f>IFERROR(__xludf.DUMMYFUNCTION("SPLIT(C784, ""-"")"),2.0)</f>
        <v>2</v>
      </c>
      <c r="G784" s="3">
        <f>IFERROR(__xludf.DUMMYFUNCTION("""COMPUTED_VALUE"""),84.0)</f>
        <v>84</v>
      </c>
      <c r="I784" s="3" t="str">
        <f t="shared" si="1"/>
        <v>y</v>
      </c>
      <c r="J784" s="3" t="str">
        <f t="shared" si="2"/>
        <v>y</v>
      </c>
      <c r="K784" s="3" t="str">
        <f t="shared" si="3"/>
        <v/>
      </c>
      <c r="L784" s="3" t="str">
        <f t="shared" si="4"/>
        <v/>
      </c>
      <c r="N784" s="3">
        <f t="shared" si="5"/>
        <v>1</v>
      </c>
      <c r="O784" s="3" t="str">
        <f t="shared" si="6"/>
        <v/>
      </c>
      <c r="Q784" s="3">
        <f t="shared" si="7"/>
        <v>1</v>
      </c>
      <c r="U784" s="3">
        <f t="shared" si="8"/>
        <v>1</v>
      </c>
      <c r="V784" s="3" t="str">
        <f t="shared" si="9"/>
        <v>Överlapp</v>
      </c>
      <c r="W784" s="3" t="str">
        <f t="shared" si="10"/>
        <v>Överlapp</v>
      </c>
      <c r="X784" s="3" t="str">
        <f t="shared" si="11"/>
        <v/>
      </c>
    </row>
    <row r="785">
      <c r="A785" s="1" t="s">
        <v>787</v>
      </c>
      <c r="B785" s="3" t="str">
        <f>IFERROR(__xludf.DUMMYFUNCTION("SPLIT(A785, "","")"),"48-94")</f>
        <v>48-94</v>
      </c>
      <c r="C785" s="3" t="str">
        <f>IFERROR(__xludf.DUMMYFUNCTION("""COMPUTED_VALUE"""),"42-79")</f>
        <v>42-79</v>
      </c>
      <c r="D785" s="3">
        <f>IFERROR(__xludf.DUMMYFUNCTION("SPLIT(B785, ""-"")"),48.0)</f>
        <v>48</v>
      </c>
      <c r="E785" s="3">
        <f>IFERROR(__xludf.DUMMYFUNCTION("""COMPUTED_VALUE"""),94.0)</f>
        <v>94</v>
      </c>
      <c r="F785" s="3">
        <f>IFERROR(__xludf.DUMMYFUNCTION("SPLIT(C785, ""-"")"),42.0)</f>
        <v>42</v>
      </c>
      <c r="G785" s="3">
        <f>IFERROR(__xludf.DUMMYFUNCTION("""COMPUTED_VALUE"""),79.0)</f>
        <v>79</v>
      </c>
      <c r="I785" s="3" t="str">
        <f t="shared" si="1"/>
        <v/>
      </c>
      <c r="J785" s="3" t="str">
        <f t="shared" si="2"/>
        <v>y</v>
      </c>
      <c r="K785" s="3" t="str">
        <f t="shared" si="3"/>
        <v>y</v>
      </c>
      <c r="L785" s="3" t="str">
        <f t="shared" si="4"/>
        <v/>
      </c>
      <c r="N785" s="3" t="str">
        <f t="shared" si="5"/>
        <v/>
      </c>
      <c r="O785" s="3" t="str">
        <f t="shared" si="6"/>
        <v/>
      </c>
      <c r="Q785" s="3" t="str">
        <f t="shared" si="7"/>
        <v/>
      </c>
      <c r="U785" s="3">
        <f t="shared" si="8"/>
        <v>1</v>
      </c>
      <c r="V785" s="3" t="str">
        <f t="shared" si="9"/>
        <v>Överlapp</v>
      </c>
      <c r="W785" s="3" t="str">
        <f t="shared" si="10"/>
        <v>Överlapp</v>
      </c>
      <c r="X785" s="3" t="str">
        <f t="shared" si="11"/>
        <v/>
      </c>
    </row>
    <row r="786">
      <c r="A786" s="1" t="s">
        <v>152</v>
      </c>
      <c r="B786" s="3" t="str">
        <f>IFERROR(__xludf.DUMMYFUNCTION("SPLIT(A786, "","")"),"22-22")</f>
        <v>22-22</v>
      </c>
      <c r="C786" s="3" t="str">
        <f>IFERROR(__xludf.DUMMYFUNCTION("""COMPUTED_VALUE"""),"22-98")</f>
        <v>22-98</v>
      </c>
      <c r="D786" s="3">
        <f>IFERROR(__xludf.DUMMYFUNCTION("SPLIT(B786, ""-"")"),22.0)</f>
        <v>22</v>
      </c>
      <c r="E786" s="3">
        <f>IFERROR(__xludf.DUMMYFUNCTION("""COMPUTED_VALUE"""),22.0)</f>
        <v>22</v>
      </c>
      <c r="F786" s="3">
        <f>IFERROR(__xludf.DUMMYFUNCTION("SPLIT(C786, ""-"")"),22.0)</f>
        <v>22</v>
      </c>
      <c r="G786" s="3">
        <f>IFERROR(__xludf.DUMMYFUNCTION("""COMPUTED_VALUE"""),98.0)</f>
        <v>98</v>
      </c>
      <c r="I786" s="3" t="str">
        <f t="shared" si="1"/>
        <v>y</v>
      </c>
      <c r="J786" s="3" t="str">
        <f t="shared" si="2"/>
        <v/>
      </c>
      <c r="K786" s="3" t="str">
        <f t="shared" si="3"/>
        <v>y</v>
      </c>
      <c r="L786" s="3" t="str">
        <f t="shared" si="4"/>
        <v>y</v>
      </c>
      <c r="N786" s="3" t="str">
        <f t="shared" si="5"/>
        <v/>
      </c>
      <c r="O786" s="3">
        <f t="shared" si="6"/>
        <v>1</v>
      </c>
      <c r="Q786" s="3">
        <f t="shared" si="7"/>
        <v>1</v>
      </c>
      <c r="U786" s="3" t="str">
        <f t="shared" si="8"/>
        <v>Överlapp</v>
      </c>
      <c r="V786" s="3" t="str">
        <f t="shared" si="9"/>
        <v>Överlapp</v>
      </c>
      <c r="W786" s="3" t="str">
        <f t="shared" si="10"/>
        <v>Överlapp</v>
      </c>
      <c r="X786" s="3" t="str">
        <f t="shared" si="11"/>
        <v/>
      </c>
    </row>
    <row r="787">
      <c r="A787" s="1" t="s">
        <v>788</v>
      </c>
      <c r="B787" s="4">
        <f>IFERROR(__xludf.DUMMYFUNCTION("SPLIT(A787, "","")"),44841.0)</f>
        <v>44841</v>
      </c>
      <c r="C787" s="3" t="str">
        <f>IFERROR(__xludf.DUMMYFUNCTION("""COMPUTED_VALUE"""),"9-98")</f>
        <v>9-98</v>
      </c>
      <c r="D787" s="3">
        <f>IFERROR(__xludf.DUMMYFUNCTION("SPLIT(B787, ""-"")"),7.0)</f>
        <v>7</v>
      </c>
      <c r="E787" s="3">
        <f>IFERROR(__xludf.DUMMYFUNCTION("""COMPUTED_VALUE"""),10.0)</f>
        <v>10</v>
      </c>
      <c r="F787" s="3">
        <f>IFERROR(__xludf.DUMMYFUNCTION("SPLIT(C787, ""-"")"),9.0)</f>
        <v>9</v>
      </c>
      <c r="G787" s="3">
        <f>IFERROR(__xludf.DUMMYFUNCTION("""COMPUTED_VALUE"""),98.0)</f>
        <v>98</v>
      </c>
      <c r="I787" s="3" t="str">
        <f t="shared" si="1"/>
        <v>y</v>
      </c>
      <c r="J787" s="3" t="str">
        <f t="shared" si="2"/>
        <v/>
      </c>
      <c r="K787" s="3" t="str">
        <f t="shared" si="3"/>
        <v/>
      </c>
      <c r="L787" s="3" t="str">
        <f t="shared" si="4"/>
        <v>y</v>
      </c>
      <c r="N787" s="3" t="str">
        <f t="shared" si="5"/>
        <v/>
      </c>
      <c r="O787" s="3" t="str">
        <f t="shared" si="6"/>
        <v/>
      </c>
      <c r="Q787" s="3" t="str">
        <f t="shared" si="7"/>
        <v/>
      </c>
      <c r="U787" s="3">
        <f t="shared" si="8"/>
        <v>1</v>
      </c>
      <c r="V787" s="3" t="str">
        <f t="shared" si="9"/>
        <v>Överlapp</v>
      </c>
      <c r="W787" s="3" t="str">
        <f t="shared" si="10"/>
        <v>Överlapp</v>
      </c>
      <c r="X787" s="3" t="str">
        <f t="shared" si="11"/>
        <v/>
      </c>
    </row>
    <row r="788">
      <c r="A788" s="1" t="s">
        <v>789</v>
      </c>
      <c r="B788" s="3" t="str">
        <f>IFERROR(__xludf.DUMMYFUNCTION("SPLIT(A788, "","")"),"66-77")</f>
        <v>66-77</v>
      </c>
      <c r="C788" s="3" t="str">
        <f>IFERROR(__xludf.DUMMYFUNCTION("""COMPUTED_VALUE"""),"66-88")</f>
        <v>66-88</v>
      </c>
      <c r="D788" s="3">
        <f>IFERROR(__xludf.DUMMYFUNCTION("SPLIT(B788, ""-"")"),66.0)</f>
        <v>66</v>
      </c>
      <c r="E788" s="3">
        <f>IFERROR(__xludf.DUMMYFUNCTION("""COMPUTED_VALUE"""),77.0)</f>
        <v>77</v>
      </c>
      <c r="F788" s="3">
        <f>IFERROR(__xludf.DUMMYFUNCTION("SPLIT(C788, ""-"")"),66.0)</f>
        <v>66</v>
      </c>
      <c r="G788" s="3">
        <f>IFERROR(__xludf.DUMMYFUNCTION("""COMPUTED_VALUE"""),88.0)</f>
        <v>88</v>
      </c>
      <c r="I788" s="3" t="str">
        <f t="shared" si="1"/>
        <v>y</v>
      </c>
      <c r="J788" s="3" t="str">
        <f t="shared" si="2"/>
        <v/>
      </c>
      <c r="K788" s="3" t="str">
        <f t="shared" si="3"/>
        <v>y</v>
      </c>
      <c r="L788" s="3" t="str">
        <f t="shared" si="4"/>
        <v>y</v>
      </c>
      <c r="N788" s="3" t="str">
        <f t="shared" si="5"/>
        <v/>
      </c>
      <c r="O788" s="3">
        <f t="shared" si="6"/>
        <v>1</v>
      </c>
      <c r="Q788" s="3">
        <f t="shared" si="7"/>
        <v>1</v>
      </c>
      <c r="U788" s="3" t="str">
        <f t="shared" si="8"/>
        <v>Överlapp</v>
      </c>
      <c r="V788" s="3" t="str">
        <f t="shared" si="9"/>
        <v>Överlapp</v>
      </c>
      <c r="W788" s="3" t="str">
        <f t="shared" si="10"/>
        <v>Överlapp</v>
      </c>
      <c r="X788" s="3" t="str">
        <f t="shared" si="11"/>
        <v/>
      </c>
    </row>
    <row r="789">
      <c r="A789" s="1" t="s">
        <v>790</v>
      </c>
      <c r="B789" s="3" t="str">
        <f>IFERROR(__xludf.DUMMYFUNCTION("SPLIT(A789, "","")"),"47-52")</f>
        <v>47-52</v>
      </c>
      <c r="C789" s="3" t="str">
        <f>IFERROR(__xludf.DUMMYFUNCTION("""COMPUTED_VALUE"""),"40-52")</f>
        <v>40-52</v>
      </c>
      <c r="D789" s="3">
        <f>IFERROR(__xludf.DUMMYFUNCTION("SPLIT(B789, ""-"")"),47.0)</f>
        <v>47</v>
      </c>
      <c r="E789" s="3">
        <f>IFERROR(__xludf.DUMMYFUNCTION("""COMPUTED_VALUE"""),52.0)</f>
        <v>52</v>
      </c>
      <c r="F789" s="3">
        <f>IFERROR(__xludf.DUMMYFUNCTION("SPLIT(C789, ""-"")"),40.0)</f>
        <v>40</v>
      </c>
      <c r="G789" s="3">
        <f>IFERROR(__xludf.DUMMYFUNCTION("""COMPUTED_VALUE"""),52.0)</f>
        <v>52</v>
      </c>
      <c r="I789" s="3" t="str">
        <f t="shared" si="1"/>
        <v/>
      </c>
      <c r="J789" s="3" t="str">
        <f t="shared" si="2"/>
        <v>y</v>
      </c>
      <c r="K789" s="3" t="str">
        <f t="shared" si="3"/>
        <v>y</v>
      </c>
      <c r="L789" s="3" t="str">
        <f t="shared" si="4"/>
        <v>y</v>
      </c>
      <c r="N789" s="3" t="str">
        <f t="shared" si="5"/>
        <v/>
      </c>
      <c r="O789" s="3">
        <f t="shared" si="6"/>
        <v>1</v>
      </c>
      <c r="Q789" s="3">
        <f t="shared" si="7"/>
        <v>1</v>
      </c>
      <c r="U789" s="3" t="str">
        <f t="shared" si="8"/>
        <v>Överlapp</v>
      </c>
      <c r="V789" s="3" t="str">
        <f t="shared" si="9"/>
        <v>Överlapp</v>
      </c>
      <c r="W789" s="3" t="str">
        <f t="shared" si="10"/>
        <v>Överlapp</v>
      </c>
      <c r="X789" s="3" t="str">
        <f t="shared" si="11"/>
        <v/>
      </c>
    </row>
    <row r="790">
      <c r="A790" s="1" t="s">
        <v>791</v>
      </c>
      <c r="B790" s="3" t="str">
        <f>IFERROR(__xludf.DUMMYFUNCTION("SPLIT(A790, "","")"),"6-19")</f>
        <v>6-19</v>
      </c>
      <c r="C790" s="3" t="str">
        <f>IFERROR(__xludf.DUMMYFUNCTION("""COMPUTED_VALUE"""),"6-26")</f>
        <v>6-26</v>
      </c>
      <c r="D790" s="3">
        <f>IFERROR(__xludf.DUMMYFUNCTION("SPLIT(B790, ""-"")"),6.0)</f>
        <v>6</v>
      </c>
      <c r="E790" s="3">
        <f>IFERROR(__xludf.DUMMYFUNCTION("""COMPUTED_VALUE"""),19.0)</f>
        <v>19</v>
      </c>
      <c r="F790" s="3">
        <f>IFERROR(__xludf.DUMMYFUNCTION("SPLIT(C790, ""-"")"),6.0)</f>
        <v>6</v>
      </c>
      <c r="G790" s="3">
        <f>IFERROR(__xludf.DUMMYFUNCTION("""COMPUTED_VALUE"""),26.0)</f>
        <v>26</v>
      </c>
      <c r="I790" s="3" t="str">
        <f t="shared" si="1"/>
        <v>y</v>
      </c>
      <c r="J790" s="3" t="str">
        <f t="shared" si="2"/>
        <v/>
      </c>
      <c r="K790" s="3" t="str">
        <f t="shared" si="3"/>
        <v>y</v>
      </c>
      <c r="L790" s="3" t="str">
        <f t="shared" si="4"/>
        <v>y</v>
      </c>
      <c r="N790" s="3" t="str">
        <f t="shared" si="5"/>
        <v/>
      </c>
      <c r="O790" s="3">
        <f t="shared" si="6"/>
        <v>1</v>
      </c>
      <c r="Q790" s="3">
        <f t="shared" si="7"/>
        <v>1</v>
      </c>
      <c r="U790" s="3" t="str">
        <f t="shared" si="8"/>
        <v>Överlapp</v>
      </c>
      <c r="V790" s="3" t="str">
        <f t="shared" si="9"/>
        <v>Överlapp</v>
      </c>
      <c r="W790" s="3" t="str">
        <f t="shared" si="10"/>
        <v>Överlapp</v>
      </c>
      <c r="X790" s="3" t="str">
        <f t="shared" si="11"/>
        <v/>
      </c>
    </row>
    <row r="791">
      <c r="A791" s="1" t="s">
        <v>792</v>
      </c>
      <c r="B791" s="3" t="str">
        <f>IFERROR(__xludf.DUMMYFUNCTION("SPLIT(A791, "","")"),"3-64")</f>
        <v>3-64</v>
      </c>
      <c r="C791" s="3" t="str">
        <f>IFERROR(__xludf.DUMMYFUNCTION("""COMPUTED_VALUE"""),"2-63")</f>
        <v>2-63</v>
      </c>
      <c r="D791" s="3">
        <f>IFERROR(__xludf.DUMMYFUNCTION("SPLIT(B791, ""-"")"),3.0)</f>
        <v>3</v>
      </c>
      <c r="E791" s="3">
        <f>IFERROR(__xludf.DUMMYFUNCTION("""COMPUTED_VALUE"""),64.0)</f>
        <v>64</v>
      </c>
      <c r="F791" s="3">
        <f>IFERROR(__xludf.DUMMYFUNCTION("SPLIT(C791, ""-"")"),2.0)</f>
        <v>2</v>
      </c>
      <c r="G791" s="3">
        <f>IFERROR(__xludf.DUMMYFUNCTION("""COMPUTED_VALUE"""),63.0)</f>
        <v>63</v>
      </c>
      <c r="I791" s="3" t="str">
        <f t="shared" si="1"/>
        <v/>
      </c>
      <c r="J791" s="3" t="str">
        <f t="shared" si="2"/>
        <v>y</v>
      </c>
      <c r="K791" s="3" t="str">
        <f t="shared" si="3"/>
        <v>y</v>
      </c>
      <c r="L791" s="3" t="str">
        <f t="shared" si="4"/>
        <v/>
      </c>
      <c r="N791" s="3" t="str">
        <f t="shared" si="5"/>
        <v/>
      </c>
      <c r="O791" s="3" t="str">
        <f t="shared" si="6"/>
        <v/>
      </c>
      <c r="Q791" s="3" t="str">
        <f t="shared" si="7"/>
        <v/>
      </c>
      <c r="U791" s="3">
        <f t="shared" si="8"/>
        <v>1</v>
      </c>
      <c r="V791" s="3" t="str">
        <f t="shared" si="9"/>
        <v>Överlapp</v>
      </c>
      <c r="W791" s="3" t="str">
        <f t="shared" si="10"/>
        <v>Överlapp</v>
      </c>
      <c r="X791" s="3" t="str">
        <f t="shared" si="11"/>
        <v/>
      </c>
    </row>
    <row r="792">
      <c r="A792" s="1" t="s">
        <v>793</v>
      </c>
      <c r="B792" s="3" t="str">
        <f>IFERROR(__xludf.DUMMYFUNCTION("SPLIT(A792, "","")"),"44-82")</f>
        <v>44-82</v>
      </c>
      <c r="C792" s="3" t="str">
        <f>IFERROR(__xludf.DUMMYFUNCTION("""COMPUTED_VALUE"""),"22-45")</f>
        <v>22-45</v>
      </c>
      <c r="D792" s="3">
        <f>IFERROR(__xludf.DUMMYFUNCTION("SPLIT(B792, ""-"")"),44.0)</f>
        <v>44</v>
      </c>
      <c r="E792" s="3">
        <f>IFERROR(__xludf.DUMMYFUNCTION("""COMPUTED_VALUE"""),82.0)</f>
        <v>82</v>
      </c>
      <c r="F792" s="3">
        <f>IFERROR(__xludf.DUMMYFUNCTION("SPLIT(C792, ""-"")"),22.0)</f>
        <v>22</v>
      </c>
      <c r="G792" s="3">
        <f>IFERROR(__xludf.DUMMYFUNCTION("""COMPUTED_VALUE"""),45.0)</f>
        <v>45</v>
      </c>
      <c r="I792" s="3" t="str">
        <f t="shared" si="1"/>
        <v/>
      </c>
      <c r="J792" s="3" t="str">
        <f t="shared" si="2"/>
        <v>y</v>
      </c>
      <c r="K792" s="3" t="str">
        <f t="shared" si="3"/>
        <v>y</v>
      </c>
      <c r="L792" s="3" t="str">
        <f t="shared" si="4"/>
        <v/>
      </c>
      <c r="N792" s="3" t="str">
        <f t="shared" si="5"/>
        <v/>
      </c>
      <c r="O792" s="3" t="str">
        <f t="shared" si="6"/>
        <v/>
      </c>
      <c r="Q792" s="3" t="str">
        <f t="shared" si="7"/>
        <v/>
      </c>
      <c r="U792" s="3">
        <f t="shared" si="8"/>
        <v>1</v>
      </c>
      <c r="V792" s="3" t="str">
        <f t="shared" si="9"/>
        <v>Överlapp</v>
      </c>
      <c r="W792" s="3" t="str">
        <f t="shared" si="10"/>
        <v>Överlapp</v>
      </c>
      <c r="X792" s="3" t="str">
        <f t="shared" si="11"/>
        <v/>
      </c>
    </row>
    <row r="793">
      <c r="A793" s="1" t="s">
        <v>794</v>
      </c>
      <c r="B793" s="3" t="str">
        <f>IFERROR(__xludf.DUMMYFUNCTION("SPLIT(A793, "","")"),"5-96")</f>
        <v>5-96</v>
      </c>
      <c r="C793" s="3" t="str">
        <f>IFERROR(__xludf.DUMMYFUNCTION("""COMPUTED_VALUE"""),"4-96")</f>
        <v>4-96</v>
      </c>
      <c r="D793" s="3">
        <f>IFERROR(__xludf.DUMMYFUNCTION("SPLIT(B793, ""-"")"),5.0)</f>
        <v>5</v>
      </c>
      <c r="E793" s="3">
        <f>IFERROR(__xludf.DUMMYFUNCTION("""COMPUTED_VALUE"""),96.0)</f>
        <v>96</v>
      </c>
      <c r="F793" s="3">
        <f>IFERROR(__xludf.DUMMYFUNCTION("SPLIT(C793, ""-"")"),4.0)</f>
        <v>4</v>
      </c>
      <c r="G793" s="3">
        <f>IFERROR(__xludf.DUMMYFUNCTION("""COMPUTED_VALUE"""),96.0)</f>
        <v>96</v>
      </c>
      <c r="I793" s="3" t="str">
        <f t="shared" si="1"/>
        <v/>
      </c>
      <c r="J793" s="3" t="str">
        <f t="shared" si="2"/>
        <v>y</v>
      </c>
      <c r="K793" s="3" t="str">
        <f t="shared" si="3"/>
        <v>y</v>
      </c>
      <c r="L793" s="3" t="str">
        <f t="shared" si="4"/>
        <v>y</v>
      </c>
      <c r="N793" s="3" t="str">
        <f t="shared" si="5"/>
        <v/>
      </c>
      <c r="O793" s="3">
        <f t="shared" si="6"/>
        <v>1</v>
      </c>
      <c r="Q793" s="3">
        <f t="shared" si="7"/>
        <v>1</v>
      </c>
      <c r="U793" s="3" t="str">
        <f t="shared" si="8"/>
        <v>Överlapp</v>
      </c>
      <c r="V793" s="3" t="str">
        <f t="shared" si="9"/>
        <v>Överlapp</v>
      </c>
      <c r="W793" s="3" t="str">
        <f t="shared" si="10"/>
        <v>Överlapp</v>
      </c>
      <c r="X793" s="3" t="str">
        <f t="shared" si="11"/>
        <v/>
      </c>
    </row>
    <row r="794">
      <c r="A794" s="1" t="s">
        <v>795</v>
      </c>
      <c r="B794" s="3" t="str">
        <f>IFERROR(__xludf.DUMMYFUNCTION("SPLIT(A794, "","")"),"2-98")</f>
        <v>2-98</v>
      </c>
      <c r="C794" s="4">
        <f>IFERROR(__xludf.DUMMYFUNCTION("""COMPUTED_VALUE"""),44562.0)</f>
        <v>44562</v>
      </c>
      <c r="D794" s="3">
        <f>IFERROR(__xludf.DUMMYFUNCTION("SPLIT(B794, ""-"")"),2.0)</f>
        <v>2</v>
      </c>
      <c r="E794" s="3">
        <f>IFERROR(__xludf.DUMMYFUNCTION("""COMPUTED_VALUE"""),98.0)</f>
        <v>98</v>
      </c>
      <c r="F794" s="3">
        <f>IFERROR(__xludf.DUMMYFUNCTION("SPLIT(C794, ""-"")"),1.0)</f>
        <v>1</v>
      </c>
      <c r="G794" s="3">
        <f>IFERROR(__xludf.DUMMYFUNCTION("""COMPUTED_VALUE"""),1.0)</f>
        <v>1</v>
      </c>
      <c r="I794" s="3" t="str">
        <f t="shared" si="1"/>
        <v/>
      </c>
      <c r="J794" s="3" t="str">
        <f t="shared" si="2"/>
        <v>y</v>
      </c>
      <c r="K794" s="3" t="str">
        <f t="shared" si="3"/>
        <v>y</v>
      </c>
      <c r="L794" s="3" t="str">
        <f t="shared" si="4"/>
        <v/>
      </c>
      <c r="N794" s="3" t="str">
        <f t="shared" si="5"/>
        <v/>
      </c>
      <c r="O794" s="3" t="str">
        <f t="shared" si="6"/>
        <v/>
      </c>
      <c r="Q794" s="3" t="str">
        <f t="shared" si="7"/>
        <v/>
      </c>
      <c r="U794" s="3">
        <f t="shared" si="8"/>
        <v>1</v>
      </c>
      <c r="V794" s="3" t="str">
        <f t="shared" si="9"/>
        <v>Överlapp</v>
      </c>
      <c r="W794" s="3">
        <f t="shared" si="10"/>
        <v>1</v>
      </c>
      <c r="X794" s="3">
        <f t="shared" si="11"/>
        <v>1</v>
      </c>
    </row>
    <row r="795">
      <c r="A795" s="1" t="s">
        <v>796</v>
      </c>
      <c r="B795" s="3" t="str">
        <f>IFERROR(__xludf.DUMMYFUNCTION("SPLIT(A795, "","")"),"13-86")</f>
        <v>13-86</v>
      </c>
      <c r="C795" s="3" t="str">
        <f>IFERROR(__xludf.DUMMYFUNCTION("""COMPUTED_VALUE"""),"43-85")</f>
        <v>43-85</v>
      </c>
      <c r="D795" s="3">
        <f>IFERROR(__xludf.DUMMYFUNCTION("SPLIT(B795, ""-"")"),13.0)</f>
        <v>13</v>
      </c>
      <c r="E795" s="3">
        <f>IFERROR(__xludf.DUMMYFUNCTION("""COMPUTED_VALUE"""),86.0)</f>
        <v>86</v>
      </c>
      <c r="F795" s="3">
        <f>IFERROR(__xludf.DUMMYFUNCTION("SPLIT(C795, ""-"")"),43.0)</f>
        <v>43</v>
      </c>
      <c r="G795" s="3">
        <f>IFERROR(__xludf.DUMMYFUNCTION("""COMPUTED_VALUE"""),85.0)</f>
        <v>85</v>
      </c>
      <c r="I795" s="3" t="str">
        <f t="shared" si="1"/>
        <v>y</v>
      </c>
      <c r="J795" s="3" t="str">
        <f t="shared" si="2"/>
        <v>y</v>
      </c>
      <c r="K795" s="3" t="str">
        <f t="shared" si="3"/>
        <v/>
      </c>
      <c r="L795" s="3" t="str">
        <f t="shared" si="4"/>
        <v/>
      </c>
      <c r="N795" s="3">
        <f t="shared" si="5"/>
        <v>1</v>
      </c>
      <c r="O795" s="3" t="str">
        <f t="shared" si="6"/>
        <v/>
      </c>
      <c r="Q795" s="3">
        <f t="shared" si="7"/>
        <v>1</v>
      </c>
      <c r="U795" s="3">
        <f t="shared" si="8"/>
        <v>1</v>
      </c>
      <c r="V795" s="3" t="str">
        <f t="shared" si="9"/>
        <v>Överlapp</v>
      </c>
      <c r="W795" s="3" t="str">
        <f t="shared" si="10"/>
        <v>Överlapp</v>
      </c>
      <c r="X795" s="3" t="str">
        <f t="shared" si="11"/>
        <v/>
      </c>
    </row>
    <row r="796">
      <c r="A796" s="1" t="s">
        <v>797</v>
      </c>
      <c r="B796" s="3" t="str">
        <f>IFERROR(__xludf.DUMMYFUNCTION("SPLIT(A796, "","")"),"14-91")</f>
        <v>14-91</v>
      </c>
      <c r="C796" s="3" t="str">
        <f>IFERROR(__xludf.DUMMYFUNCTION("""COMPUTED_VALUE"""),"14-90")</f>
        <v>14-90</v>
      </c>
      <c r="D796" s="3">
        <f>IFERROR(__xludf.DUMMYFUNCTION("SPLIT(B796, ""-"")"),14.0)</f>
        <v>14</v>
      </c>
      <c r="E796" s="3">
        <f>IFERROR(__xludf.DUMMYFUNCTION("""COMPUTED_VALUE"""),91.0)</f>
        <v>91</v>
      </c>
      <c r="F796" s="3">
        <f>IFERROR(__xludf.DUMMYFUNCTION("SPLIT(C796, ""-"")"),14.0)</f>
        <v>14</v>
      </c>
      <c r="G796" s="3">
        <f>IFERROR(__xludf.DUMMYFUNCTION("""COMPUTED_VALUE"""),90.0)</f>
        <v>90</v>
      </c>
      <c r="I796" s="3" t="str">
        <f t="shared" si="1"/>
        <v>y</v>
      </c>
      <c r="J796" s="3" t="str">
        <f t="shared" si="2"/>
        <v>y</v>
      </c>
      <c r="K796" s="3" t="str">
        <f t="shared" si="3"/>
        <v>y</v>
      </c>
      <c r="L796" s="3" t="str">
        <f t="shared" si="4"/>
        <v/>
      </c>
      <c r="N796" s="3">
        <f t="shared" si="5"/>
        <v>1</v>
      </c>
      <c r="O796" s="3" t="str">
        <f t="shared" si="6"/>
        <v/>
      </c>
      <c r="Q796" s="3">
        <f t="shared" si="7"/>
        <v>1</v>
      </c>
      <c r="U796" s="3" t="str">
        <f t="shared" si="8"/>
        <v>Överlapp</v>
      </c>
      <c r="V796" s="3" t="str">
        <f t="shared" si="9"/>
        <v>Överlapp</v>
      </c>
      <c r="W796" s="3" t="str">
        <f t="shared" si="10"/>
        <v>Överlapp</v>
      </c>
      <c r="X796" s="3" t="str">
        <f t="shared" si="11"/>
        <v/>
      </c>
    </row>
    <row r="797">
      <c r="A797" s="1" t="s">
        <v>798</v>
      </c>
      <c r="B797" s="3" t="str">
        <f>IFERROR(__xludf.DUMMYFUNCTION("SPLIT(A797, "","")"),"13-50")</f>
        <v>13-50</v>
      </c>
      <c r="C797" s="3" t="str">
        <f>IFERROR(__xludf.DUMMYFUNCTION("""COMPUTED_VALUE"""),"7-62")</f>
        <v>7-62</v>
      </c>
      <c r="D797" s="3">
        <f>IFERROR(__xludf.DUMMYFUNCTION("SPLIT(B797, ""-"")"),13.0)</f>
        <v>13</v>
      </c>
      <c r="E797" s="3">
        <f>IFERROR(__xludf.DUMMYFUNCTION("""COMPUTED_VALUE"""),50.0)</f>
        <v>50</v>
      </c>
      <c r="F797" s="3">
        <f>IFERROR(__xludf.DUMMYFUNCTION("SPLIT(C797, ""-"")"),7.0)</f>
        <v>7</v>
      </c>
      <c r="G797" s="3">
        <f>IFERROR(__xludf.DUMMYFUNCTION("""COMPUTED_VALUE"""),62.0)</f>
        <v>62</v>
      </c>
      <c r="I797" s="3" t="str">
        <f t="shared" si="1"/>
        <v/>
      </c>
      <c r="J797" s="3" t="str">
        <f t="shared" si="2"/>
        <v/>
      </c>
      <c r="K797" s="3" t="str">
        <f t="shared" si="3"/>
        <v>y</v>
      </c>
      <c r="L797" s="3" t="str">
        <f t="shared" si="4"/>
        <v>y</v>
      </c>
      <c r="N797" s="3" t="str">
        <f t="shared" si="5"/>
        <v/>
      </c>
      <c r="O797" s="3">
        <f t="shared" si="6"/>
        <v>1</v>
      </c>
      <c r="Q797" s="3">
        <f t="shared" si="7"/>
        <v>1</v>
      </c>
      <c r="U797" s="3">
        <f t="shared" si="8"/>
        <v>1</v>
      </c>
      <c r="V797" s="3" t="str">
        <f t="shared" si="9"/>
        <v>Överlapp</v>
      </c>
      <c r="W797" s="3" t="str">
        <f t="shared" si="10"/>
        <v>Överlapp</v>
      </c>
      <c r="X797" s="3" t="str">
        <f t="shared" si="11"/>
        <v/>
      </c>
    </row>
    <row r="798">
      <c r="A798" s="1" t="s">
        <v>799</v>
      </c>
      <c r="B798" s="3" t="str">
        <f>IFERROR(__xludf.DUMMYFUNCTION("SPLIT(A798, "","")"),"90-90")</f>
        <v>90-90</v>
      </c>
      <c r="C798" s="3" t="str">
        <f>IFERROR(__xludf.DUMMYFUNCTION("""COMPUTED_VALUE"""),"7-90")</f>
        <v>7-90</v>
      </c>
      <c r="D798" s="3">
        <f>IFERROR(__xludf.DUMMYFUNCTION("SPLIT(B798, ""-"")"),90.0)</f>
        <v>90</v>
      </c>
      <c r="E798" s="3">
        <f>IFERROR(__xludf.DUMMYFUNCTION("""COMPUTED_VALUE"""),90.0)</f>
        <v>90</v>
      </c>
      <c r="F798" s="3">
        <f>IFERROR(__xludf.DUMMYFUNCTION("SPLIT(C798, ""-"")"),7.0)</f>
        <v>7</v>
      </c>
      <c r="G798" s="3">
        <f>IFERROR(__xludf.DUMMYFUNCTION("""COMPUTED_VALUE"""),90.0)</f>
        <v>90</v>
      </c>
      <c r="I798" s="3" t="str">
        <f t="shared" si="1"/>
        <v/>
      </c>
      <c r="J798" s="3" t="str">
        <f t="shared" si="2"/>
        <v>y</v>
      </c>
      <c r="K798" s="3" t="str">
        <f t="shared" si="3"/>
        <v>y</v>
      </c>
      <c r="L798" s="3" t="str">
        <f t="shared" si="4"/>
        <v>y</v>
      </c>
      <c r="N798" s="3" t="str">
        <f t="shared" si="5"/>
        <v/>
      </c>
      <c r="O798" s="3">
        <f t="shared" si="6"/>
        <v>1</v>
      </c>
      <c r="Q798" s="3">
        <f t="shared" si="7"/>
        <v>1</v>
      </c>
      <c r="U798" s="3" t="str">
        <f t="shared" si="8"/>
        <v>Överlapp</v>
      </c>
      <c r="V798" s="3" t="str">
        <f t="shared" si="9"/>
        <v>Överlapp</v>
      </c>
      <c r="W798" s="3" t="str">
        <f t="shared" si="10"/>
        <v>Överlapp</v>
      </c>
      <c r="X798" s="3" t="str">
        <f t="shared" si="11"/>
        <v/>
      </c>
    </row>
    <row r="799">
      <c r="A799" s="1" t="s">
        <v>800</v>
      </c>
      <c r="B799" s="3" t="str">
        <f>IFERROR(__xludf.DUMMYFUNCTION("SPLIT(A799, "","")"),"8-33")</f>
        <v>8-33</v>
      </c>
      <c r="C799" s="3" t="str">
        <f>IFERROR(__xludf.DUMMYFUNCTION("""COMPUTED_VALUE"""),"7-17")</f>
        <v>7-17</v>
      </c>
      <c r="D799" s="3">
        <f>IFERROR(__xludf.DUMMYFUNCTION("SPLIT(B799, ""-"")"),8.0)</f>
        <v>8</v>
      </c>
      <c r="E799" s="3">
        <f>IFERROR(__xludf.DUMMYFUNCTION("""COMPUTED_VALUE"""),33.0)</f>
        <v>33</v>
      </c>
      <c r="F799" s="3">
        <f>IFERROR(__xludf.DUMMYFUNCTION("SPLIT(C799, ""-"")"),7.0)</f>
        <v>7</v>
      </c>
      <c r="G799" s="3">
        <f>IFERROR(__xludf.DUMMYFUNCTION("""COMPUTED_VALUE"""),17.0)</f>
        <v>17</v>
      </c>
      <c r="I799" s="3" t="str">
        <f t="shared" si="1"/>
        <v/>
      </c>
      <c r="J799" s="3" t="str">
        <f t="shared" si="2"/>
        <v>y</v>
      </c>
      <c r="K799" s="3" t="str">
        <f t="shared" si="3"/>
        <v>y</v>
      </c>
      <c r="L799" s="3" t="str">
        <f t="shared" si="4"/>
        <v/>
      </c>
      <c r="N799" s="3" t="str">
        <f t="shared" si="5"/>
        <v/>
      </c>
      <c r="O799" s="3" t="str">
        <f t="shared" si="6"/>
        <v/>
      </c>
      <c r="Q799" s="3" t="str">
        <f t="shared" si="7"/>
        <v/>
      </c>
      <c r="U799" s="3">
        <f t="shared" si="8"/>
        <v>1</v>
      </c>
      <c r="V799" s="3" t="str">
        <f t="shared" si="9"/>
        <v>Överlapp</v>
      </c>
      <c r="W799" s="3" t="str">
        <f t="shared" si="10"/>
        <v>Överlapp</v>
      </c>
      <c r="X799" s="3" t="str">
        <f t="shared" si="11"/>
        <v/>
      </c>
    </row>
    <row r="800">
      <c r="A800" s="1" t="s">
        <v>801</v>
      </c>
      <c r="B800" s="3" t="str">
        <f>IFERROR(__xludf.DUMMYFUNCTION("SPLIT(A800, "","")"),"35-62")</f>
        <v>35-62</v>
      </c>
      <c r="C800" s="3" t="str">
        <f>IFERROR(__xludf.DUMMYFUNCTION("""COMPUTED_VALUE"""),"36-63")</f>
        <v>36-63</v>
      </c>
      <c r="D800" s="3">
        <f>IFERROR(__xludf.DUMMYFUNCTION("SPLIT(B800, ""-"")"),35.0)</f>
        <v>35</v>
      </c>
      <c r="E800" s="3">
        <f>IFERROR(__xludf.DUMMYFUNCTION("""COMPUTED_VALUE"""),62.0)</f>
        <v>62</v>
      </c>
      <c r="F800" s="3">
        <f>IFERROR(__xludf.DUMMYFUNCTION("SPLIT(C800, ""-"")"),36.0)</f>
        <v>36</v>
      </c>
      <c r="G800" s="3">
        <f>IFERROR(__xludf.DUMMYFUNCTION("""COMPUTED_VALUE"""),63.0)</f>
        <v>63</v>
      </c>
      <c r="I800" s="3" t="str">
        <f t="shared" si="1"/>
        <v>y</v>
      </c>
      <c r="J800" s="3" t="str">
        <f t="shared" si="2"/>
        <v/>
      </c>
      <c r="K800" s="3" t="str">
        <f t="shared" si="3"/>
        <v/>
      </c>
      <c r="L800" s="3" t="str">
        <f t="shared" si="4"/>
        <v>y</v>
      </c>
      <c r="N800" s="3" t="str">
        <f t="shared" si="5"/>
        <v/>
      </c>
      <c r="O800" s="3" t="str">
        <f t="shared" si="6"/>
        <v/>
      </c>
      <c r="Q800" s="3" t="str">
        <f t="shared" si="7"/>
        <v/>
      </c>
      <c r="U800" s="3">
        <f t="shared" si="8"/>
        <v>1</v>
      </c>
      <c r="V800" s="3" t="str">
        <f t="shared" si="9"/>
        <v>Överlapp</v>
      </c>
      <c r="W800" s="3" t="str">
        <f t="shared" si="10"/>
        <v>Överlapp</v>
      </c>
      <c r="X800" s="3" t="str">
        <f t="shared" si="11"/>
        <v/>
      </c>
    </row>
    <row r="801">
      <c r="A801" s="1" t="s">
        <v>802</v>
      </c>
      <c r="B801" s="3" t="str">
        <f>IFERROR(__xludf.DUMMYFUNCTION("SPLIT(A801, "","")"),"37-48")</f>
        <v>37-48</v>
      </c>
      <c r="C801" s="3" t="str">
        <f>IFERROR(__xludf.DUMMYFUNCTION("""COMPUTED_VALUE"""),"17-56")</f>
        <v>17-56</v>
      </c>
      <c r="D801" s="3">
        <f>IFERROR(__xludf.DUMMYFUNCTION("SPLIT(B801, ""-"")"),37.0)</f>
        <v>37</v>
      </c>
      <c r="E801" s="3">
        <f>IFERROR(__xludf.DUMMYFUNCTION("""COMPUTED_VALUE"""),48.0)</f>
        <v>48</v>
      </c>
      <c r="F801" s="3">
        <f>IFERROR(__xludf.DUMMYFUNCTION("SPLIT(C801, ""-"")"),17.0)</f>
        <v>17</v>
      </c>
      <c r="G801" s="3">
        <f>IFERROR(__xludf.DUMMYFUNCTION("""COMPUTED_VALUE"""),56.0)</f>
        <v>56</v>
      </c>
      <c r="I801" s="3" t="str">
        <f t="shared" si="1"/>
        <v/>
      </c>
      <c r="J801" s="3" t="str">
        <f t="shared" si="2"/>
        <v/>
      </c>
      <c r="K801" s="3" t="str">
        <f t="shared" si="3"/>
        <v>y</v>
      </c>
      <c r="L801" s="3" t="str">
        <f t="shared" si="4"/>
        <v>y</v>
      </c>
      <c r="N801" s="3" t="str">
        <f t="shared" si="5"/>
        <v/>
      </c>
      <c r="O801" s="3">
        <f t="shared" si="6"/>
        <v>1</v>
      </c>
      <c r="Q801" s="3">
        <f t="shared" si="7"/>
        <v>1</v>
      </c>
      <c r="U801" s="3">
        <f t="shared" si="8"/>
        <v>1</v>
      </c>
      <c r="V801" s="3" t="str">
        <f t="shared" si="9"/>
        <v>Överlapp</v>
      </c>
      <c r="W801" s="3" t="str">
        <f t="shared" si="10"/>
        <v>Överlapp</v>
      </c>
      <c r="X801" s="3" t="str">
        <f t="shared" si="11"/>
        <v/>
      </c>
    </row>
    <row r="802">
      <c r="A802" s="1" t="s">
        <v>803</v>
      </c>
      <c r="B802" s="3" t="str">
        <f>IFERROR(__xludf.DUMMYFUNCTION("SPLIT(A802, "","")"),"69-97")</f>
        <v>69-97</v>
      </c>
      <c r="C802" s="3" t="str">
        <f>IFERROR(__xludf.DUMMYFUNCTION("""COMPUTED_VALUE"""),"69-97")</f>
        <v>69-97</v>
      </c>
      <c r="D802" s="3">
        <f>IFERROR(__xludf.DUMMYFUNCTION("SPLIT(B802, ""-"")"),69.0)</f>
        <v>69</v>
      </c>
      <c r="E802" s="3">
        <f>IFERROR(__xludf.DUMMYFUNCTION("""COMPUTED_VALUE"""),97.0)</f>
        <v>97</v>
      </c>
      <c r="F802" s="3">
        <f>IFERROR(__xludf.DUMMYFUNCTION("SPLIT(C802, ""-"")"),69.0)</f>
        <v>69</v>
      </c>
      <c r="G802" s="3">
        <f>IFERROR(__xludf.DUMMYFUNCTION("""COMPUTED_VALUE"""),97.0)</f>
        <v>97</v>
      </c>
      <c r="I802" s="3" t="str">
        <f t="shared" si="1"/>
        <v>y</v>
      </c>
      <c r="J802" s="3" t="str">
        <f t="shared" si="2"/>
        <v>y</v>
      </c>
      <c r="K802" s="3" t="str">
        <f t="shared" si="3"/>
        <v>y</v>
      </c>
      <c r="L802" s="3" t="str">
        <f t="shared" si="4"/>
        <v>y</v>
      </c>
      <c r="N802" s="3">
        <f t="shared" si="5"/>
        <v>1</v>
      </c>
      <c r="O802" s="3">
        <f t="shared" si="6"/>
        <v>1</v>
      </c>
      <c r="Q802" s="3">
        <f t="shared" si="7"/>
        <v>1</v>
      </c>
      <c r="U802" s="3" t="str">
        <f t="shared" si="8"/>
        <v>Överlapp</v>
      </c>
      <c r="V802" s="3" t="str">
        <f t="shared" si="9"/>
        <v>Överlapp</v>
      </c>
      <c r="W802" s="3" t="str">
        <f t="shared" si="10"/>
        <v>Överlapp</v>
      </c>
      <c r="X802" s="3" t="str">
        <f t="shared" si="11"/>
        <v/>
      </c>
    </row>
    <row r="803">
      <c r="A803" s="1" t="s">
        <v>804</v>
      </c>
      <c r="B803" s="3" t="str">
        <f>IFERROR(__xludf.DUMMYFUNCTION("SPLIT(A803, "","")"),"74-75")</f>
        <v>74-75</v>
      </c>
      <c r="C803" s="3" t="str">
        <f>IFERROR(__xludf.DUMMYFUNCTION("""COMPUTED_VALUE"""),"29-74")</f>
        <v>29-74</v>
      </c>
      <c r="D803" s="3">
        <f>IFERROR(__xludf.DUMMYFUNCTION("SPLIT(B803, ""-"")"),74.0)</f>
        <v>74</v>
      </c>
      <c r="E803" s="3">
        <f>IFERROR(__xludf.DUMMYFUNCTION("""COMPUTED_VALUE"""),75.0)</f>
        <v>75</v>
      </c>
      <c r="F803" s="3">
        <f>IFERROR(__xludf.DUMMYFUNCTION("SPLIT(C803, ""-"")"),29.0)</f>
        <v>29</v>
      </c>
      <c r="G803" s="3">
        <f>IFERROR(__xludf.DUMMYFUNCTION("""COMPUTED_VALUE"""),74.0)</f>
        <v>74</v>
      </c>
      <c r="I803" s="3" t="str">
        <f t="shared" si="1"/>
        <v/>
      </c>
      <c r="J803" s="3" t="str">
        <f t="shared" si="2"/>
        <v>y</v>
      </c>
      <c r="K803" s="3" t="str">
        <f t="shared" si="3"/>
        <v>y</v>
      </c>
      <c r="L803" s="3" t="str">
        <f t="shared" si="4"/>
        <v/>
      </c>
      <c r="N803" s="3" t="str">
        <f t="shared" si="5"/>
        <v/>
      </c>
      <c r="O803" s="3" t="str">
        <f t="shared" si="6"/>
        <v/>
      </c>
      <c r="Q803" s="3" t="str">
        <f t="shared" si="7"/>
        <v/>
      </c>
      <c r="U803" s="3" t="str">
        <f t="shared" si="8"/>
        <v>Överlapp</v>
      </c>
      <c r="V803" s="3" t="str">
        <f t="shared" si="9"/>
        <v>Överlapp</v>
      </c>
      <c r="W803" s="3" t="str">
        <f t="shared" si="10"/>
        <v>Överlapp</v>
      </c>
      <c r="X803" s="3" t="str">
        <f t="shared" si="11"/>
        <v/>
      </c>
    </row>
    <row r="804">
      <c r="A804" s="1" t="s">
        <v>805</v>
      </c>
      <c r="B804" s="3" t="str">
        <f>IFERROR(__xludf.DUMMYFUNCTION("SPLIT(A804, "","")"),"55-72")</f>
        <v>55-72</v>
      </c>
      <c r="C804" s="3" t="str">
        <f>IFERROR(__xludf.DUMMYFUNCTION("""COMPUTED_VALUE"""),"55-72")</f>
        <v>55-72</v>
      </c>
      <c r="D804" s="3">
        <f>IFERROR(__xludf.DUMMYFUNCTION("SPLIT(B804, ""-"")"),55.0)</f>
        <v>55</v>
      </c>
      <c r="E804" s="3">
        <f>IFERROR(__xludf.DUMMYFUNCTION("""COMPUTED_VALUE"""),72.0)</f>
        <v>72</v>
      </c>
      <c r="F804" s="3">
        <f>IFERROR(__xludf.DUMMYFUNCTION("SPLIT(C804, ""-"")"),55.0)</f>
        <v>55</v>
      </c>
      <c r="G804" s="3">
        <f>IFERROR(__xludf.DUMMYFUNCTION("""COMPUTED_VALUE"""),72.0)</f>
        <v>72</v>
      </c>
      <c r="I804" s="3" t="str">
        <f t="shared" si="1"/>
        <v>y</v>
      </c>
      <c r="J804" s="3" t="str">
        <f t="shared" si="2"/>
        <v>y</v>
      </c>
      <c r="K804" s="3" t="str">
        <f t="shared" si="3"/>
        <v>y</v>
      </c>
      <c r="L804" s="3" t="str">
        <f t="shared" si="4"/>
        <v>y</v>
      </c>
      <c r="N804" s="3">
        <f t="shared" si="5"/>
        <v>1</v>
      </c>
      <c r="O804" s="3">
        <f t="shared" si="6"/>
        <v>1</v>
      </c>
      <c r="Q804" s="3">
        <f t="shared" si="7"/>
        <v>1</v>
      </c>
      <c r="U804" s="3" t="str">
        <f t="shared" si="8"/>
        <v>Överlapp</v>
      </c>
      <c r="V804" s="3" t="str">
        <f t="shared" si="9"/>
        <v>Överlapp</v>
      </c>
      <c r="W804" s="3" t="str">
        <f t="shared" si="10"/>
        <v>Överlapp</v>
      </c>
      <c r="X804" s="3" t="str">
        <f t="shared" si="11"/>
        <v/>
      </c>
    </row>
    <row r="805">
      <c r="A805" s="1" t="s">
        <v>806</v>
      </c>
      <c r="B805" s="3" t="str">
        <f>IFERROR(__xludf.DUMMYFUNCTION("SPLIT(A805, "","")"),"28-73")</f>
        <v>28-73</v>
      </c>
      <c r="C805" s="3" t="str">
        <f>IFERROR(__xludf.DUMMYFUNCTION("""COMPUTED_VALUE"""),"28-55")</f>
        <v>28-55</v>
      </c>
      <c r="D805" s="3">
        <f>IFERROR(__xludf.DUMMYFUNCTION("SPLIT(B805, ""-"")"),28.0)</f>
        <v>28</v>
      </c>
      <c r="E805" s="3">
        <f>IFERROR(__xludf.DUMMYFUNCTION("""COMPUTED_VALUE"""),73.0)</f>
        <v>73</v>
      </c>
      <c r="F805" s="3">
        <f>IFERROR(__xludf.DUMMYFUNCTION("SPLIT(C805, ""-"")"),28.0)</f>
        <v>28</v>
      </c>
      <c r="G805" s="3">
        <f>IFERROR(__xludf.DUMMYFUNCTION("""COMPUTED_VALUE"""),55.0)</f>
        <v>55</v>
      </c>
      <c r="I805" s="3" t="str">
        <f t="shared" si="1"/>
        <v>y</v>
      </c>
      <c r="J805" s="3" t="str">
        <f t="shared" si="2"/>
        <v>y</v>
      </c>
      <c r="K805" s="3" t="str">
        <f t="shared" si="3"/>
        <v>y</v>
      </c>
      <c r="L805" s="3" t="str">
        <f t="shared" si="4"/>
        <v/>
      </c>
      <c r="N805" s="3">
        <f t="shared" si="5"/>
        <v>1</v>
      </c>
      <c r="O805" s="3" t="str">
        <f t="shared" si="6"/>
        <v/>
      </c>
      <c r="Q805" s="3">
        <f t="shared" si="7"/>
        <v>1</v>
      </c>
      <c r="U805" s="3" t="str">
        <f t="shared" si="8"/>
        <v>Överlapp</v>
      </c>
      <c r="V805" s="3" t="str">
        <f t="shared" si="9"/>
        <v>Överlapp</v>
      </c>
      <c r="W805" s="3" t="str">
        <f t="shared" si="10"/>
        <v>Överlapp</v>
      </c>
      <c r="X805" s="3" t="str">
        <f t="shared" si="11"/>
        <v/>
      </c>
    </row>
    <row r="806">
      <c r="A806" s="1" t="s">
        <v>807</v>
      </c>
      <c r="B806" s="3" t="str">
        <f>IFERROR(__xludf.DUMMYFUNCTION("SPLIT(A806, "","")"),"22-77")</f>
        <v>22-77</v>
      </c>
      <c r="C806" s="3" t="str">
        <f>IFERROR(__xludf.DUMMYFUNCTION("""COMPUTED_VALUE"""),"22-76")</f>
        <v>22-76</v>
      </c>
      <c r="D806" s="3">
        <f>IFERROR(__xludf.DUMMYFUNCTION("SPLIT(B806, ""-"")"),22.0)</f>
        <v>22</v>
      </c>
      <c r="E806" s="3">
        <f>IFERROR(__xludf.DUMMYFUNCTION("""COMPUTED_VALUE"""),77.0)</f>
        <v>77</v>
      </c>
      <c r="F806" s="3">
        <f>IFERROR(__xludf.DUMMYFUNCTION("SPLIT(C806, ""-"")"),22.0)</f>
        <v>22</v>
      </c>
      <c r="G806" s="3">
        <f>IFERROR(__xludf.DUMMYFUNCTION("""COMPUTED_VALUE"""),76.0)</f>
        <v>76</v>
      </c>
      <c r="I806" s="3" t="str">
        <f t="shared" si="1"/>
        <v>y</v>
      </c>
      <c r="J806" s="3" t="str">
        <f t="shared" si="2"/>
        <v>y</v>
      </c>
      <c r="K806" s="3" t="str">
        <f t="shared" si="3"/>
        <v>y</v>
      </c>
      <c r="L806" s="3" t="str">
        <f t="shared" si="4"/>
        <v/>
      </c>
      <c r="N806" s="3">
        <f t="shared" si="5"/>
        <v>1</v>
      </c>
      <c r="O806" s="3" t="str">
        <f t="shared" si="6"/>
        <v/>
      </c>
      <c r="Q806" s="3">
        <f t="shared" si="7"/>
        <v>1</v>
      </c>
      <c r="U806" s="3" t="str">
        <f t="shared" si="8"/>
        <v>Överlapp</v>
      </c>
      <c r="V806" s="3" t="str">
        <f t="shared" si="9"/>
        <v>Överlapp</v>
      </c>
      <c r="W806" s="3" t="str">
        <f t="shared" si="10"/>
        <v>Överlapp</v>
      </c>
      <c r="X806" s="3" t="str">
        <f t="shared" si="11"/>
        <v/>
      </c>
    </row>
    <row r="807">
      <c r="A807" s="1" t="s">
        <v>808</v>
      </c>
      <c r="B807" s="3" t="str">
        <f>IFERROR(__xludf.DUMMYFUNCTION("SPLIT(A807, "","")"),"77-83")</f>
        <v>77-83</v>
      </c>
      <c r="C807" s="3" t="str">
        <f>IFERROR(__xludf.DUMMYFUNCTION("""COMPUTED_VALUE"""),"67-83")</f>
        <v>67-83</v>
      </c>
      <c r="D807" s="3">
        <f>IFERROR(__xludf.DUMMYFUNCTION("SPLIT(B807, ""-"")"),77.0)</f>
        <v>77</v>
      </c>
      <c r="E807" s="3">
        <f>IFERROR(__xludf.DUMMYFUNCTION("""COMPUTED_VALUE"""),83.0)</f>
        <v>83</v>
      </c>
      <c r="F807" s="3">
        <f>IFERROR(__xludf.DUMMYFUNCTION("SPLIT(C807, ""-"")"),67.0)</f>
        <v>67</v>
      </c>
      <c r="G807" s="3">
        <f>IFERROR(__xludf.DUMMYFUNCTION("""COMPUTED_VALUE"""),83.0)</f>
        <v>83</v>
      </c>
      <c r="I807" s="3" t="str">
        <f t="shared" si="1"/>
        <v/>
      </c>
      <c r="J807" s="3" t="str">
        <f t="shared" si="2"/>
        <v>y</v>
      </c>
      <c r="K807" s="3" t="str">
        <f t="shared" si="3"/>
        <v>y</v>
      </c>
      <c r="L807" s="3" t="str">
        <f t="shared" si="4"/>
        <v>y</v>
      </c>
      <c r="N807" s="3" t="str">
        <f t="shared" si="5"/>
        <v/>
      </c>
      <c r="O807" s="3">
        <f t="shared" si="6"/>
        <v>1</v>
      </c>
      <c r="Q807" s="3">
        <f t="shared" si="7"/>
        <v>1</v>
      </c>
      <c r="U807" s="3" t="str">
        <f t="shared" si="8"/>
        <v>Överlapp</v>
      </c>
      <c r="V807" s="3" t="str">
        <f t="shared" si="9"/>
        <v>Överlapp</v>
      </c>
      <c r="W807" s="3" t="str">
        <f t="shared" si="10"/>
        <v>Överlapp</v>
      </c>
      <c r="X807" s="3" t="str">
        <f t="shared" si="11"/>
        <v/>
      </c>
    </row>
    <row r="808">
      <c r="A808" s="1" t="s">
        <v>809</v>
      </c>
      <c r="B808" s="3" t="str">
        <f>IFERROR(__xludf.DUMMYFUNCTION("SPLIT(A808, "","")"),"54-72")</f>
        <v>54-72</v>
      </c>
      <c r="C808" s="3" t="str">
        <f>IFERROR(__xludf.DUMMYFUNCTION("""COMPUTED_VALUE"""),"53-53")</f>
        <v>53-53</v>
      </c>
      <c r="D808" s="3">
        <f>IFERROR(__xludf.DUMMYFUNCTION("SPLIT(B808, ""-"")"),54.0)</f>
        <v>54</v>
      </c>
      <c r="E808" s="3">
        <f>IFERROR(__xludf.DUMMYFUNCTION("""COMPUTED_VALUE"""),72.0)</f>
        <v>72</v>
      </c>
      <c r="F808" s="3">
        <f>IFERROR(__xludf.DUMMYFUNCTION("SPLIT(C808, ""-"")"),53.0)</f>
        <v>53</v>
      </c>
      <c r="G808" s="3">
        <f>IFERROR(__xludf.DUMMYFUNCTION("""COMPUTED_VALUE"""),53.0)</f>
        <v>53</v>
      </c>
      <c r="I808" s="3" t="str">
        <f t="shared" si="1"/>
        <v/>
      </c>
      <c r="J808" s="3" t="str">
        <f t="shared" si="2"/>
        <v>y</v>
      </c>
      <c r="K808" s="3" t="str">
        <f t="shared" si="3"/>
        <v>y</v>
      </c>
      <c r="L808" s="3" t="str">
        <f t="shared" si="4"/>
        <v/>
      </c>
      <c r="N808" s="3" t="str">
        <f t="shared" si="5"/>
        <v/>
      </c>
      <c r="O808" s="3" t="str">
        <f t="shared" si="6"/>
        <v/>
      </c>
      <c r="Q808" s="3" t="str">
        <f t="shared" si="7"/>
        <v/>
      </c>
      <c r="U808" s="3">
        <f t="shared" si="8"/>
        <v>1</v>
      </c>
      <c r="V808" s="3" t="str">
        <f t="shared" si="9"/>
        <v>Överlapp</v>
      </c>
      <c r="W808" s="3">
        <f t="shared" si="10"/>
        <v>1</v>
      </c>
      <c r="X808" s="3">
        <f t="shared" si="11"/>
        <v>1</v>
      </c>
    </row>
    <row r="809">
      <c r="A809" s="1" t="s">
        <v>810</v>
      </c>
      <c r="B809" s="3" t="str">
        <f>IFERROR(__xludf.DUMMYFUNCTION("SPLIT(A809, "","")"),"51-95")</f>
        <v>51-95</v>
      </c>
      <c r="C809" s="3" t="str">
        <f>IFERROR(__xludf.DUMMYFUNCTION("""COMPUTED_VALUE"""),"50-51")</f>
        <v>50-51</v>
      </c>
      <c r="D809" s="3">
        <f>IFERROR(__xludf.DUMMYFUNCTION("SPLIT(B809, ""-"")"),51.0)</f>
        <v>51</v>
      </c>
      <c r="E809" s="3">
        <f>IFERROR(__xludf.DUMMYFUNCTION("""COMPUTED_VALUE"""),95.0)</f>
        <v>95</v>
      </c>
      <c r="F809" s="3">
        <f>IFERROR(__xludf.DUMMYFUNCTION("SPLIT(C809, ""-"")"),50.0)</f>
        <v>50</v>
      </c>
      <c r="G809" s="3">
        <f>IFERROR(__xludf.DUMMYFUNCTION("""COMPUTED_VALUE"""),51.0)</f>
        <v>51</v>
      </c>
      <c r="I809" s="3" t="str">
        <f t="shared" si="1"/>
        <v/>
      </c>
      <c r="J809" s="3" t="str">
        <f t="shared" si="2"/>
        <v>y</v>
      </c>
      <c r="K809" s="3" t="str">
        <f t="shared" si="3"/>
        <v>y</v>
      </c>
      <c r="L809" s="3" t="str">
        <f t="shared" si="4"/>
        <v/>
      </c>
      <c r="N809" s="3" t="str">
        <f t="shared" si="5"/>
        <v/>
      </c>
      <c r="O809" s="3" t="str">
        <f t="shared" si="6"/>
        <v/>
      </c>
      <c r="Q809" s="3" t="str">
        <f t="shared" si="7"/>
        <v/>
      </c>
      <c r="U809" s="3" t="str">
        <f t="shared" si="8"/>
        <v>Överlapp</v>
      </c>
      <c r="V809" s="3" t="str">
        <f t="shared" si="9"/>
        <v>Överlapp</v>
      </c>
      <c r="W809" s="3" t="str">
        <f t="shared" si="10"/>
        <v>Överlapp</v>
      </c>
      <c r="X809" s="3" t="str">
        <f t="shared" si="11"/>
        <v/>
      </c>
    </row>
    <row r="810">
      <c r="A810" s="1" t="s">
        <v>811</v>
      </c>
      <c r="B810" s="3" t="str">
        <f>IFERROR(__xludf.DUMMYFUNCTION("SPLIT(A810, "","")"),"85-99")</f>
        <v>85-99</v>
      </c>
      <c r="C810" s="3" t="str">
        <f>IFERROR(__xludf.DUMMYFUNCTION("""COMPUTED_VALUE"""),"82-87")</f>
        <v>82-87</v>
      </c>
      <c r="D810" s="3">
        <f>IFERROR(__xludf.DUMMYFUNCTION("SPLIT(B810, ""-"")"),85.0)</f>
        <v>85</v>
      </c>
      <c r="E810" s="3">
        <f>IFERROR(__xludf.DUMMYFUNCTION("""COMPUTED_VALUE"""),99.0)</f>
        <v>99</v>
      </c>
      <c r="F810" s="3">
        <f>IFERROR(__xludf.DUMMYFUNCTION("SPLIT(C810, ""-"")"),82.0)</f>
        <v>82</v>
      </c>
      <c r="G810" s="3">
        <f>IFERROR(__xludf.DUMMYFUNCTION("""COMPUTED_VALUE"""),87.0)</f>
        <v>87</v>
      </c>
      <c r="I810" s="3" t="str">
        <f t="shared" si="1"/>
        <v/>
      </c>
      <c r="J810" s="3" t="str">
        <f t="shared" si="2"/>
        <v>y</v>
      </c>
      <c r="K810" s="3" t="str">
        <f t="shared" si="3"/>
        <v>y</v>
      </c>
      <c r="L810" s="3" t="str">
        <f t="shared" si="4"/>
        <v/>
      </c>
      <c r="N810" s="3" t="str">
        <f t="shared" si="5"/>
        <v/>
      </c>
      <c r="O810" s="3" t="str">
        <f t="shared" si="6"/>
        <v/>
      </c>
      <c r="Q810" s="3" t="str">
        <f t="shared" si="7"/>
        <v/>
      </c>
      <c r="U810" s="3">
        <f t="shared" si="8"/>
        <v>1</v>
      </c>
      <c r="V810" s="3" t="str">
        <f t="shared" si="9"/>
        <v>Överlapp</v>
      </c>
      <c r="W810" s="3" t="str">
        <f t="shared" si="10"/>
        <v>Överlapp</v>
      </c>
      <c r="X810" s="3" t="str">
        <f t="shared" si="11"/>
        <v/>
      </c>
    </row>
    <row r="811">
      <c r="A811" s="1" t="s">
        <v>812</v>
      </c>
      <c r="B811" s="3" t="str">
        <f>IFERROR(__xludf.DUMMYFUNCTION("SPLIT(A811, "","")"),"87-93")</f>
        <v>87-93</v>
      </c>
      <c r="C811" s="3" t="str">
        <f>IFERROR(__xludf.DUMMYFUNCTION("""COMPUTED_VALUE"""),"4-87")</f>
        <v>4-87</v>
      </c>
      <c r="D811" s="3">
        <f>IFERROR(__xludf.DUMMYFUNCTION("SPLIT(B811, ""-"")"),87.0)</f>
        <v>87</v>
      </c>
      <c r="E811" s="3">
        <f>IFERROR(__xludf.DUMMYFUNCTION("""COMPUTED_VALUE"""),93.0)</f>
        <v>93</v>
      </c>
      <c r="F811" s="3">
        <f>IFERROR(__xludf.DUMMYFUNCTION("SPLIT(C811, ""-"")"),4.0)</f>
        <v>4</v>
      </c>
      <c r="G811" s="3">
        <f>IFERROR(__xludf.DUMMYFUNCTION("""COMPUTED_VALUE"""),87.0)</f>
        <v>87</v>
      </c>
      <c r="I811" s="3" t="str">
        <f t="shared" si="1"/>
        <v/>
      </c>
      <c r="J811" s="3" t="str">
        <f t="shared" si="2"/>
        <v>y</v>
      </c>
      <c r="K811" s="3" t="str">
        <f t="shared" si="3"/>
        <v>y</v>
      </c>
      <c r="L811" s="3" t="str">
        <f t="shared" si="4"/>
        <v/>
      </c>
      <c r="N811" s="3" t="str">
        <f t="shared" si="5"/>
        <v/>
      </c>
      <c r="O811" s="3" t="str">
        <f t="shared" si="6"/>
        <v/>
      </c>
      <c r="Q811" s="3" t="str">
        <f t="shared" si="7"/>
        <v/>
      </c>
      <c r="U811" s="3" t="str">
        <f t="shared" si="8"/>
        <v>Överlapp</v>
      </c>
      <c r="V811" s="3" t="str">
        <f t="shared" si="9"/>
        <v>Överlapp</v>
      </c>
      <c r="W811" s="3" t="str">
        <f t="shared" si="10"/>
        <v>Överlapp</v>
      </c>
      <c r="X811" s="3" t="str">
        <f t="shared" si="11"/>
        <v/>
      </c>
    </row>
    <row r="812">
      <c r="A812" s="1" t="s">
        <v>813</v>
      </c>
      <c r="B812" s="3" t="str">
        <f>IFERROR(__xludf.DUMMYFUNCTION("SPLIT(A812, "","")"),"16-82")</f>
        <v>16-82</v>
      </c>
      <c r="C812" s="3" t="str">
        <f>IFERROR(__xludf.DUMMYFUNCTION("""COMPUTED_VALUE"""),"23-82")</f>
        <v>23-82</v>
      </c>
      <c r="D812" s="3">
        <f>IFERROR(__xludf.DUMMYFUNCTION("SPLIT(B812, ""-"")"),16.0)</f>
        <v>16</v>
      </c>
      <c r="E812" s="3">
        <f>IFERROR(__xludf.DUMMYFUNCTION("""COMPUTED_VALUE"""),82.0)</f>
        <v>82</v>
      </c>
      <c r="F812" s="3">
        <f>IFERROR(__xludf.DUMMYFUNCTION("SPLIT(C812, ""-"")"),23.0)</f>
        <v>23</v>
      </c>
      <c r="G812" s="3">
        <f>IFERROR(__xludf.DUMMYFUNCTION("""COMPUTED_VALUE"""),82.0)</f>
        <v>82</v>
      </c>
      <c r="I812" s="3" t="str">
        <f t="shared" si="1"/>
        <v>y</v>
      </c>
      <c r="J812" s="3" t="str">
        <f t="shared" si="2"/>
        <v>y</v>
      </c>
      <c r="K812" s="3" t="str">
        <f t="shared" si="3"/>
        <v/>
      </c>
      <c r="L812" s="3" t="str">
        <f t="shared" si="4"/>
        <v>y</v>
      </c>
      <c r="N812" s="3">
        <f t="shared" si="5"/>
        <v>1</v>
      </c>
      <c r="O812" s="3" t="str">
        <f t="shared" si="6"/>
        <v/>
      </c>
      <c r="Q812" s="3">
        <f t="shared" si="7"/>
        <v>1</v>
      </c>
      <c r="U812" s="3" t="str">
        <f t="shared" si="8"/>
        <v>Överlapp</v>
      </c>
      <c r="V812" s="3" t="str">
        <f t="shared" si="9"/>
        <v>Överlapp</v>
      </c>
      <c r="W812" s="3" t="str">
        <f t="shared" si="10"/>
        <v>Överlapp</v>
      </c>
      <c r="X812" s="3" t="str">
        <f t="shared" si="11"/>
        <v/>
      </c>
    </row>
    <row r="813">
      <c r="A813" s="1" t="s">
        <v>814</v>
      </c>
      <c r="B813" s="3" t="str">
        <f>IFERROR(__xludf.DUMMYFUNCTION("SPLIT(A813, "","")"),"3-56")</f>
        <v>3-56</v>
      </c>
      <c r="C813" s="3" t="str">
        <f>IFERROR(__xludf.DUMMYFUNCTION("""COMPUTED_VALUE"""),"2-57")</f>
        <v>2-57</v>
      </c>
      <c r="D813" s="3">
        <f>IFERROR(__xludf.DUMMYFUNCTION("SPLIT(B813, ""-"")"),3.0)</f>
        <v>3</v>
      </c>
      <c r="E813" s="3">
        <f>IFERROR(__xludf.DUMMYFUNCTION("""COMPUTED_VALUE"""),56.0)</f>
        <v>56</v>
      </c>
      <c r="F813" s="3">
        <f>IFERROR(__xludf.DUMMYFUNCTION("SPLIT(C813, ""-"")"),2.0)</f>
        <v>2</v>
      </c>
      <c r="G813" s="3">
        <f>IFERROR(__xludf.DUMMYFUNCTION("""COMPUTED_VALUE"""),57.0)</f>
        <v>57</v>
      </c>
      <c r="I813" s="3" t="str">
        <f t="shared" si="1"/>
        <v/>
      </c>
      <c r="J813" s="3" t="str">
        <f t="shared" si="2"/>
        <v/>
      </c>
      <c r="K813" s="3" t="str">
        <f t="shared" si="3"/>
        <v>y</v>
      </c>
      <c r="L813" s="3" t="str">
        <f t="shared" si="4"/>
        <v>y</v>
      </c>
      <c r="N813" s="3" t="str">
        <f t="shared" si="5"/>
        <v/>
      </c>
      <c r="O813" s="3">
        <f t="shared" si="6"/>
        <v>1</v>
      </c>
      <c r="Q813" s="3">
        <f t="shared" si="7"/>
        <v>1</v>
      </c>
      <c r="U813" s="3">
        <f t="shared" si="8"/>
        <v>1</v>
      </c>
      <c r="V813" s="3" t="str">
        <f t="shared" si="9"/>
        <v>Överlapp</v>
      </c>
      <c r="W813" s="3" t="str">
        <f t="shared" si="10"/>
        <v>Överlapp</v>
      </c>
      <c r="X813" s="3" t="str">
        <f t="shared" si="11"/>
        <v/>
      </c>
    </row>
    <row r="814">
      <c r="A814" s="1" t="s">
        <v>815</v>
      </c>
      <c r="B814" s="3" t="str">
        <f>IFERROR(__xludf.DUMMYFUNCTION("SPLIT(A814, "","")"),"19-65")</f>
        <v>19-65</v>
      </c>
      <c r="C814" s="3" t="str">
        <f>IFERROR(__xludf.DUMMYFUNCTION("""COMPUTED_VALUE"""),"20-63")</f>
        <v>20-63</v>
      </c>
      <c r="D814" s="3">
        <f>IFERROR(__xludf.DUMMYFUNCTION("SPLIT(B814, ""-"")"),19.0)</f>
        <v>19</v>
      </c>
      <c r="E814" s="3">
        <f>IFERROR(__xludf.DUMMYFUNCTION("""COMPUTED_VALUE"""),65.0)</f>
        <v>65</v>
      </c>
      <c r="F814" s="3">
        <f>IFERROR(__xludf.DUMMYFUNCTION("SPLIT(C814, ""-"")"),20.0)</f>
        <v>20</v>
      </c>
      <c r="G814" s="3">
        <f>IFERROR(__xludf.DUMMYFUNCTION("""COMPUTED_VALUE"""),63.0)</f>
        <v>63</v>
      </c>
      <c r="I814" s="3" t="str">
        <f t="shared" si="1"/>
        <v>y</v>
      </c>
      <c r="J814" s="3" t="str">
        <f t="shared" si="2"/>
        <v>y</v>
      </c>
      <c r="K814" s="3" t="str">
        <f t="shared" si="3"/>
        <v/>
      </c>
      <c r="L814" s="3" t="str">
        <f t="shared" si="4"/>
        <v/>
      </c>
      <c r="N814" s="3">
        <f t="shared" si="5"/>
        <v>1</v>
      </c>
      <c r="O814" s="3" t="str">
        <f t="shared" si="6"/>
        <v/>
      </c>
      <c r="Q814" s="3">
        <f t="shared" si="7"/>
        <v>1</v>
      </c>
      <c r="U814" s="3">
        <f t="shared" si="8"/>
        <v>1</v>
      </c>
      <c r="V814" s="3" t="str">
        <f t="shared" si="9"/>
        <v>Överlapp</v>
      </c>
      <c r="W814" s="3" t="str">
        <f t="shared" si="10"/>
        <v>Överlapp</v>
      </c>
      <c r="X814" s="3" t="str">
        <f t="shared" si="11"/>
        <v/>
      </c>
    </row>
    <row r="815">
      <c r="A815" s="1" t="s">
        <v>816</v>
      </c>
      <c r="B815" s="3" t="str">
        <f>IFERROR(__xludf.DUMMYFUNCTION("SPLIT(A815, "","")"),"1-92")</f>
        <v>1-92</v>
      </c>
      <c r="C815" s="3" t="str">
        <f>IFERROR(__xludf.DUMMYFUNCTION("""COMPUTED_VALUE"""),"59-93")</f>
        <v>59-93</v>
      </c>
      <c r="D815" s="3">
        <f>IFERROR(__xludf.DUMMYFUNCTION("SPLIT(B815, ""-"")"),1.0)</f>
        <v>1</v>
      </c>
      <c r="E815" s="3">
        <f>IFERROR(__xludf.DUMMYFUNCTION("""COMPUTED_VALUE"""),92.0)</f>
        <v>92</v>
      </c>
      <c r="F815" s="3">
        <f>IFERROR(__xludf.DUMMYFUNCTION("SPLIT(C815, ""-"")"),59.0)</f>
        <v>59</v>
      </c>
      <c r="G815" s="3">
        <f>IFERROR(__xludf.DUMMYFUNCTION("""COMPUTED_VALUE"""),93.0)</f>
        <v>93</v>
      </c>
      <c r="I815" s="3" t="str">
        <f t="shared" si="1"/>
        <v>y</v>
      </c>
      <c r="J815" s="3" t="str">
        <f t="shared" si="2"/>
        <v/>
      </c>
      <c r="K815" s="3" t="str">
        <f t="shared" si="3"/>
        <v/>
      </c>
      <c r="L815" s="3" t="str">
        <f t="shared" si="4"/>
        <v>y</v>
      </c>
      <c r="N815" s="3" t="str">
        <f t="shared" si="5"/>
        <v/>
      </c>
      <c r="O815" s="3" t="str">
        <f t="shared" si="6"/>
        <v/>
      </c>
      <c r="Q815" s="3" t="str">
        <f t="shared" si="7"/>
        <v/>
      </c>
      <c r="U815" s="3">
        <f t="shared" si="8"/>
        <v>1</v>
      </c>
      <c r="V815" s="3" t="str">
        <f t="shared" si="9"/>
        <v>Överlapp</v>
      </c>
      <c r="W815" s="3" t="str">
        <f t="shared" si="10"/>
        <v>Överlapp</v>
      </c>
      <c r="X815" s="3" t="str">
        <f t="shared" si="11"/>
        <v/>
      </c>
    </row>
    <row r="816">
      <c r="A816" s="1" t="s">
        <v>817</v>
      </c>
      <c r="B816" s="3" t="str">
        <f>IFERROR(__xludf.DUMMYFUNCTION("SPLIT(A816, "","")"),"76-89")</f>
        <v>76-89</v>
      </c>
      <c r="C816" s="3" t="str">
        <f>IFERROR(__xludf.DUMMYFUNCTION("""COMPUTED_VALUE"""),"21-77")</f>
        <v>21-77</v>
      </c>
      <c r="D816" s="3">
        <f>IFERROR(__xludf.DUMMYFUNCTION("SPLIT(B816, ""-"")"),76.0)</f>
        <v>76</v>
      </c>
      <c r="E816" s="3">
        <f>IFERROR(__xludf.DUMMYFUNCTION("""COMPUTED_VALUE"""),89.0)</f>
        <v>89</v>
      </c>
      <c r="F816" s="3">
        <f>IFERROR(__xludf.DUMMYFUNCTION("SPLIT(C816, ""-"")"),21.0)</f>
        <v>21</v>
      </c>
      <c r="G816" s="3">
        <f>IFERROR(__xludf.DUMMYFUNCTION("""COMPUTED_VALUE"""),77.0)</f>
        <v>77</v>
      </c>
      <c r="I816" s="3" t="str">
        <f t="shared" si="1"/>
        <v/>
      </c>
      <c r="J816" s="3" t="str">
        <f t="shared" si="2"/>
        <v>y</v>
      </c>
      <c r="K816" s="3" t="str">
        <f t="shared" si="3"/>
        <v>y</v>
      </c>
      <c r="L816" s="3" t="str">
        <f t="shared" si="4"/>
        <v/>
      </c>
      <c r="N816" s="3" t="str">
        <f t="shared" si="5"/>
        <v/>
      </c>
      <c r="O816" s="3" t="str">
        <f t="shared" si="6"/>
        <v/>
      </c>
      <c r="Q816" s="3" t="str">
        <f t="shared" si="7"/>
        <v/>
      </c>
      <c r="U816" s="3">
        <f t="shared" si="8"/>
        <v>1</v>
      </c>
      <c r="V816" s="3" t="str">
        <f t="shared" si="9"/>
        <v>Överlapp</v>
      </c>
      <c r="W816" s="3" t="str">
        <f t="shared" si="10"/>
        <v>Överlapp</v>
      </c>
      <c r="X816" s="3" t="str">
        <f t="shared" si="11"/>
        <v/>
      </c>
    </row>
    <row r="817">
      <c r="A817" s="1" t="s">
        <v>818</v>
      </c>
      <c r="B817" s="3" t="str">
        <f>IFERROR(__xludf.DUMMYFUNCTION("SPLIT(A817, "","")"),"89-99")</f>
        <v>89-99</v>
      </c>
      <c r="C817" s="3" t="str">
        <f>IFERROR(__xludf.DUMMYFUNCTION("""COMPUTED_VALUE"""),"10-90")</f>
        <v>10-90</v>
      </c>
      <c r="D817" s="3">
        <f>IFERROR(__xludf.DUMMYFUNCTION("SPLIT(B817, ""-"")"),89.0)</f>
        <v>89</v>
      </c>
      <c r="E817" s="3">
        <f>IFERROR(__xludf.DUMMYFUNCTION("""COMPUTED_VALUE"""),99.0)</f>
        <v>99</v>
      </c>
      <c r="F817" s="3">
        <f>IFERROR(__xludf.DUMMYFUNCTION("SPLIT(C817, ""-"")"),10.0)</f>
        <v>10</v>
      </c>
      <c r="G817" s="3">
        <f>IFERROR(__xludf.DUMMYFUNCTION("""COMPUTED_VALUE"""),90.0)</f>
        <v>90</v>
      </c>
      <c r="I817" s="3" t="str">
        <f t="shared" si="1"/>
        <v/>
      </c>
      <c r="J817" s="3" t="str">
        <f t="shared" si="2"/>
        <v>y</v>
      </c>
      <c r="K817" s="3" t="str">
        <f t="shared" si="3"/>
        <v>y</v>
      </c>
      <c r="L817" s="3" t="str">
        <f t="shared" si="4"/>
        <v/>
      </c>
      <c r="N817" s="3" t="str">
        <f t="shared" si="5"/>
        <v/>
      </c>
      <c r="O817" s="3" t="str">
        <f t="shared" si="6"/>
        <v/>
      </c>
      <c r="Q817" s="3" t="str">
        <f t="shared" si="7"/>
        <v/>
      </c>
      <c r="U817" s="3">
        <f t="shared" si="8"/>
        <v>1</v>
      </c>
      <c r="V817" s="3" t="str">
        <f t="shared" si="9"/>
        <v>Överlapp</v>
      </c>
      <c r="W817" s="3" t="str">
        <f t="shared" si="10"/>
        <v>Överlapp</v>
      </c>
      <c r="X817" s="3" t="str">
        <f t="shared" si="11"/>
        <v/>
      </c>
    </row>
    <row r="818">
      <c r="A818" s="1" t="s">
        <v>819</v>
      </c>
      <c r="B818" s="3" t="str">
        <f>IFERROR(__xludf.DUMMYFUNCTION("SPLIT(A818, "","")"),"13-93")</f>
        <v>13-93</v>
      </c>
      <c r="C818" s="3" t="str">
        <f>IFERROR(__xludf.DUMMYFUNCTION("""COMPUTED_VALUE"""),"96-96")</f>
        <v>96-96</v>
      </c>
      <c r="D818" s="3">
        <f>IFERROR(__xludf.DUMMYFUNCTION("SPLIT(B818, ""-"")"),13.0)</f>
        <v>13</v>
      </c>
      <c r="E818" s="3">
        <f>IFERROR(__xludf.DUMMYFUNCTION("""COMPUTED_VALUE"""),93.0)</f>
        <v>93</v>
      </c>
      <c r="F818" s="3">
        <f>IFERROR(__xludf.DUMMYFUNCTION("SPLIT(C818, ""-"")"),96.0)</f>
        <v>96</v>
      </c>
      <c r="G818" s="3">
        <f>IFERROR(__xludf.DUMMYFUNCTION("""COMPUTED_VALUE"""),96.0)</f>
        <v>96</v>
      </c>
      <c r="I818" s="3" t="str">
        <f t="shared" si="1"/>
        <v>y</v>
      </c>
      <c r="J818" s="3" t="str">
        <f t="shared" si="2"/>
        <v/>
      </c>
      <c r="K818" s="3" t="str">
        <f t="shared" si="3"/>
        <v/>
      </c>
      <c r="L818" s="3" t="str">
        <f t="shared" si="4"/>
        <v>y</v>
      </c>
      <c r="N818" s="3" t="str">
        <f t="shared" si="5"/>
        <v/>
      </c>
      <c r="O818" s="3" t="str">
        <f t="shared" si="6"/>
        <v/>
      </c>
      <c r="Q818" s="3" t="str">
        <f t="shared" si="7"/>
        <v/>
      </c>
      <c r="U818" s="3">
        <f t="shared" si="8"/>
        <v>1</v>
      </c>
      <c r="V818" s="3">
        <f t="shared" si="9"/>
        <v>1</v>
      </c>
      <c r="W818" s="3" t="str">
        <f t="shared" si="10"/>
        <v>Överlapp</v>
      </c>
      <c r="X818" s="3">
        <f t="shared" si="11"/>
        <v>1</v>
      </c>
    </row>
    <row r="819">
      <c r="A819" s="1" t="s">
        <v>820</v>
      </c>
      <c r="B819" s="3" t="str">
        <f>IFERROR(__xludf.DUMMYFUNCTION("SPLIT(A819, "","")"),"54-84")</f>
        <v>54-84</v>
      </c>
      <c r="C819" s="3" t="str">
        <f>IFERROR(__xludf.DUMMYFUNCTION("""COMPUTED_VALUE"""),"84-85")</f>
        <v>84-85</v>
      </c>
      <c r="D819" s="3">
        <f>IFERROR(__xludf.DUMMYFUNCTION("SPLIT(B819, ""-"")"),54.0)</f>
        <v>54</v>
      </c>
      <c r="E819" s="3">
        <f>IFERROR(__xludf.DUMMYFUNCTION("""COMPUTED_VALUE"""),84.0)</f>
        <v>84</v>
      </c>
      <c r="F819" s="3">
        <f>IFERROR(__xludf.DUMMYFUNCTION("SPLIT(C819, ""-"")"),84.0)</f>
        <v>84</v>
      </c>
      <c r="G819" s="3">
        <f>IFERROR(__xludf.DUMMYFUNCTION("""COMPUTED_VALUE"""),85.0)</f>
        <v>85</v>
      </c>
      <c r="I819" s="3" t="str">
        <f t="shared" si="1"/>
        <v>y</v>
      </c>
      <c r="J819" s="3" t="str">
        <f t="shared" si="2"/>
        <v/>
      </c>
      <c r="K819" s="3" t="str">
        <f t="shared" si="3"/>
        <v/>
      </c>
      <c r="L819" s="3" t="str">
        <f t="shared" si="4"/>
        <v>y</v>
      </c>
      <c r="N819" s="3" t="str">
        <f t="shared" si="5"/>
        <v/>
      </c>
      <c r="O819" s="3" t="str">
        <f t="shared" si="6"/>
        <v/>
      </c>
      <c r="Q819" s="3" t="str">
        <f t="shared" si="7"/>
        <v/>
      </c>
      <c r="U819" s="3" t="str">
        <f t="shared" si="8"/>
        <v>Överlapp</v>
      </c>
      <c r="V819" s="3" t="str">
        <f t="shared" si="9"/>
        <v>Överlapp</v>
      </c>
      <c r="W819" s="3" t="str">
        <f t="shared" si="10"/>
        <v>Överlapp</v>
      </c>
      <c r="X819" s="3" t="str">
        <f t="shared" si="11"/>
        <v/>
      </c>
    </row>
    <row r="820">
      <c r="A820" s="1" t="s">
        <v>821</v>
      </c>
      <c r="B820" s="3" t="str">
        <f>IFERROR(__xludf.DUMMYFUNCTION("SPLIT(A820, "","")"),"80-80")</f>
        <v>80-80</v>
      </c>
      <c r="C820" s="3" t="str">
        <f>IFERROR(__xludf.DUMMYFUNCTION("""COMPUTED_VALUE"""),"71-81")</f>
        <v>71-81</v>
      </c>
      <c r="D820" s="3">
        <f>IFERROR(__xludf.DUMMYFUNCTION("SPLIT(B820, ""-"")"),80.0)</f>
        <v>80</v>
      </c>
      <c r="E820" s="3">
        <f>IFERROR(__xludf.DUMMYFUNCTION("""COMPUTED_VALUE"""),80.0)</f>
        <v>80</v>
      </c>
      <c r="F820" s="3">
        <f>IFERROR(__xludf.DUMMYFUNCTION("SPLIT(C820, ""-"")"),71.0)</f>
        <v>71</v>
      </c>
      <c r="G820" s="3">
        <f>IFERROR(__xludf.DUMMYFUNCTION("""COMPUTED_VALUE"""),81.0)</f>
        <v>81</v>
      </c>
      <c r="I820" s="3" t="str">
        <f t="shared" si="1"/>
        <v/>
      </c>
      <c r="J820" s="3" t="str">
        <f t="shared" si="2"/>
        <v/>
      </c>
      <c r="K820" s="3" t="str">
        <f t="shared" si="3"/>
        <v>y</v>
      </c>
      <c r="L820" s="3" t="str">
        <f t="shared" si="4"/>
        <v>y</v>
      </c>
      <c r="N820" s="3" t="str">
        <f t="shared" si="5"/>
        <v/>
      </c>
      <c r="O820" s="3">
        <f t="shared" si="6"/>
        <v>1</v>
      </c>
      <c r="Q820" s="3">
        <f t="shared" si="7"/>
        <v>1</v>
      </c>
      <c r="U820" s="3">
        <f t="shared" si="8"/>
        <v>1</v>
      </c>
      <c r="V820" s="3" t="str">
        <f t="shared" si="9"/>
        <v>Överlapp</v>
      </c>
      <c r="W820" s="3" t="str">
        <f t="shared" si="10"/>
        <v>Överlapp</v>
      </c>
      <c r="X820" s="3" t="str">
        <f t="shared" si="11"/>
        <v/>
      </c>
    </row>
    <row r="821">
      <c r="A821" s="1" t="s">
        <v>822</v>
      </c>
      <c r="B821" s="3" t="str">
        <f>IFERROR(__xludf.DUMMYFUNCTION("SPLIT(A821, "","")"),"9-99")</f>
        <v>9-99</v>
      </c>
      <c r="C821" s="3" t="str">
        <f>IFERROR(__xludf.DUMMYFUNCTION("""COMPUTED_VALUE"""),"9-78")</f>
        <v>9-78</v>
      </c>
      <c r="D821" s="3">
        <f>IFERROR(__xludf.DUMMYFUNCTION("SPLIT(B821, ""-"")"),9.0)</f>
        <v>9</v>
      </c>
      <c r="E821" s="3">
        <f>IFERROR(__xludf.DUMMYFUNCTION("""COMPUTED_VALUE"""),99.0)</f>
        <v>99</v>
      </c>
      <c r="F821" s="3">
        <f>IFERROR(__xludf.DUMMYFUNCTION("SPLIT(C821, ""-"")"),9.0)</f>
        <v>9</v>
      </c>
      <c r="G821" s="3">
        <f>IFERROR(__xludf.DUMMYFUNCTION("""COMPUTED_VALUE"""),78.0)</f>
        <v>78</v>
      </c>
      <c r="I821" s="3" t="str">
        <f t="shared" si="1"/>
        <v>y</v>
      </c>
      <c r="J821" s="3" t="str">
        <f t="shared" si="2"/>
        <v>y</v>
      </c>
      <c r="K821" s="3" t="str">
        <f t="shared" si="3"/>
        <v>y</v>
      </c>
      <c r="L821" s="3" t="str">
        <f t="shared" si="4"/>
        <v/>
      </c>
      <c r="N821" s="3">
        <f t="shared" si="5"/>
        <v>1</v>
      </c>
      <c r="O821" s="3" t="str">
        <f t="shared" si="6"/>
        <v/>
      </c>
      <c r="Q821" s="3">
        <f t="shared" si="7"/>
        <v>1</v>
      </c>
      <c r="U821" s="3" t="str">
        <f t="shared" si="8"/>
        <v>Överlapp</v>
      </c>
      <c r="V821" s="3" t="str">
        <f t="shared" si="9"/>
        <v>Överlapp</v>
      </c>
      <c r="W821" s="3" t="str">
        <f t="shared" si="10"/>
        <v>Överlapp</v>
      </c>
      <c r="X821" s="3" t="str">
        <f t="shared" si="11"/>
        <v/>
      </c>
    </row>
    <row r="822">
      <c r="A822" s="1" t="s">
        <v>823</v>
      </c>
      <c r="B822" s="3" t="str">
        <f>IFERROR(__xludf.DUMMYFUNCTION("SPLIT(A822, "","")"),"11-94")</f>
        <v>11-94</v>
      </c>
      <c r="C822" s="3" t="str">
        <f>IFERROR(__xludf.DUMMYFUNCTION("""COMPUTED_VALUE"""),"10-89")</f>
        <v>10-89</v>
      </c>
      <c r="D822" s="3">
        <f>IFERROR(__xludf.DUMMYFUNCTION("SPLIT(B822, ""-"")"),11.0)</f>
        <v>11</v>
      </c>
      <c r="E822" s="3">
        <f>IFERROR(__xludf.DUMMYFUNCTION("""COMPUTED_VALUE"""),94.0)</f>
        <v>94</v>
      </c>
      <c r="F822" s="3">
        <f>IFERROR(__xludf.DUMMYFUNCTION("SPLIT(C822, ""-"")"),10.0)</f>
        <v>10</v>
      </c>
      <c r="G822" s="3">
        <f>IFERROR(__xludf.DUMMYFUNCTION("""COMPUTED_VALUE"""),89.0)</f>
        <v>89</v>
      </c>
      <c r="I822" s="3" t="str">
        <f t="shared" si="1"/>
        <v/>
      </c>
      <c r="J822" s="3" t="str">
        <f t="shared" si="2"/>
        <v>y</v>
      </c>
      <c r="K822" s="3" t="str">
        <f t="shared" si="3"/>
        <v>y</v>
      </c>
      <c r="L822" s="3" t="str">
        <f t="shared" si="4"/>
        <v/>
      </c>
      <c r="N822" s="3" t="str">
        <f t="shared" si="5"/>
        <v/>
      </c>
      <c r="O822" s="3" t="str">
        <f t="shared" si="6"/>
        <v/>
      </c>
      <c r="Q822" s="3" t="str">
        <f t="shared" si="7"/>
        <v/>
      </c>
      <c r="U822" s="3">
        <f t="shared" si="8"/>
        <v>1</v>
      </c>
      <c r="V822" s="3" t="str">
        <f t="shared" si="9"/>
        <v>Överlapp</v>
      </c>
      <c r="W822" s="3" t="str">
        <f t="shared" si="10"/>
        <v>Överlapp</v>
      </c>
      <c r="X822" s="3" t="str">
        <f t="shared" si="11"/>
        <v/>
      </c>
    </row>
    <row r="823">
      <c r="A823" s="1" t="s">
        <v>824</v>
      </c>
      <c r="B823" s="3" t="str">
        <f>IFERROR(__xludf.DUMMYFUNCTION("SPLIT(A823, "","")"),"8-61")</f>
        <v>8-61</v>
      </c>
      <c r="C823" s="3" t="str">
        <f>IFERROR(__xludf.DUMMYFUNCTION("""COMPUTED_VALUE"""),"9-92")</f>
        <v>9-92</v>
      </c>
      <c r="D823" s="3">
        <f>IFERROR(__xludf.DUMMYFUNCTION("SPLIT(B823, ""-"")"),8.0)</f>
        <v>8</v>
      </c>
      <c r="E823" s="3">
        <f>IFERROR(__xludf.DUMMYFUNCTION("""COMPUTED_VALUE"""),61.0)</f>
        <v>61</v>
      </c>
      <c r="F823" s="3">
        <f>IFERROR(__xludf.DUMMYFUNCTION("SPLIT(C823, ""-"")"),9.0)</f>
        <v>9</v>
      </c>
      <c r="G823" s="3">
        <f>IFERROR(__xludf.DUMMYFUNCTION("""COMPUTED_VALUE"""),92.0)</f>
        <v>92</v>
      </c>
      <c r="I823" s="3" t="str">
        <f t="shared" si="1"/>
        <v>y</v>
      </c>
      <c r="J823" s="3" t="str">
        <f t="shared" si="2"/>
        <v/>
      </c>
      <c r="K823" s="3" t="str">
        <f t="shared" si="3"/>
        <v/>
      </c>
      <c r="L823" s="3" t="str">
        <f t="shared" si="4"/>
        <v>y</v>
      </c>
      <c r="N823" s="3" t="str">
        <f t="shared" si="5"/>
        <v/>
      </c>
      <c r="O823" s="3" t="str">
        <f t="shared" si="6"/>
        <v/>
      </c>
      <c r="Q823" s="3" t="str">
        <f t="shared" si="7"/>
        <v/>
      </c>
      <c r="U823" s="3">
        <f t="shared" si="8"/>
        <v>1</v>
      </c>
      <c r="V823" s="3" t="str">
        <f t="shared" si="9"/>
        <v>Överlapp</v>
      </c>
      <c r="W823" s="3" t="str">
        <f t="shared" si="10"/>
        <v>Överlapp</v>
      </c>
      <c r="X823" s="3" t="str">
        <f t="shared" si="11"/>
        <v/>
      </c>
    </row>
    <row r="824">
      <c r="A824" s="1" t="s">
        <v>825</v>
      </c>
      <c r="B824" s="3" t="str">
        <f>IFERROR(__xludf.DUMMYFUNCTION("SPLIT(A824, "","")"),"80-97")</f>
        <v>80-97</v>
      </c>
      <c r="C824" s="3" t="str">
        <f>IFERROR(__xludf.DUMMYFUNCTION("""COMPUTED_VALUE"""),"81-96")</f>
        <v>81-96</v>
      </c>
      <c r="D824" s="3">
        <f>IFERROR(__xludf.DUMMYFUNCTION("SPLIT(B824, ""-"")"),80.0)</f>
        <v>80</v>
      </c>
      <c r="E824" s="3">
        <f>IFERROR(__xludf.DUMMYFUNCTION("""COMPUTED_VALUE"""),97.0)</f>
        <v>97</v>
      </c>
      <c r="F824" s="3">
        <f>IFERROR(__xludf.DUMMYFUNCTION("SPLIT(C824, ""-"")"),81.0)</f>
        <v>81</v>
      </c>
      <c r="G824" s="3">
        <f>IFERROR(__xludf.DUMMYFUNCTION("""COMPUTED_VALUE"""),96.0)</f>
        <v>96</v>
      </c>
      <c r="I824" s="3" t="str">
        <f t="shared" si="1"/>
        <v>y</v>
      </c>
      <c r="J824" s="3" t="str">
        <f t="shared" si="2"/>
        <v>y</v>
      </c>
      <c r="K824" s="3" t="str">
        <f t="shared" si="3"/>
        <v/>
      </c>
      <c r="L824" s="3" t="str">
        <f t="shared" si="4"/>
        <v/>
      </c>
      <c r="N824" s="3">
        <f t="shared" si="5"/>
        <v>1</v>
      </c>
      <c r="O824" s="3" t="str">
        <f t="shared" si="6"/>
        <v/>
      </c>
      <c r="Q824" s="3">
        <f t="shared" si="7"/>
        <v>1</v>
      </c>
      <c r="U824" s="3">
        <f t="shared" si="8"/>
        <v>1</v>
      </c>
      <c r="V824" s="3" t="str">
        <f t="shared" si="9"/>
        <v>Överlapp</v>
      </c>
      <c r="W824" s="3" t="str">
        <f t="shared" si="10"/>
        <v>Överlapp</v>
      </c>
      <c r="X824" s="3" t="str">
        <f t="shared" si="11"/>
        <v/>
      </c>
    </row>
    <row r="825">
      <c r="A825" s="1" t="s">
        <v>826</v>
      </c>
      <c r="B825" s="3" t="str">
        <f>IFERROR(__xludf.DUMMYFUNCTION("SPLIT(A825, "","")"),"84-85")</f>
        <v>84-85</v>
      </c>
      <c r="C825" s="3" t="str">
        <f>IFERROR(__xludf.DUMMYFUNCTION("""COMPUTED_VALUE"""),"83-84")</f>
        <v>83-84</v>
      </c>
      <c r="D825" s="3">
        <f>IFERROR(__xludf.DUMMYFUNCTION("SPLIT(B825, ""-"")"),84.0)</f>
        <v>84</v>
      </c>
      <c r="E825" s="3">
        <f>IFERROR(__xludf.DUMMYFUNCTION("""COMPUTED_VALUE"""),85.0)</f>
        <v>85</v>
      </c>
      <c r="F825" s="3">
        <f>IFERROR(__xludf.DUMMYFUNCTION("SPLIT(C825, ""-"")"),83.0)</f>
        <v>83</v>
      </c>
      <c r="G825" s="3">
        <f>IFERROR(__xludf.DUMMYFUNCTION("""COMPUTED_VALUE"""),84.0)</f>
        <v>84</v>
      </c>
      <c r="I825" s="3" t="str">
        <f t="shared" si="1"/>
        <v/>
      </c>
      <c r="J825" s="3" t="str">
        <f t="shared" si="2"/>
        <v>y</v>
      </c>
      <c r="K825" s="3" t="str">
        <f t="shared" si="3"/>
        <v>y</v>
      </c>
      <c r="L825" s="3" t="str">
        <f t="shared" si="4"/>
        <v/>
      </c>
      <c r="N825" s="3" t="str">
        <f t="shared" si="5"/>
        <v/>
      </c>
      <c r="O825" s="3" t="str">
        <f t="shared" si="6"/>
        <v/>
      </c>
      <c r="Q825" s="3" t="str">
        <f t="shared" si="7"/>
        <v/>
      </c>
      <c r="U825" s="3" t="str">
        <f t="shared" si="8"/>
        <v>Överlapp</v>
      </c>
      <c r="V825" s="3" t="str">
        <f t="shared" si="9"/>
        <v>Överlapp</v>
      </c>
      <c r="W825" s="3" t="str">
        <f t="shared" si="10"/>
        <v>Överlapp</v>
      </c>
      <c r="X825" s="3" t="str">
        <f t="shared" si="11"/>
        <v/>
      </c>
    </row>
    <row r="826">
      <c r="A826" s="1" t="s">
        <v>827</v>
      </c>
      <c r="B826" s="3" t="str">
        <f>IFERROR(__xludf.DUMMYFUNCTION("SPLIT(A826, "","")"),"71-85")</f>
        <v>71-85</v>
      </c>
      <c r="C826" s="3" t="str">
        <f>IFERROR(__xludf.DUMMYFUNCTION("""COMPUTED_VALUE"""),"71-86")</f>
        <v>71-86</v>
      </c>
      <c r="D826" s="3">
        <f>IFERROR(__xludf.DUMMYFUNCTION("SPLIT(B826, ""-"")"),71.0)</f>
        <v>71</v>
      </c>
      <c r="E826" s="3">
        <f>IFERROR(__xludf.DUMMYFUNCTION("""COMPUTED_VALUE"""),85.0)</f>
        <v>85</v>
      </c>
      <c r="F826" s="3">
        <f>IFERROR(__xludf.DUMMYFUNCTION("SPLIT(C826, ""-"")"),71.0)</f>
        <v>71</v>
      </c>
      <c r="G826" s="3">
        <f>IFERROR(__xludf.DUMMYFUNCTION("""COMPUTED_VALUE"""),86.0)</f>
        <v>86</v>
      </c>
      <c r="I826" s="3" t="str">
        <f t="shared" si="1"/>
        <v>y</v>
      </c>
      <c r="J826" s="3" t="str">
        <f t="shared" si="2"/>
        <v/>
      </c>
      <c r="K826" s="3" t="str">
        <f t="shared" si="3"/>
        <v>y</v>
      </c>
      <c r="L826" s="3" t="str">
        <f t="shared" si="4"/>
        <v>y</v>
      </c>
      <c r="N826" s="3" t="str">
        <f t="shared" si="5"/>
        <v/>
      </c>
      <c r="O826" s="3">
        <f t="shared" si="6"/>
        <v>1</v>
      </c>
      <c r="Q826" s="3">
        <f t="shared" si="7"/>
        <v>1</v>
      </c>
      <c r="U826" s="3" t="str">
        <f t="shared" si="8"/>
        <v>Överlapp</v>
      </c>
      <c r="V826" s="3" t="str">
        <f t="shared" si="9"/>
        <v>Överlapp</v>
      </c>
      <c r="W826" s="3" t="str">
        <f t="shared" si="10"/>
        <v>Överlapp</v>
      </c>
      <c r="X826" s="3" t="str">
        <f t="shared" si="11"/>
        <v/>
      </c>
    </row>
    <row r="827">
      <c r="A827" s="1" t="s">
        <v>828</v>
      </c>
      <c r="B827" s="3" t="str">
        <f>IFERROR(__xludf.DUMMYFUNCTION("SPLIT(A827, "","")"),"37-98")</f>
        <v>37-98</v>
      </c>
      <c r="C827" s="3" t="str">
        <f>IFERROR(__xludf.DUMMYFUNCTION("""COMPUTED_VALUE"""),"36-99")</f>
        <v>36-99</v>
      </c>
      <c r="D827" s="3">
        <f>IFERROR(__xludf.DUMMYFUNCTION("SPLIT(B827, ""-"")"),37.0)</f>
        <v>37</v>
      </c>
      <c r="E827" s="3">
        <f>IFERROR(__xludf.DUMMYFUNCTION("""COMPUTED_VALUE"""),98.0)</f>
        <v>98</v>
      </c>
      <c r="F827" s="3">
        <f>IFERROR(__xludf.DUMMYFUNCTION("SPLIT(C827, ""-"")"),36.0)</f>
        <v>36</v>
      </c>
      <c r="G827" s="3">
        <f>IFERROR(__xludf.DUMMYFUNCTION("""COMPUTED_VALUE"""),99.0)</f>
        <v>99</v>
      </c>
      <c r="I827" s="3" t="str">
        <f t="shared" si="1"/>
        <v/>
      </c>
      <c r="J827" s="3" t="str">
        <f t="shared" si="2"/>
        <v/>
      </c>
      <c r="K827" s="3" t="str">
        <f t="shared" si="3"/>
        <v>y</v>
      </c>
      <c r="L827" s="3" t="str">
        <f t="shared" si="4"/>
        <v>y</v>
      </c>
      <c r="N827" s="3" t="str">
        <f t="shared" si="5"/>
        <v/>
      </c>
      <c r="O827" s="3">
        <f t="shared" si="6"/>
        <v>1</v>
      </c>
      <c r="Q827" s="3">
        <f t="shared" si="7"/>
        <v>1</v>
      </c>
      <c r="U827" s="3">
        <f t="shared" si="8"/>
        <v>1</v>
      </c>
      <c r="V827" s="3" t="str">
        <f t="shared" si="9"/>
        <v>Överlapp</v>
      </c>
      <c r="W827" s="3" t="str">
        <f t="shared" si="10"/>
        <v>Överlapp</v>
      </c>
      <c r="X827" s="3" t="str">
        <f t="shared" si="11"/>
        <v/>
      </c>
    </row>
    <row r="828">
      <c r="A828" s="1" t="s">
        <v>829</v>
      </c>
      <c r="B828" s="3" t="str">
        <f>IFERROR(__xludf.DUMMYFUNCTION("SPLIT(A828, "","")"),"17-96")</f>
        <v>17-96</v>
      </c>
      <c r="C828" s="3" t="str">
        <f>IFERROR(__xludf.DUMMYFUNCTION("""COMPUTED_VALUE"""),"71-96")</f>
        <v>71-96</v>
      </c>
      <c r="D828" s="3">
        <f>IFERROR(__xludf.DUMMYFUNCTION("SPLIT(B828, ""-"")"),17.0)</f>
        <v>17</v>
      </c>
      <c r="E828" s="3">
        <f>IFERROR(__xludf.DUMMYFUNCTION("""COMPUTED_VALUE"""),96.0)</f>
        <v>96</v>
      </c>
      <c r="F828" s="3">
        <f>IFERROR(__xludf.DUMMYFUNCTION("SPLIT(C828, ""-"")"),71.0)</f>
        <v>71</v>
      </c>
      <c r="G828" s="3">
        <f>IFERROR(__xludf.DUMMYFUNCTION("""COMPUTED_VALUE"""),96.0)</f>
        <v>96</v>
      </c>
      <c r="I828" s="3" t="str">
        <f t="shared" si="1"/>
        <v>y</v>
      </c>
      <c r="J828" s="3" t="str">
        <f t="shared" si="2"/>
        <v>y</v>
      </c>
      <c r="K828" s="3" t="str">
        <f t="shared" si="3"/>
        <v/>
      </c>
      <c r="L828" s="3" t="str">
        <f t="shared" si="4"/>
        <v>y</v>
      </c>
      <c r="N828" s="3">
        <f t="shared" si="5"/>
        <v>1</v>
      </c>
      <c r="O828" s="3" t="str">
        <f t="shared" si="6"/>
        <v/>
      </c>
      <c r="Q828" s="3">
        <f t="shared" si="7"/>
        <v>1</v>
      </c>
      <c r="U828" s="3" t="str">
        <f t="shared" si="8"/>
        <v>Överlapp</v>
      </c>
      <c r="V828" s="3" t="str">
        <f t="shared" si="9"/>
        <v>Överlapp</v>
      </c>
      <c r="W828" s="3" t="str">
        <f t="shared" si="10"/>
        <v>Överlapp</v>
      </c>
      <c r="X828" s="3" t="str">
        <f t="shared" si="11"/>
        <v/>
      </c>
    </row>
    <row r="829">
      <c r="A829" s="1" t="s">
        <v>830</v>
      </c>
      <c r="B829" s="3" t="str">
        <f>IFERROR(__xludf.DUMMYFUNCTION("SPLIT(A829, "","")"),"63-63")</f>
        <v>63-63</v>
      </c>
      <c r="C829" s="3" t="str">
        <f>IFERROR(__xludf.DUMMYFUNCTION("""COMPUTED_VALUE"""),"6-63")</f>
        <v>6-63</v>
      </c>
      <c r="D829" s="3">
        <f>IFERROR(__xludf.DUMMYFUNCTION("SPLIT(B829, ""-"")"),63.0)</f>
        <v>63</v>
      </c>
      <c r="E829" s="3">
        <f>IFERROR(__xludf.DUMMYFUNCTION("""COMPUTED_VALUE"""),63.0)</f>
        <v>63</v>
      </c>
      <c r="F829" s="3">
        <f>IFERROR(__xludf.DUMMYFUNCTION("SPLIT(C829, ""-"")"),6.0)</f>
        <v>6</v>
      </c>
      <c r="G829" s="3">
        <f>IFERROR(__xludf.DUMMYFUNCTION("""COMPUTED_VALUE"""),63.0)</f>
        <v>63</v>
      </c>
      <c r="I829" s="3" t="str">
        <f t="shared" si="1"/>
        <v/>
      </c>
      <c r="J829" s="3" t="str">
        <f t="shared" si="2"/>
        <v>y</v>
      </c>
      <c r="K829" s="3" t="str">
        <f t="shared" si="3"/>
        <v>y</v>
      </c>
      <c r="L829" s="3" t="str">
        <f t="shared" si="4"/>
        <v>y</v>
      </c>
      <c r="N829" s="3" t="str">
        <f t="shared" si="5"/>
        <v/>
      </c>
      <c r="O829" s="3">
        <f t="shared" si="6"/>
        <v>1</v>
      </c>
      <c r="Q829" s="3">
        <f t="shared" si="7"/>
        <v>1</v>
      </c>
      <c r="U829" s="3" t="str">
        <f t="shared" si="8"/>
        <v>Överlapp</v>
      </c>
      <c r="V829" s="3" t="str">
        <f t="shared" si="9"/>
        <v>Överlapp</v>
      </c>
      <c r="W829" s="3" t="str">
        <f t="shared" si="10"/>
        <v>Överlapp</v>
      </c>
      <c r="X829" s="3" t="str">
        <f t="shared" si="11"/>
        <v/>
      </c>
    </row>
    <row r="830">
      <c r="A830" s="1" t="s">
        <v>831</v>
      </c>
      <c r="B830" s="3" t="str">
        <f>IFERROR(__xludf.DUMMYFUNCTION("SPLIT(A830, "","")"),"13-70")</f>
        <v>13-70</v>
      </c>
      <c r="C830" s="3" t="str">
        <f>IFERROR(__xludf.DUMMYFUNCTION("""COMPUTED_VALUE"""),"1-69")</f>
        <v>1-69</v>
      </c>
      <c r="D830" s="3">
        <f>IFERROR(__xludf.DUMMYFUNCTION("SPLIT(B830, ""-"")"),13.0)</f>
        <v>13</v>
      </c>
      <c r="E830" s="3">
        <f>IFERROR(__xludf.DUMMYFUNCTION("""COMPUTED_VALUE"""),70.0)</f>
        <v>70</v>
      </c>
      <c r="F830" s="3">
        <f>IFERROR(__xludf.DUMMYFUNCTION("SPLIT(C830, ""-"")"),1.0)</f>
        <v>1</v>
      </c>
      <c r="G830" s="3">
        <f>IFERROR(__xludf.DUMMYFUNCTION("""COMPUTED_VALUE"""),69.0)</f>
        <v>69</v>
      </c>
      <c r="I830" s="3" t="str">
        <f t="shared" si="1"/>
        <v/>
      </c>
      <c r="J830" s="3" t="str">
        <f t="shared" si="2"/>
        <v>y</v>
      </c>
      <c r="K830" s="3" t="str">
        <f t="shared" si="3"/>
        <v>y</v>
      </c>
      <c r="L830" s="3" t="str">
        <f t="shared" si="4"/>
        <v/>
      </c>
      <c r="N830" s="3" t="str">
        <f t="shared" si="5"/>
        <v/>
      </c>
      <c r="O830" s="3" t="str">
        <f t="shared" si="6"/>
        <v/>
      </c>
      <c r="Q830" s="3" t="str">
        <f t="shared" si="7"/>
        <v/>
      </c>
      <c r="U830" s="3">
        <f t="shared" si="8"/>
        <v>1</v>
      </c>
      <c r="V830" s="3" t="str">
        <f t="shared" si="9"/>
        <v>Överlapp</v>
      </c>
      <c r="W830" s="3" t="str">
        <f t="shared" si="10"/>
        <v>Överlapp</v>
      </c>
      <c r="X830" s="3" t="str">
        <f t="shared" si="11"/>
        <v/>
      </c>
    </row>
    <row r="831">
      <c r="A831" s="1" t="s">
        <v>832</v>
      </c>
      <c r="B831" s="4">
        <f>IFERROR(__xludf.DUMMYFUNCTION("SPLIT(A831, "","")"),44812.0)</f>
        <v>44812</v>
      </c>
      <c r="C831" s="4">
        <f>IFERROR(__xludf.DUMMYFUNCTION("""COMPUTED_VALUE"""),44778.0)</f>
        <v>44778</v>
      </c>
      <c r="D831" s="3">
        <f>IFERROR(__xludf.DUMMYFUNCTION("SPLIT(B831, ""-"")"),8.0)</f>
        <v>8</v>
      </c>
      <c r="E831" s="3">
        <f>IFERROR(__xludf.DUMMYFUNCTION("""COMPUTED_VALUE"""),9.0)</f>
        <v>9</v>
      </c>
      <c r="F831" s="3">
        <f>IFERROR(__xludf.DUMMYFUNCTION("SPLIT(C831, ""-"")"),5.0)</f>
        <v>5</v>
      </c>
      <c r="G831" s="3">
        <f>IFERROR(__xludf.DUMMYFUNCTION("""COMPUTED_VALUE"""),8.0)</f>
        <v>8</v>
      </c>
      <c r="I831" s="3" t="str">
        <f t="shared" si="1"/>
        <v/>
      </c>
      <c r="J831" s="3" t="str">
        <f t="shared" si="2"/>
        <v>y</v>
      </c>
      <c r="K831" s="3" t="str">
        <f t="shared" si="3"/>
        <v>y</v>
      </c>
      <c r="L831" s="3" t="str">
        <f t="shared" si="4"/>
        <v/>
      </c>
      <c r="N831" s="3" t="str">
        <f t="shared" si="5"/>
        <v/>
      </c>
      <c r="O831" s="3" t="str">
        <f t="shared" si="6"/>
        <v/>
      </c>
      <c r="Q831" s="3" t="str">
        <f t="shared" si="7"/>
        <v/>
      </c>
      <c r="U831" s="3" t="str">
        <f t="shared" si="8"/>
        <v>Överlapp</v>
      </c>
      <c r="V831" s="3" t="str">
        <f t="shared" si="9"/>
        <v>Överlapp</v>
      </c>
      <c r="W831" s="3" t="str">
        <f t="shared" si="10"/>
        <v>Överlapp</v>
      </c>
      <c r="X831" s="3" t="str">
        <f t="shared" si="11"/>
        <v/>
      </c>
    </row>
    <row r="832">
      <c r="A832" s="1" t="s">
        <v>833</v>
      </c>
      <c r="B832" s="3" t="str">
        <f>IFERROR(__xludf.DUMMYFUNCTION("SPLIT(A832, "","")"),"60-84")</f>
        <v>60-84</v>
      </c>
      <c r="C832" s="3" t="str">
        <f>IFERROR(__xludf.DUMMYFUNCTION("""COMPUTED_VALUE"""),"60-61")</f>
        <v>60-61</v>
      </c>
      <c r="D832" s="3">
        <f>IFERROR(__xludf.DUMMYFUNCTION("SPLIT(B832, ""-"")"),60.0)</f>
        <v>60</v>
      </c>
      <c r="E832" s="3">
        <f>IFERROR(__xludf.DUMMYFUNCTION("""COMPUTED_VALUE"""),84.0)</f>
        <v>84</v>
      </c>
      <c r="F832" s="3">
        <f>IFERROR(__xludf.DUMMYFUNCTION("SPLIT(C832, ""-"")"),60.0)</f>
        <v>60</v>
      </c>
      <c r="G832" s="3">
        <f>IFERROR(__xludf.DUMMYFUNCTION("""COMPUTED_VALUE"""),61.0)</f>
        <v>61</v>
      </c>
      <c r="I832" s="3" t="str">
        <f t="shared" si="1"/>
        <v>y</v>
      </c>
      <c r="J832" s="3" t="str">
        <f t="shared" si="2"/>
        <v>y</v>
      </c>
      <c r="K832" s="3" t="str">
        <f t="shared" si="3"/>
        <v>y</v>
      </c>
      <c r="L832" s="3" t="str">
        <f t="shared" si="4"/>
        <v/>
      </c>
      <c r="N832" s="3">
        <f t="shared" si="5"/>
        <v>1</v>
      </c>
      <c r="O832" s="3" t="str">
        <f t="shared" si="6"/>
        <v/>
      </c>
      <c r="Q832" s="3">
        <f t="shared" si="7"/>
        <v>1</v>
      </c>
      <c r="U832" s="3" t="str">
        <f t="shared" si="8"/>
        <v>Överlapp</v>
      </c>
      <c r="V832" s="3" t="str">
        <f t="shared" si="9"/>
        <v>Överlapp</v>
      </c>
      <c r="W832" s="3" t="str">
        <f t="shared" si="10"/>
        <v>Överlapp</v>
      </c>
      <c r="X832" s="3" t="str">
        <f t="shared" si="11"/>
        <v/>
      </c>
    </row>
    <row r="833">
      <c r="A833" s="1" t="s">
        <v>834</v>
      </c>
      <c r="B833" s="3" t="str">
        <f>IFERROR(__xludf.DUMMYFUNCTION("SPLIT(A833, "","")"),"85-92")</f>
        <v>85-92</v>
      </c>
      <c r="C833" s="3" t="str">
        <f>IFERROR(__xludf.DUMMYFUNCTION("""COMPUTED_VALUE"""),"85-92")</f>
        <v>85-92</v>
      </c>
      <c r="D833" s="3">
        <f>IFERROR(__xludf.DUMMYFUNCTION("SPLIT(B833, ""-"")"),85.0)</f>
        <v>85</v>
      </c>
      <c r="E833" s="3">
        <f>IFERROR(__xludf.DUMMYFUNCTION("""COMPUTED_VALUE"""),92.0)</f>
        <v>92</v>
      </c>
      <c r="F833" s="3">
        <f>IFERROR(__xludf.DUMMYFUNCTION("SPLIT(C833, ""-"")"),85.0)</f>
        <v>85</v>
      </c>
      <c r="G833" s="3">
        <f>IFERROR(__xludf.DUMMYFUNCTION("""COMPUTED_VALUE"""),92.0)</f>
        <v>92</v>
      </c>
      <c r="I833" s="3" t="str">
        <f t="shared" si="1"/>
        <v>y</v>
      </c>
      <c r="J833" s="3" t="str">
        <f t="shared" si="2"/>
        <v>y</v>
      </c>
      <c r="K833" s="3" t="str">
        <f t="shared" si="3"/>
        <v>y</v>
      </c>
      <c r="L833" s="3" t="str">
        <f t="shared" si="4"/>
        <v>y</v>
      </c>
      <c r="N833" s="3">
        <f t="shared" si="5"/>
        <v>1</v>
      </c>
      <c r="O833" s="3">
        <f t="shared" si="6"/>
        <v>1</v>
      </c>
      <c r="Q833" s="3">
        <f t="shared" si="7"/>
        <v>1</v>
      </c>
      <c r="U833" s="3" t="str">
        <f t="shared" si="8"/>
        <v>Överlapp</v>
      </c>
      <c r="V833" s="3" t="str">
        <f t="shared" si="9"/>
        <v>Överlapp</v>
      </c>
      <c r="W833" s="3" t="str">
        <f t="shared" si="10"/>
        <v>Överlapp</v>
      </c>
      <c r="X833" s="3" t="str">
        <f t="shared" si="11"/>
        <v/>
      </c>
    </row>
    <row r="834">
      <c r="A834" s="1" t="s">
        <v>835</v>
      </c>
      <c r="B834" s="3" t="str">
        <f>IFERROR(__xludf.DUMMYFUNCTION("SPLIT(A834, "","")"),"46-79")</f>
        <v>46-79</v>
      </c>
      <c r="C834" s="3" t="str">
        <f>IFERROR(__xludf.DUMMYFUNCTION("""COMPUTED_VALUE"""),"45-79")</f>
        <v>45-79</v>
      </c>
      <c r="D834" s="3">
        <f>IFERROR(__xludf.DUMMYFUNCTION("SPLIT(B834, ""-"")"),46.0)</f>
        <v>46</v>
      </c>
      <c r="E834" s="3">
        <f>IFERROR(__xludf.DUMMYFUNCTION("""COMPUTED_VALUE"""),79.0)</f>
        <v>79</v>
      </c>
      <c r="F834" s="3">
        <f>IFERROR(__xludf.DUMMYFUNCTION("SPLIT(C834, ""-"")"),45.0)</f>
        <v>45</v>
      </c>
      <c r="G834" s="3">
        <f>IFERROR(__xludf.DUMMYFUNCTION("""COMPUTED_VALUE"""),79.0)</f>
        <v>79</v>
      </c>
      <c r="I834" s="3" t="str">
        <f t="shared" si="1"/>
        <v/>
      </c>
      <c r="J834" s="3" t="str">
        <f t="shared" si="2"/>
        <v>y</v>
      </c>
      <c r="K834" s="3" t="str">
        <f t="shared" si="3"/>
        <v>y</v>
      </c>
      <c r="L834" s="3" t="str">
        <f t="shared" si="4"/>
        <v>y</v>
      </c>
      <c r="N834" s="3" t="str">
        <f t="shared" si="5"/>
        <v/>
      </c>
      <c r="O834" s="3">
        <f t="shared" si="6"/>
        <v>1</v>
      </c>
      <c r="Q834" s="3">
        <f t="shared" si="7"/>
        <v>1</v>
      </c>
      <c r="U834" s="3" t="str">
        <f t="shared" si="8"/>
        <v>Överlapp</v>
      </c>
      <c r="V834" s="3" t="str">
        <f t="shared" si="9"/>
        <v>Överlapp</v>
      </c>
      <c r="W834" s="3" t="str">
        <f t="shared" si="10"/>
        <v>Överlapp</v>
      </c>
      <c r="X834" s="3" t="str">
        <f t="shared" si="11"/>
        <v/>
      </c>
    </row>
    <row r="835">
      <c r="A835" s="1" t="s">
        <v>836</v>
      </c>
      <c r="B835" s="3" t="str">
        <f>IFERROR(__xludf.DUMMYFUNCTION("SPLIT(A835, "","")"),"69-74")</f>
        <v>69-74</v>
      </c>
      <c r="C835" s="3" t="str">
        <f>IFERROR(__xludf.DUMMYFUNCTION("""COMPUTED_VALUE"""),"68-74")</f>
        <v>68-74</v>
      </c>
      <c r="D835" s="3">
        <f>IFERROR(__xludf.DUMMYFUNCTION("SPLIT(B835, ""-"")"),69.0)</f>
        <v>69</v>
      </c>
      <c r="E835" s="3">
        <f>IFERROR(__xludf.DUMMYFUNCTION("""COMPUTED_VALUE"""),74.0)</f>
        <v>74</v>
      </c>
      <c r="F835" s="3">
        <f>IFERROR(__xludf.DUMMYFUNCTION("SPLIT(C835, ""-"")"),68.0)</f>
        <v>68</v>
      </c>
      <c r="G835" s="3">
        <f>IFERROR(__xludf.DUMMYFUNCTION("""COMPUTED_VALUE"""),74.0)</f>
        <v>74</v>
      </c>
      <c r="I835" s="3" t="str">
        <f t="shared" si="1"/>
        <v/>
      </c>
      <c r="J835" s="3" t="str">
        <f t="shared" si="2"/>
        <v>y</v>
      </c>
      <c r="K835" s="3" t="str">
        <f t="shared" si="3"/>
        <v>y</v>
      </c>
      <c r="L835" s="3" t="str">
        <f t="shared" si="4"/>
        <v>y</v>
      </c>
      <c r="N835" s="3" t="str">
        <f t="shared" si="5"/>
        <v/>
      </c>
      <c r="O835" s="3">
        <f t="shared" si="6"/>
        <v>1</v>
      </c>
      <c r="Q835" s="3">
        <f t="shared" si="7"/>
        <v>1</v>
      </c>
      <c r="U835" s="3" t="str">
        <f t="shared" si="8"/>
        <v>Överlapp</v>
      </c>
      <c r="V835" s="3" t="str">
        <f t="shared" si="9"/>
        <v>Överlapp</v>
      </c>
      <c r="W835" s="3" t="str">
        <f t="shared" si="10"/>
        <v>Överlapp</v>
      </c>
      <c r="X835" s="3" t="str">
        <f t="shared" si="11"/>
        <v/>
      </c>
    </row>
    <row r="836">
      <c r="A836" s="1" t="s">
        <v>837</v>
      </c>
      <c r="B836" s="3" t="str">
        <f>IFERROR(__xludf.DUMMYFUNCTION("SPLIT(A836, "","")"),"8-85")</f>
        <v>8-85</v>
      </c>
      <c r="C836" s="3" t="str">
        <f>IFERROR(__xludf.DUMMYFUNCTION("""COMPUTED_VALUE"""),"9-84")</f>
        <v>9-84</v>
      </c>
      <c r="D836" s="3">
        <f>IFERROR(__xludf.DUMMYFUNCTION("SPLIT(B836, ""-"")"),8.0)</f>
        <v>8</v>
      </c>
      <c r="E836" s="3">
        <f>IFERROR(__xludf.DUMMYFUNCTION("""COMPUTED_VALUE"""),85.0)</f>
        <v>85</v>
      </c>
      <c r="F836" s="3">
        <f>IFERROR(__xludf.DUMMYFUNCTION("SPLIT(C836, ""-"")"),9.0)</f>
        <v>9</v>
      </c>
      <c r="G836" s="3">
        <f>IFERROR(__xludf.DUMMYFUNCTION("""COMPUTED_VALUE"""),84.0)</f>
        <v>84</v>
      </c>
      <c r="I836" s="3" t="str">
        <f t="shared" si="1"/>
        <v>y</v>
      </c>
      <c r="J836" s="3" t="str">
        <f t="shared" si="2"/>
        <v>y</v>
      </c>
      <c r="K836" s="3" t="str">
        <f t="shared" si="3"/>
        <v/>
      </c>
      <c r="L836" s="3" t="str">
        <f t="shared" si="4"/>
        <v/>
      </c>
      <c r="N836" s="3">
        <f t="shared" si="5"/>
        <v>1</v>
      </c>
      <c r="O836" s="3" t="str">
        <f t="shared" si="6"/>
        <v/>
      </c>
      <c r="Q836" s="3">
        <f t="shared" si="7"/>
        <v>1</v>
      </c>
      <c r="U836" s="3">
        <f t="shared" si="8"/>
        <v>1</v>
      </c>
      <c r="V836" s="3" t="str">
        <f t="shared" si="9"/>
        <v>Överlapp</v>
      </c>
      <c r="W836" s="3" t="str">
        <f t="shared" si="10"/>
        <v>Överlapp</v>
      </c>
      <c r="X836" s="3" t="str">
        <f t="shared" si="11"/>
        <v/>
      </c>
    </row>
    <row r="837">
      <c r="A837" s="1" t="s">
        <v>838</v>
      </c>
      <c r="B837" s="3" t="str">
        <f>IFERROR(__xludf.DUMMYFUNCTION("SPLIT(A837, "","")"),"83-88")</f>
        <v>83-88</v>
      </c>
      <c r="C837" s="3" t="str">
        <f>IFERROR(__xludf.DUMMYFUNCTION("""COMPUTED_VALUE"""),"86-89")</f>
        <v>86-89</v>
      </c>
      <c r="D837" s="3">
        <f>IFERROR(__xludf.DUMMYFUNCTION("SPLIT(B837, ""-"")"),83.0)</f>
        <v>83</v>
      </c>
      <c r="E837" s="3">
        <f>IFERROR(__xludf.DUMMYFUNCTION("""COMPUTED_VALUE"""),88.0)</f>
        <v>88</v>
      </c>
      <c r="F837" s="3">
        <f>IFERROR(__xludf.DUMMYFUNCTION("SPLIT(C837, ""-"")"),86.0)</f>
        <v>86</v>
      </c>
      <c r="G837" s="3">
        <f>IFERROR(__xludf.DUMMYFUNCTION("""COMPUTED_VALUE"""),89.0)</f>
        <v>89</v>
      </c>
      <c r="I837" s="3" t="str">
        <f t="shared" si="1"/>
        <v>y</v>
      </c>
      <c r="J837" s="3" t="str">
        <f t="shared" si="2"/>
        <v/>
      </c>
      <c r="K837" s="3" t="str">
        <f t="shared" si="3"/>
        <v/>
      </c>
      <c r="L837" s="3" t="str">
        <f t="shared" si="4"/>
        <v>y</v>
      </c>
      <c r="N837" s="3" t="str">
        <f t="shared" si="5"/>
        <v/>
      </c>
      <c r="O837" s="3" t="str">
        <f t="shared" si="6"/>
        <v/>
      </c>
      <c r="Q837" s="3" t="str">
        <f t="shared" si="7"/>
        <v/>
      </c>
      <c r="U837" s="3">
        <f t="shared" si="8"/>
        <v>1</v>
      </c>
      <c r="V837" s="3" t="str">
        <f t="shared" si="9"/>
        <v>Överlapp</v>
      </c>
      <c r="W837" s="3" t="str">
        <f t="shared" si="10"/>
        <v>Överlapp</v>
      </c>
      <c r="X837" s="3" t="str">
        <f t="shared" si="11"/>
        <v/>
      </c>
    </row>
    <row r="838">
      <c r="A838" s="1" t="s">
        <v>839</v>
      </c>
      <c r="B838" s="3" t="str">
        <f>IFERROR(__xludf.DUMMYFUNCTION("SPLIT(A838, "","")"),"54-54")</f>
        <v>54-54</v>
      </c>
      <c r="C838" s="3" t="str">
        <f>IFERROR(__xludf.DUMMYFUNCTION("""COMPUTED_VALUE"""),"54-76")</f>
        <v>54-76</v>
      </c>
      <c r="D838" s="3">
        <f>IFERROR(__xludf.DUMMYFUNCTION("SPLIT(B838, ""-"")"),54.0)</f>
        <v>54</v>
      </c>
      <c r="E838" s="3">
        <f>IFERROR(__xludf.DUMMYFUNCTION("""COMPUTED_VALUE"""),54.0)</f>
        <v>54</v>
      </c>
      <c r="F838" s="3">
        <f>IFERROR(__xludf.DUMMYFUNCTION("SPLIT(C838, ""-"")"),54.0)</f>
        <v>54</v>
      </c>
      <c r="G838" s="3">
        <f>IFERROR(__xludf.DUMMYFUNCTION("""COMPUTED_VALUE"""),76.0)</f>
        <v>76</v>
      </c>
      <c r="I838" s="3" t="str">
        <f t="shared" si="1"/>
        <v>y</v>
      </c>
      <c r="J838" s="3" t="str">
        <f t="shared" si="2"/>
        <v/>
      </c>
      <c r="K838" s="3" t="str">
        <f t="shared" si="3"/>
        <v>y</v>
      </c>
      <c r="L838" s="3" t="str">
        <f t="shared" si="4"/>
        <v>y</v>
      </c>
      <c r="N838" s="3" t="str">
        <f t="shared" si="5"/>
        <v/>
      </c>
      <c r="O838" s="3">
        <f t="shared" si="6"/>
        <v>1</v>
      </c>
      <c r="Q838" s="3">
        <f t="shared" si="7"/>
        <v>1</v>
      </c>
      <c r="U838" s="3" t="str">
        <f t="shared" si="8"/>
        <v>Överlapp</v>
      </c>
      <c r="V838" s="3" t="str">
        <f t="shared" si="9"/>
        <v>Överlapp</v>
      </c>
      <c r="W838" s="3" t="str">
        <f t="shared" si="10"/>
        <v>Överlapp</v>
      </c>
      <c r="X838" s="3" t="str">
        <f t="shared" si="11"/>
        <v/>
      </c>
    </row>
    <row r="839">
      <c r="A839" s="1" t="s">
        <v>840</v>
      </c>
      <c r="B839" s="3" t="str">
        <f>IFERROR(__xludf.DUMMYFUNCTION("SPLIT(A839, "","")"),"34-36")</f>
        <v>34-36</v>
      </c>
      <c r="C839" s="3" t="str">
        <f>IFERROR(__xludf.DUMMYFUNCTION("""COMPUTED_VALUE"""),"33-34")</f>
        <v>33-34</v>
      </c>
      <c r="D839" s="3">
        <f>IFERROR(__xludf.DUMMYFUNCTION("SPLIT(B839, ""-"")"),34.0)</f>
        <v>34</v>
      </c>
      <c r="E839" s="3">
        <f>IFERROR(__xludf.DUMMYFUNCTION("""COMPUTED_VALUE"""),36.0)</f>
        <v>36</v>
      </c>
      <c r="F839" s="3">
        <f>IFERROR(__xludf.DUMMYFUNCTION("SPLIT(C839, ""-"")"),33.0)</f>
        <v>33</v>
      </c>
      <c r="G839" s="3">
        <f>IFERROR(__xludf.DUMMYFUNCTION("""COMPUTED_VALUE"""),34.0)</f>
        <v>34</v>
      </c>
      <c r="I839" s="3" t="str">
        <f t="shared" si="1"/>
        <v/>
      </c>
      <c r="J839" s="3" t="str">
        <f t="shared" si="2"/>
        <v>y</v>
      </c>
      <c r="K839" s="3" t="str">
        <f t="shared" si="3"/>
        <v>y</v>
      </c>
      <c r="L839" s="3" t="str">
        <f t="shared" si="4"/>
        <v/>
      </c>
      <c r="N839" s="3" t="str">
        <f t="shared" si="5"/>
        <v/>
      </c>
      <c r="O839" s="3" t="str">
        <f t="shared" si="6"/>
        <v/>
      </c>
      <c r="Q839" s="3" t="str">
        <f t="shared" si="7"/>
        <v/>
      </c>
      <c r="U839" s="3" t="str">
        <f t="shared" si="8"/>
        <v>Överlapp</v>
      </c>
      <c r="V839" s="3" t="str">
        <f t="shared" si="9"/>
        <v>Överlapp</v>
      </c>
      <c r="W839" s="3" t="str">
        <f t="shared" si="10"/>
        <v>Överlapp</v>
      </c>
      <c r="X839" s="3" t="str">
        <f t="shared" si="11"/>
        <v/>
      </c>
    </row>
    <row r="840">
      <c r="A840" s="1" t="s">
        <v>841</v>
      </c>
      <c r="B840" s="3" t="str">
        <f>IFERROR(__xludf.DUMMYFUNCTION("SPLIT(A840, "","")"),"1-73")</f>
        <v>1-73</v>
      </c>
      <c r="C840" s="3" t="str">
        <f>IFERROR(__xludf.DUMMYFUNCTION("""COMPUTED_VALUE"""),"2-99")</f>
        <v>2-99</v>
      </c>
      <c r="D840" s="3">
        <f>IFERROR(__xludf.DUMMYFUNCTION("SPLIT(B840, ""-"")"),1.0)</f>
        <v>1</v>
      </c>
      <c r="E840" s="3">
        <f>IFERROR(__xludf.DUMMYFUNCTION("""COMPUTED_VALUE"""),73.0)</f>
        <v>73</v>
      </c>
      <c r="F840" s="3">
        <f>IFERROR(__xludf.DUMMYFUNCTION("SPLIT(C840, ""-"")"),2.0)</f>
        <v>2</v>
      </c>
      <c r="G840" s="3">
        <f>IFERROR(__xludf.DUMMYFUNCTION("""COMPUTED_VALUE"""),99.0)</f>
        <v>99</v>
      </c>
      <c r="I840" s="3" t="str">
        <f t="shared" si="1"/>
        <v>y</v>
      </c>
      <c r="J840" s="3" t="str">
        <f t="shared" si="2"/>
        <v/>
      </c>
      <c r="K840" s="3" t="str">
        <f t="shared" si="3"/>
        <v/>
      </c>
      <c r="L840" s="3" t="str">
        <f t="shared" si="4"/>
        <v>y</v>
      </c>
      <c r="N840" s="3" t="str">
        <f t="shared" si="5"/>
        <v/>
      </c>
      <c r="O840" s="3" t="str">
        <f t="shared" si="6"/>
        <v/>
      </c>
      <c r="Q840" s="3" t="str">
        <f t="shared" si="7"/>
        <v/>
      </c>
      <c r="U840" s="3">
        <f t="shared" si="8"/>
        <v>1</v>
      </c>
      <c r="V840" s="3" t="str">
        <f t="shared" si="9"/>
        <v>Överlapp</v>
      </c>
      <c r="W840" s="3" t="str">
        <f t="shared" si="10"/>
        <v>Överlapp</v>
      </c>
      <c r="X840" s="3" t="str">
        <f t="shared" si="11"/>
        <v/>
      </c>
    </row>
    <row r="841">
      <c r="A841" s="1" t="s">
        <v>842</v>
      </c>
      <c r="B841" s="3" t="str">
        <f>IFERROR(__xludf.DUMMYFUNCTION("SPLIT(A841, "","")"),"54-60")</f>
        <v>54-60</v>
      </c>
      <c r="C841" s="3" t="str">
        <f>IFERROR(__xludf.DUMMYFUNCTION("""COMPUTED_VALUE"""),"53-61")</f>
        <v>53-61</v>
      </c>
      <c r="D841" s="3">
        <f>IFERROR(__xludf.DUMMYFUNCTION("SPLIT(B841, ""-"")"),54.0)</f>
        <v>54</v>
      </c>
      <c r="E841" s="3">
        <f>IFERROR(__xludf.DUMMYFUNCTION("""COMPUTED_VALUE"""),60.0)</f>
        <v>60</v>
      </c>
      <c r="F841" s="3">
        <f>IFERROR(__xludf.DUMMYFUNCTION("SPLIT(C841, ""-"")"),53.0)</f>
        <v>53</v>
      </c>
      <c r="G841" s="3">
        <f>IFERROR(__xludf.DUMMYFUNCTION("""COMPUTED_VALUE"""),61.0)</f>
        <v>61</v>
      </c>
      <c r="I841" s="3" t="str">
        <f t="shared" si="1"/>
        <v/>
      </c>
      <c r="J841" s="3" t="str">
        <f t="shared" si="2"/>
        <v/>
      </c>
      <c r="K841" s="3" t="str">
        <f t="shared" si="3"/>
        <v>y</v>
      </c>
      <c r="L841" s="3" t="str">
        <f t="shared" si="4"/>
        <v>y</v>
      </c>
      <c r="N841" s="3" t="str">
        <f t="shared" si="5"/>
        <v/>
      </c>
      <c r="O841" s="3">
        <f t="shared" si="6"/>
        <v>1</v>
      </c>
      <c r="Q841" s="3">
        <f t="shared" si="7"/>
        <v>1</v>
      </c>
      <c r="U841" s="3">
        <f t="shared" si="8"/>
        <v>1</v>
      </c>
      <c r="V841" s="3" t="str">
        <f t="shared" si="9"/>
        <v>Överlapp</v>
      </c>
      <c r="W841" s="3" t="str">
        <f t="shared" si="10"/>
        <v>Överlapp</v>
      </c>
      <c r="X841" s="3" t="str">
        <f t="shared" si="11"/>
        <v/>
      </c>
    </row>
    <row r="842">
      <c r="A842" s="1" t="s">
        <v>843</v>
      </c>
      <c r="B842" s="3" t="str">
        <f>IFERROR(__xludf.DUMMYFUNCTION("SPLIT(A842, "","")"),"66-95")</f>
        <v>66-95</v>
      </c>
      <c r="C842" s="3" t="str">
        <f>IFERROR(__xludf.DUMMYFUNCTION("""COMPUTED_VALUE"""),"66-66")</f>
        <v>66-66</v>
      </c>
      <c r="D842" s="3">
        <f>IFERROR(__xludf.DUMMYFUNCTION("SPLIT(B842, ""-"")"),66.0)</f>
        <v>66</v>
      </c>
      <c r="E842" s="3">
        <f>IFERROR(__xludf.DUMMYFUNCTION("""COMPUTED_VALUE"""),95.0)</f>
        <v>95</v>
      </c>
      <c r="F842" s="3">
        <f>IFERROR(__xludf.DUMMYFUNCTION("SPLIT(C842, ""-"")"),66.0)</f>
        <v>66</v>
      </c>
      <c r="G842" s="3">
        <f>IFERROR(__xludf.DUMMYFUNCTION("""COMPUTED_VALUE"""),66.0)</f>
        <v>66</v>
      </c>
      <c r="I842" s="3" t="str">
        <f t="shared" si="1"/>
        <v>y</v>
      </c>
      <c r="J842" s="3" t="str">
        <f t="shared" si="2"/>
        <v>y</v>
      </c>
      <c r="K842" s="3" t="str">
        <f t="shared" si="3"/>
        <v>y</v>
      </c>
      <c r="L842" s="3" t="str">
        <f t="shared" si="4"/>
        <v/>
      </c>
      <c r="N842" s="3">
        <f t="shared" si="5"/>
        <v>1</v>
      </c>
      <c r="O842" s="3" t="str">
        <f t="shared" si="6"/>
        <v/>
      </c>
      <c r="Q842" s="3">
        <f t="shared" si="7"/>
        <v>1</v>
      </c>
      <c r="U842" s="3" t="str">
        <f t="shared" si="8"/>
        <v>Överlapp</v>
      </c>
      <c r="V842" s="3" t="str">
        <f t="shared" si="9"/>
        <v>Överlapp</v>
      </c>
      <c r="W842" s="3" t="str">
        <f t="shared" si="10"/>
        <v>Överlapp</v>
      </c>
      <c r="X842" s="3" t="str">
        <f t="shared" si="11"/>
        <v/>
      </c>
    </row>
    <row r="843">
      <c r="A843" s="1" t="s">
        <v>844</v>
      </c>
      <c r="B843" s="3" t="str">
        <f>IFERROR(__xludf.DUMMYFUNCTION("SPLIT(A843, "","")"),"21-82")</f>
        <v>21-82</v>
      </c>
      <c r="C843" s="3" t="str">
        <f>IFERROR(__xludf.DUMMYFUNCTION("""COMPUTED_VALUE"""),"82-82")</f>
        <v>82-82</v>
      </c>
      <c r="D843" s="3">
        <f>IFERROR(__xludf.DUMMYFUNCTION("SPLIT(B843, ""-"")"),21.0)</f>
        <v>21</v>
      </c>
      <c r="E843" s="3">
        <f>IFERROR(__xludf.DUMMYFUNCTION("""COMPUTED_VALUE"""),82.0)</f>
        <v>82</v>
      </c>
      <c r="F843" s="3">
        <f>IFERROR(__xludf.DUMMYFUNCTION("SPLIT(C843, ""-"")"),82.0)</f>
        <v>82</v>
      </c>
      <c r="G843" s="3">
        <f>IFERROR(__xludf.DUMMYFUNCTION("""COMPUTED_VALUE"""),82.0)</f>
        <v>82</v>
      </c>
      <c r="I843" s="3" t="str">
        <f t="shared" si="1"/>
        <v>y</v>
      </c>
      <c r="J843" s="3" t="str">
        <f t="shared" si="2"/>
        <v>y</v>
      </c>
      <c r="K843" s="3" t="str">
        <f t="shared" si="3"/>
        <v/>
      </c>
      <c r="L843" s="3" t="str">
        <f t="shared" si="4"/>
        <v>y</v>
      </c>
      <c r="N843" s="3">
        <f t="shared" si="5"/>
        <v>1</v>
      </c>
      <c r="O843" s="3" t="str">
        <f t="shared" si="6"/>
        <v/>
      </c>
      <c r="Q843" s="3">
        <f t="shared" si="7"/>
        <v>1</v>
      </c>
      <c r="U843" s="3" t="str">
        <f t="shared" si="8"/>
        <v>Överlapp</v>
      </c>
      <c r="V843" s="3" t="str">
        <f t="shared" si="9"/>
        <v>Överlapp</v>
      </c>
      <c r="W843" s="3" t="str">
        <f t="shared" si="10"/>
        <v>Överlapp</v>
      </c>
      <c r="X843" s="3" t="str">
        <f t="shared" si="11"/>
        <v/>
      </c>
    </row>
    <row r="844">
      <c r="A844" s="1" t="s">
        <v>845</v>
      </c>
      <c r="B844" s="4">
        <f>IFERROR(__xludf.DUMMYFUNCTION("SPLIT(A844, "","")"),44623.0)</f>
        <v>44623</v>
      </c>
      <c r="C844" s="3" t="str">
        <f>IFERROR(__xludf.DUMMYFUNCTION("""COMPUTED_VALUE"""),"2-35")</f>
        <v>2-35</v>
      </c>
      <c r="D844" s="3">
        <f>IFERROR(__xludf.DUMMYFUNCTION("SPLIT(B844, ""-"")"),3.0)</f>
        <v>3</v>
      </c>
      <c r="E844" s="3">
        <f>IFERROR(__xludf.DUMMYFUNCTION("""COMPUTED_VALUE"""),3.0)</f>
        <v>3</v>
      </c>
      <c r="F844" s="3">
        <f>IFERROR(__xludf.DUMMYFUNCTION("SPLIT(C844, ""-"")"),2.0)</f>
        <v>2</v>
      </c>
      <c r="G844" s="3">
        <f>IFERROR(__xludf.DUMMYFUNCTION("""COMPUTED_VALUE"""),35.0)</f>
        <v>35</v>
      </c>
      <c r="I844" s="3" t="str">
        <f t="shared" si="1"/>
        <v/>
      </c>
      <c r="J844" s="3" t="str">
        <f t="shared" si="2"/>
        <v/>
      </c>
      <c r="K844" s="3" t="str">
        <f t="shared" si="3"/>
        <v>y</v>
      </c>
      <c r="L844" s="3" t="str">
        <f t="shared" si="4"/>
        <v>y</v>
      </c>
      <c r="N844" s="3" t="str">
        <f t="shared" si="5"/>
        <v/>
      </c>
      <c r="O844" s="3">
        <f t="shared" si="6"/>
        <v>1</v>
      </c>
      <c r="Q844" s="3">
        <f t="shared" si="7"/>
        <v>1</v>
      </c>
      <c r="U844" s="3">
        <f t="shared" si="8"/>
        <v>1</v>
      </c>
      <c r="V844" s="3" t="str">
        <f t="shared" si="9"/>
        <v>Överlapp</v>
      </c>
      <c r="W844" s="3" t="str">
        <f t="shared" si="10"/>
        <v>Överlapp</v>
      </c>
      <c r="X844" s="3" t="str">
        <f t="shared" si="11"/>
        <v/>
      </c>
    </row>
    <row r="845">
      <c r="A845" s="1" t="s">
        <v>846</v>
      </c>
      <c r="B845" s="3" t="str">
        <f>IFERROR(__xludf.DUMMYFUNCTION("SPLIT(A845, "","")"),"76-92")</f>
        <v>76-92</v>
      </c>
      <c r="C845" s="3" t="str">
        <f>IFERROR(__xludf.DUMMYFUNCTION("""COMPUTED_VALUE"""),"75-75")</f>
        <v>75-75</v>
      </c>
      <c r="D845" s="3">
        <f>IFERROR(__xludf.DUMMYFUNCTION("SPLIT(B845, ""-"")"),76.0)</f>
        <v>76</v>
      </c>
      <c r="E845" s="3">
        <f>IFERROR(__xludf.DUMMYFUNCTION("""COMPUTED_VALUE"""),92.0)</f>
        <v>92</v>
      </c>
      <c r="F845" s="3">
        <f>IFERROR(__xludf.DUMMYFUNCTION("SPLIT(C845, ""-"")"),75.0)</f>
        <v>75</v>
      </c>
      <c r="G845" s="3">
        <f>IFERROR(__xludf.DUMMYFUNCTION("""COMPUTED_VALUE"""),75.0)</f>
        <v>75</v>
      </c>
      <c r="I845" s="3" t="str">
        <f t="shared" si="1"/>
        <v/>
      </c>
      <c r="J845" s="3" t="str">
        <f t="shared" si="2"/>
        <v>y</v>
      </c>
      <c r="K845" s="3" t="str">
        <f t="shared" si="3"/>
        <v>y</v>
      </c>
      <c r="L845" s="3" t="str">
        <f t="shared" si="4"/>
        <v/>
      </c>
      <c r="N845" s="3" t="str">
        <f t="shared" si="5"/>
        <v/>
      </c>
      <c r="O845" s="3" t="str">
        <f t="shared" si="6"/>
        <v/>
      </c>
      <c r="Q845" s="3" t="str">
        <f t="shared" si="7"/>
        <v/>
      </c>
      <c r="U845" s="3">
        <f t="shared" si="8"/>
        <v>1</v>
      </c>
      <c r="V845" s="3" t="str">
        <f t="shared" si="9"/>
        <v>Överlapp</v>
      </c>
      <c r="W845" s="3">
        <f t="shared" si="10"/>
        <v>1</v>
      </c>
      <c r="X845" s="3">
        <f t="shared" si="11"/>
        <v>1</v>
      </c>
    </row>
    <row r="846">
      <c r="A846" s="1" t="s">
        <v>847</v>
      </c>
      <c r="B846" s="3" t="str">
        <f>IFERROR(__xludf.DUMMYFUNCTION("SPLIT(A846, "","")"),"24-85")</f>
        <v>24-85</v>
      </c>
      <c r="C846" s="3" t="str">
        <f>IFERROR(__xludf.DUMMYFUNCTION("""COMPUTED_VALUE"""),"85-88")</f>
        <v>85-88</v>
      </c>
      <c r="D846" s="3">
        <f>IFERROR(__xludf.DUMMYFUNCTION("SPLIT(B846, ""-"")"),24.0)</f>
        <v>24</v>
      </c>
      <c r="E846" s="3">
        <f>IFERROR(__xludf.DUMMYFUNCTION("""COMPUTED_VALUE"""),85.0)</f>
        <v>85</v>
      </c>
      <c r="F846" s="3">
        <f>IFERROR(__xludf.DUMMYFUNCTION("SPLIT(C846, ""-"")"),85.0)</f>
        <v>85</v>
      </c>
      <c r="G846" s="3">
        <f>IFERROR(__xludf.DUMMYFUNCTION("""COMPUTED_VALUE"""),88.0)</f>
        <v>88</v>
      </c>
      <c r="I846" s="3" t="str">
        <f t="shared" si="1"/>
        <v>y</v>
      </c>
      <c r="J846" s="3" t="str">
        <f t="shared" si="2"/>
        <v/>
      </c>
      <c r="K846" s="3" t="str">
        <f t="shared" si="3"/>
        <v/>
      </c>
      <c r="L846" s="3" t="str">
        <f t="shared" si="4"/>
        <v>y</v>
      </c>
      <c r="N846" s="3" t="str">
        <f t="shared" si="5"/>
        <v/>
      </c>
      <c r="O846" s="3" t="str">
        <f t="shared" si="6"/>
        <v/>
      </c>
      <c r="Q846" s="3" t="str">
        <f t="shared" si="7"/>
        <v/>
      </c>
      <c r="U846" s="3" t="str">
        <f t="shared" si="8"/>
        <v>Överlapp</v>
      </c>
      <c r="V846" s="3" t="str">
        <f t="shared" si="9"/>
        <v>Överlapp</v>
      </c>
      <c r="W846" s="3" t="str">
        <f t="shared" si="10"/>
        <v>Överlapp</v>
      </c>
      <c r="X846" s="3" t="str">
        <f t="shared" si="11"/>
        <v/>
      </c>
    </row>
    <row r="847">
      <c r="A847" s="1" t="s">
        <v>848</v>
      </c>
      <c r="B847" s="3" t="str">
        <f>IFERROR(__xludf.DUMMYFUNCTION("SPLIT(A847, "","")"),"51-51")</f>
        <v>51-51</v>
      </c>
      <c r="C847" s="3" t="str">
        <f>IFERROR(__xludf.DUMMYFUNCTION("""COMPUTED_VALUE"""),"18-50")</f>
        <v>18-50</v>
      </c>
      <c r="D847" s="3">
        <f>IFERROR(__xludf.DUMMYFUNCTION("SPLIT(B847, ""-"")"),51.0)</f>
        <v>51</v>
      </c>
      <c r="E847" s="3">
        <f>IFERROR(__xludf.DUMMYFUNCTION("""COMPUTED_VALUE"""),51.0)</f>
        <v>51</v>
      </c>
      <c r="F847" s="3">
        <f>IFERROR(__xludf.DUMMYFUNCTION("SPLIT(C847, ""-"")"),18.0)</f>
        <v>18</v>
      </c>
      <c r="G847" s="3">
        <f>IFERROR(__xludf.DUMMYFUNCTION("""COMPUTED_VALUE"""),50.0)</f>
        <v>50</v>
      </c>
      <c r="I847" s="3" t="str">
        <f t="shared" si="1"/>
        <v/>
      </c>
      <c r="J847" s="3" t="str">
        <f t="shared" si="2"/>
        <v>y</v>
      </c>
      <c r="K847" s="3" t="str">
        <f t="shared" si="3"/>
        <v>y</v>
      </c>
      <c r="L847" s="3" t="str">
        <f t="shared" si="4"/>
        <v/>
      </c>
      <c r="N847" s="3" t="str">
        <f t="shared" si="5"/>
        <v/>
      </c>
      <c r="O847" s="3" t="str">
        <f t="shared" si="6"/>
        <v/>
      </c>
      <c r="Q847" s="3" t="str">
        <f t="shared" si="7"/>
        <v/>
      </c>
      <c r="U847" s="3">
        <f t="shared" si="8"/>
        <v>1</v>
      </c>
      <c r="V847" s="3" t="str">
        <f t="shared" si="9"/>
        <v>Överlapp</v>
      </c>
      <c r="W847" s="3">
        <f t="shared" si="10"/>
        <v>1</v>
      </c>
      <c r="X847" s="3">
        <f t="shared" si="11"/>
        <v>1</v>
      </c>
    </row>
    <row r="848">
      <c r="A848" s="1" t="s">
        <v>849</v>
      </c>
      <c r="B848" s="3" t="str">
        <f>IFERROR(__xludf.DUMMYFUNCTION("SPLIT(A848, "","")"),"4-22")</f>
        <v>4-22</v>
      </c>
      <c r="C848" s="3" t="str">
        <f>IFERROR(__xludf.DUMMYFUNCTION("""COMPUTED_VALUE"""),"1-21")</f>
        <v>1-21</v>
      </c>
      <c r="D848" s="3">
        <f>IFERROR(__xludf.DUMMYFUNCTION("SPLIT(B848, ""-"")"),4.0)</f>
        <v>4</v>
      </c>
      <c r="E848" s="3">
        <f>IFERROR(__xludf.DUMMYFUNCTION("""COMPUTED_VALUE"""),22.0)</f>
        <v>22</v>
      </c>
      <c r="F848" s="3">
        <f>IFERROR(__xludf.DUMMYFUNCTION("SPLIT(C848, ""-"")"),1.0)</f>
        <v>1</v>
      </c>
      <c r="G848" s="3">
        <f>IFERROR(__xludf.DUMMYFUNCTION("""COMPUTED_VALUE"""),21.0)</f>
        <v>21</v>
      </c>
      <c r="I848" s="3" t="str">
        <f t="shared" si="1"/>
        <v/>
      </c>
      <c r="J848" s="3" t="str">
        <f t="shared" si="2"/>
        <v>y</v>
      </c>
      <c r="K848" s="3" t="str">
        <f t="shared" si="3"/>
        <v>y</v>
      </c>
      <c r="L848" s="3" t="str">
        <f t="shared" si="4"/>
        <v/>
      </c>
      <c r="N848" s="3" t="str">
        <f t="shared" si="5"/>
        <v/>
      </c>
      <c r="O848" s="3" t="str">
        <f t="shared" si="6"/>
        <v/>
      </c>
      <c r="Q848" s="3" t="str">
        <f t="shared" si="7"/>
        <v/>
      </c>
      <c r="U848" s="3">
        <f t="shared" si="8"/>
        <v>1</v>
      </c>
      <c r="V848" s="3" t="str">
        <f t="shared" si="9"/>
        <v>Överlapp</v>
      </c>
      <c r="W848" s="3" t="str">
        <f t="shared" si="10"/>
        <v>Överlapp</v>
      </c>
      <c r="X848" s="3" t="str">
        <f t="shared" si="11"/>
        <v/>
      </c>
    </row>
    <row r="849">
      <c r="A849" s="1" t="s">
        <v>850</v>
      </c>
      <c r="B849" s="3" t="str">
        <f>IFERROR(__xludf.DUMMYFUNCTION("SPLIT(A849, "","")"),"76-93")</f>
        <v>76-93</v>
      </c>
      <c r="C849" s="3" t="str">
        <f>IFERROR(__xludf.DUMMYFUNCTION("""COMPUTED_VALUE"""),"77-89")</f>
        <v>77-89</v>
      </c>
      <c r="D849" s="3">
        <f>IFERROR(__xludf.DUMMYFUNCTION("SPLIT(B849, ""-"")"),76.0)</f>
        <v>76</v>
      </c>
      <c r="E849" s="3">
        <f>IFERROR(__xludf.DUMMYFUNCTION("""COMPUTED_VALUE"""),93.0)</f>
        <v>93</v>
      </c>
      <c r="F849" s="3">
        <f>IFERROR(__xludf.DUMMYFUNCTION("SPLIT(C849, ""-"")"),77.0)</f>
        <v>77</v>
      </c>
      <c r="G849" s="3">
        <f>IFERROR(__xludf.DUMMYFUNCTION("""COMPUTED_VALUE"""),89.0)</f>
        <v>89</v>
      </c>
      <c r="I849" s="3" t="str">
        <f t="shared" si="1"/>
        <v>y</v>
      </c>
      <c r="J849" s="3" t="str">
        <f t="shared" si="2"/>
        <v>y</v>
      </c>
      <c r="K849" s="3" t="str">
        <f t="shared" si="3"/>
        <v/>
      </c>
      <c r="L849" s="3" t="str">
        <f t="shared" si="4"/>
        <v/>
      </c>
      <c r="N849" s="3">
        <f t="shared" si="5"/>
        <v>1</v>
      </c>
      <c r="O849" s="3" t="str">
        <f t="shared" si="6"/>
        <v/>
      </c>
      <c r="Q849" s="3">
        <f t="shared" si="7"/>
        <v>1</v>
      </c>
      <c r="U849" s="3">
        <f t="shared" si="8"/>
        <v>1</v>
      </c>
      <c r="V849" s="3" t="str">
        <f t="shared" si="9"/>
        <v>Överlapp</v>
      </c>
      <c r="W849" s="3" t="str">
        <f t="shared" si="10"/>
        <v>Överlapp</v>
      </c>
      <c r="X849" s="3" t="str">
        <f t="shared" si="11"/>
        <v/>
      </c>
    </row>
    <row r="850">
      <c r="A850" s="1" t="s">
        <v>851</v>
      </c>
      <c r="B850" s="3" t="str">
        <f>IFERROR(__xludf.DUMMYFUNCTION("SPLIT(A850, "","")"),"84-94")</f>
        <v>84-94</v>
      </c>
      <c r="C850" s="3" t="str">
        <f>IFERROR(__xludf.DUMMYFUNCTION("""COMPUTED_VALUE"""),"88-91")</f>
        <v>88-91</v>
      </c>
      <c r="D850" s="3">
        <f>IFERROR(__xludf.DUMMYFUNCTION("SPLIT(B850, ""-"")"),84.0)</f>
        <v>84</v>
      </c>
      <c r="E850" s="3">
        <f>IFERROR(__xludf.DUMMYFUNCTION("""COMPUTED_VALUE"""),94.0)</f>
        <v>94</v>
      </c>
      <c r="F850" s="3">
        <f>IFERROR(__xludf.DUMMYFUNCTION("SPLIT(C850, ""-"")"),88.0)</f>
        <v>88</v>
      </c>
      <c r="G850" s="3">
        <f>IFERROR(__xludf.DUMMYFUNCTION("""COMPUTED_VALUE"""),91.0)</f>
        <v>91</v>
      </c>
      <c r="I850" s="3" t="str">
        <f t="shared" si="1"/>
        <v>y</v>
      </c>
      <c r="J850" s="3" t="str">
        <f t="shared" si="2"/>
        <v>y</v>
      </c>
      <c r="K850" s="3" t="str">
        <f t="shared" si="3"/>
        <v/>
      </c>
      <c r="L850" s="3" t="str">
        <f t="shared" si="4"/>
        <v/>
      </c>
      <c r="N850" s="3">
        <f t="shared" si="5"/>
        <v>1</v>
      </c>
      <c r="O850" s="3" t="str">
        <f t="shared" si="6"/>
        <v/>
      </c>
      <c r="Q850" s="3">
        <f t="shared" si="7"/>
        <v>1</v>
      </c>
      <c r="U850" s="3">
        <f t="shared" si="8"/>
        <v>1</v>
      </c>
      <c r="V850" s="3" t="str">
        <f t="shared" si="9"/>
        <v>Överlapp</v>
      </c>
      <c r="W850" s="3" t="str">
        <f t="shared" si="10"/>
        <v>Överlapp</v>
      </c>
      <c r="X850" s="3" t="str">
        <f t="shared" si="11"/>
        <v/>
      </c>
    </row>
    <row r="851">
      <c r="A851" s="1" t="s">
        <v>852</v>
      </c>
      <c r="B851" s="3" t="str">
        <f>IFERROR(__xludf.DUMMYFUNCTION("SPLIT(A851, "","")"),"48-93")</f>
        <v>48-93</v>
      </c>
      <c r="C851" s="3" t="str">
        <f>IFERROR(__xludf.DUMMYFUNCTION("""COMPUTED_VALUE"""),"14-94")</f>
        <v>14-94</v>
      </c>
      <c r="D851" s="3">
        <f>IFERROR(__xludf.DUMMYFUNCTION("SPLIT(B851, ""-"")"),48.0)</f>
        <v>48</v>
      </c>
      <c r="E851" s="3">
        <f>IFERROR(__xludf.DUMMYFUNCTION("""COMPUTED_VALUE"""),93.0)</f>
        <v>93</v>
      </c>
      <c r="F851" s="3">
        <f>IFERROR(__xludf.DUMMYFUNCTION("SPLIT(C851, ""-"")"),14.0)</f>
        <v>14</v>
      </c>
      <c r="G851" s="3">
        <f>IFERROR(__xludf.DUMMYFUNCTION("""COMPUTED_VALUE"""),94.0)</f>
        <v>94</v>
      </c>
      <c r="I851" s="3" t="str">
        <f t="shared" si="1"/>
        <v/>
      </c>
      <c r="J851" s="3" t="str">
        <f t="shared" si="2"/>
        <v/>
      </c>
      <c r="K851" s="3" t="str">
        <f t="shared" si="3"/>
        <v>y</v>
      </c>
      <c r="L851" s="3" t="str">
        <f t="shared" si="4"/>
        <v>y</v>
      </c>
      <c r="N851" s="3" t="str">
        <f t="shared" si="5"/>
        <v/>
      </c>
      <c r="O851" s="3">
        <f t="shared" si="6"/>
        <v>1</v>
      </c>
      <c r="Q851" s="3">
        <f t="shared" si="7"/>
        <v>1</v>
      </c>
      <c r="U851" s="3">
        <f t="shared" si="8"/>
        <v>1</v>
      </c>
      <c r="V851" s="3" t="str">
        <f t="shared" si="9"/>
        <v>Överlapp</v>
      </c>
      <c r="W851" s="3" t="str">
        <f t="shared" si="10"/>
        <v>Överlapp</v>
      </c>
      <c r="X851" s="3" t="str">
        <f t="shared" si="11"/>
        <v/>
      </c>
    </row>
    <row r="852">
      <c r="A852" s="1" t="s">
        <v>853</v>
      </c>
      <c r="B852" s="3" t="str">
        <f>IFERROR(__xludf.DUMMYFUNCTION("SPLIT(A852, "","")"),"25-57")</f>
        <v>25-57</v>
      </c>
      <c r="C852" s="3" t="str">
        <f>IFERROR(__xludf.DUMMYFUNCTION("""COMPUTED_VALUE"""),"31-74")</f>
        <v>31-74</v>
      </c>
      <c r="D852" s="3">
        <f>IFERROR(__xludf.DUMMYFUNCTION("SPLIT(B852, ""-"")"),25.0)</f>
        <v>25</v>
      </c>
      <c r="E852" s="3">
        <f>IFERROR(__xludf.DUMMYFUNCTION("""COMPUTED_VALUE"""),57.0)</f>
        <v>57</v>
      </c>
      <c r="F852" s="3">
        <f>IFERROR(__xludf.DUMMYFUNCTION("SPLIT(C852, ""-"")"),31.0)</f>
        <v>31</v>
      </c>
      <c r="G852" s="3">
        <f>IFERROR(__xludf.DUMMYFUNCTION("""COMPUTED_VALUE"""),74.0)</f>
        <v>74</v>
      </c>
      <c r="I852" s="3" t="str">
        <f t="shared" si="1"/>
        <v>y</v>
      </c>
      <c r="J852" s="3" t="str">
        <f t="shared" si="2"/>
        <v/>
      </c>
      <c r="K852" s="3" t="str">
        <f t="shared" si="3"/>
        <v/>
      </c>
      <c r="L852" s="3" t="str">
        <f t="shared" si="4"/>
        <v>y</v>
      </c>
      <c r="N852" s="3" t="str">
        <f t="shared" si="5"/>
        <v/>
      </c>
      <c r="O852" s="3" t="str">
        <f t="shared" si="6"/>
        <v/>
      </c>
      <c r="Q852" s="3" t="str">
        <f t="shared" si="7"/>
        <v/>
      </c>
      <c r="U852" s="3">
        <f t="shared" si="8"/>
        <v>1</v>
      </c>
      <c r="V852" s="3" t="str">
        <f t="shared" si="9"/>
        <v>Överlapp</v>
      </c>
      <c r="W852" s="3" t="str">
        <f t="shared" si="10"/>
        <v>Överlapp</v>
      </c>
      <c r="X852" s="3" t="str">
        <f t="shared" si="11"/>
        <v/>
      </c>
    </row>
    <row r="853">
      <c r="A853" s="1" t="s">
        <v>854</v>
      </c>
      <c r="B853" s="3" t="str">
        <f>IFERROR(__xludf.DUMMYFUNCTION("SPLIT(A853, "","")"),"38-38")</f>
        <v>38-38</v>
      </c>
      <c r="C853" s="3" t="str">
        <f>IFERROR(__xludf.DUMMYFUNCTION("""COMPUTED_VALUE"""),"38-52")</f>
        <v>38-52</v>
      </c>
      <c r="D853" s="3">
        <f>IFERROR(__xludf.DUMMYFUNCTION("SPLIT(B853, ""-"")"),38.0)</f>
        <v>38</v>
      </c>
      <c r="E853" s="3">
        <f>IFERROR(__xludf.DUMMYFUNCTION("""COMPUTED_VALUE"""),38.0)</f>
        <v>38</v>
      </c>
      <c r="F853" s="3">
        <f>IFERROR(__xludf.DUMMYFUNCTION("SPLIT(C853, ""-"")"),38.0)</f>
        <v>38</v>
      </c>
      <c r="G853" s="3">
        <f>IFERROR(__xludf.DUMMYFUNCTION("""COMPUTED_VALUE"""),52.0)</f>
        <v>52</v>
      </c>
      <c r="I853" s="3" t="str">
        <f t="shared" si="1"/>
        <v>y</v>
      </c>
      <c r="J853" s="3" t="str">
        <f t="shared" si="2"/>
        <v/>
      </c>
      <c r="K853" s="3" t="str">
        <f t="shared" si="3"/>
        <v>y</v>
      </c>
      <c r="L853" s="3" t="str">
        <f t="shared" si="4"/>
        <v>y</v>
      </c>
      <c r="N853" s="3" t="str">
        <f t="shared" si="5"/>
        <v/>
      </c>
      <c r="O853" s="3">
        <f t="shared" si="6"/>
        <v>1</v>
      </c>
      <c r="Q853" s="3">
        <f t="shared" si="7"/>
        <v>1</v>
      </c>
      <c r="U853" s="3" t="str">
        <f t="shared" si="8"/>
        <v>Överlapp</v>
      </c>
      <c r="V853" s="3" t="str">
        <f t="shared" si="9"/>
        <v>Överlapp</v>
      </c>
      <c r="W853" s="3" t="str">
        <f t="shared" si="10"/>
        <v>Överlapp</v>
      </c>
      <c r="X853" s="3" t="str">
        <f t="shared" si="11"/>
        <v/>
      </c>
    </row>
    <row r="854">
      <c r="A854" s="1" t="s">
        <v>855</v>
      </c>
      <c r="B854" s="3" t="str">
        <f>IFERROR(__xludf.DUMMYFUNCTION("SPLIT(A854, "","")"),"86-86")</f>
        <v>86-86</v>
      </c>
      <c r="C854" s="3" t="str">
        <f>IFERROR(__xludf.DUMMYFUNCTION("""COMPUTED_VALUE"""),"5-87")</f>
        <v>5-87</v>
      </c>
      <c r="D854" s="3">
        <f>IFERROR(__xludf.DUMMYFUNCTION("SPLIT(B854, ""-"")"),86.0)</f>
        <v>86</v>
      </c>
      <c r="E854" s="3">
        <f>IFERROR(__xludf.DUMMYFUNCTION("""COMPUTED_VALUE"""),86.0)</f>
        <v>86</v>
      </c>
      <c r="F854" s="3">
        <f>IFERROR(__xludf.DUMMYFUNCTION("SPLIT(C854, ""-"")"),5.0)</f>
        <v>5</v>
      </c>
      <c r="G854" s="3">
        <f>IFERROR(__xludf.DUMMYFUNCTION("""COMPUTED_VALUE"""),87.0)</f>
        <v>87</v>
      </c>
      <c r="I854" s="3" t="str">
        <f t="shared" si="1"/>
        <v/>
      </c>
      <c r="J854" s="3" t="str">
        <f t="shared" si="2"/>
        <v/>
      </c>
      <c r="K854" s="3" t="str">
        <f t="shared" si="3"/>
        <v>y</v>
      </c>
      <c r="L854" s="3" t="str">
        <f t="shared" si="4"/>
        <v>y</v>
      </c>
      <c r="N854" s="3" t="str">
        <f t="shared" si="5"/>
        <v/>
      </c>
      <c r="O854" s="3">
        <f t="shared" si="6"/>
        <v>1</v>
      </c>
      <c r="Q854" s="3">
        <f t="shared" si="7"/>
        <v>1</v>
      </c>
      <c r="U854" s="3">
        <f t="shared" si="8"/>
        <v>1</v>
      </c>
      <c r="V854" s="3" t="str">
        <f t="shared" si="9"/>
        <v>Överlapp</v>
      </c>
      <c r="W854" s="3" t="str">
        <f t="shared" si="10"/>
        <v>Överlapp</v>
      </c>
      <c r="X854" s="3" t="str">
        <f t="shared" si="11"/>
        <v/>
      </c>
    </row>
    <row r="855">
      <c r="A855" s="1" t="s">
        <v>856</v>
      </c>
      <c r="B855" s="3" t="str">
        <f>IFERROR(__xludf.DUMMYFUNCTION("SPLIT(A855, "","")"),"15-51")</f>
        <v>15-51</v>
      </c>
      <c r="C855" s="3" t="str">
        <f>IFERROR(__xludf.DUMMYFUNCTION("""COMPUTED_VALUE"""),"14-51")</f>
        <v>14-51</v>
      </c>
      <c r="D855" s="3">
        <f>IFERROR(__xludf.DUMMYFUNCTION("SPLIT(B855, ""-"")"),15.0)</f>
        <v>15</v>
      </c>
      <c r="E855" s="3">
        <f>IFERROR(__xludf.DUMMYFUNCTION("""COMPUTED_VALUE"""),51.0)</f>
        <v>51</v>
      </c>
      <c r="F855" s="3">
        <f>IFERROR(__xludf.DUMMYFUNCTION("SPLIT(C855, ""-"")"),14.0)</f>
        <v>14</v>
      </c>
      <c r="G855" s="3">
        <f>IFERROR(__xludf.DUMMYFUNCTION("""COMPUTED_VALUE"""),51.0)</f>
        <v>51</v>
      </c>
      <c r="I855" s="3" t="str">
        <f t="shared" si="1"/>
        <v/>
      </c>
      <c r="J855" s="3" t="str">
        <f t="shared" si="2"/>
        <v>y</v>
      </c>
      <c r="K855" s="3" t="str">
        <f t="shared" si="3"/>
        <v>y</v>
      </c>
      <c r="L855" s="3" t="str">
        <f t="shared" si="4"/>
        <v>y</v>
      </c>
      <c r="N855" s="3" t="str">
        <f t="shared" si="5"/>
        <v/>
      </c>
      <c r="O855" s="3">
        <f t="shared" si="6"/>
        <v>1</v>
      </c>
      <c r="Q855" s="3">
        <f t="shared" si="7"/>
        <v>1</v>
      </c>
      <c r="U855" s="3" t="str">
        <f t="shared" si="8"/>
        <v>Överlapp</v>
      </c>
      <c r="V855" s="3" t="str">
        <f t="shared" si="9"/>
        <v>Överlapp</v>
      </c>
      <c r="W855" s="3" t="str">
        <f t="shared" si="10"/>
        <v>Överlapp</v>
      </c>
      <c r="X855" s="3" t="str">
        <f t="shared" si="11"/>
        <v/>
      </c>
    </row>
    <row r="856">
      <c r="A856" s="1" t="s">
        <v>857</v>
      </c>
      <c r="B856" s="3" t="str">
        <f>IFERROR(__xludf.DUMMYFUNCTION("SPLIT(A856, "","")"),"2-51")</f>
        <v>2-51</v>
      </c>
      <c r="C856" s="3" t="str">
        <f>IFERROR(__xludf.DUMMYFUNCTION("""COMPUTED_VALUE"""),"13-50")</f>
        <v>13-50</v>
      </c>
      <c r="D856" s="3">
        <f>IFERROR(__xludf.DUMMYFUNCTION("SPLIT(B856, ""-"")"),2.0)</f>
        <v>2</v>
      </c>
      <c r="E856" s="3">
        <f>IFERROR(__xludf.DUMMYFUNCTION("""COMPUTED_VALUE"""),51.0)</f>
        <v>51</v>
      </c>
      <c r="F856" s="3">
        <f>IFERROR(__xludf.DUMMYFUNCTION("SPLIT(C856, ""-"")"),13.0)</f>
        <v>13</v>
      </c>
      <c r="G856" s="3">
        <f>IFERROR(__xludf.DUMMYFUNCTION("""COMPUTED_VALUE"""),50.0)</f>
        <v>50</v>
      </c>
      <c r="I856" s="3" t="str">
        <f t="shared" si="1"/>
        <v>y</v>
      </c>
      <c r="J856" s="3" t="str">
        <f t="shared" si="2"/>
        <v>y</v>
      </c>
      <c r="K856" s="3" t="str">
        <f t="shared" si="3"/>
        <v/>
      </c>
      <c r="L856" s="3" t="str">
        <f t="shared" si="4"/>
        <v/>
      </c>
      <c r="N856" s="3">
        <f t="shared" si="5"/>
        <v>1</v>
      </c>
      <c r="O856" s="3" t="str">
        <f t="shared" si="6"/>
        <v/>
      </c>
      <c r="Q856" s="3">
        <f t="shared" si="7"/>
        <v>1</v>
      </c>
      <c r="U856" s="3">
        <f t="shared" si="8"/>
        <v>1</v>
      </c>
      <c r="V856" s="3" t="str">
        <f t="shared" si="9"/>
        <v>Överlapp</v>
      </c>
      <c r="W856" s="3" t="str">
        <f t="shared" si="10"/>
        <v>Överlapp</v>
      </c>
      <c r="X856" s="3" t="str">
        <f t="shared" si="11"/>
        <v/>
      </c>
    </row>
    <row r="857">
      <c r="A857" s="1" t="s">
        <v>858</v>
      </c>
      <c r="B857" s="3" t="str">
        <f>IFERROR(__xludf.DUMMYFUNCTION("SPLIT(A857, "","")"),"14-21")</f>
        <v>14-21</v>
      </c>
      <c r="C857" s="3" t="str">
        <f>IFERROR(__xludf.DUMMYFUNCTION("""COMPUTED_VALUE"""),"21-22")</f>
        <v>21-22</v>
      </c>
      <c r="D857" s="3">
        <f>IFERROR(__xludf.DUMMYFUNCTION("SPLIT(B857, ""-"")"),14.0)</f>
        <v>14</v>
      </c>
      <c r="E857" s="3">
        <f>IFERROR(__xludf.DUMMYFUNCTION("""COMPUTED_VALUE"""),21.0)</f>
        <v>21</v>
      </c>
      <c r="F857" s="3">
        <f>IFERROR(__xludf.DUMMYFUNCTION("SPLIT(C857, ""-"")"),21.0)</f>
        <v>21</v>
      </c>
      <c r="G857" s="3">
        <f>IFERROR(__xludf.DUMMYFUNCTION("""COMPUTED_VALUE"""),22.0)</f>
        <v>22</v>
      </c>
      <c r="I857" s="3" t="str">
        <f t="shared" si="1"/>
        <v>y</v>
      </c>
      <c r="J857" s="3" t="str">
        <f t="shared" si="2"/>
        <v/>
      </c>
      <c r="K857" s="3" t="str">
        <f t="shared" si="3"/>
        <v/>
      </c>
      <c r="L857" s="3" t="str">
        <f t="shared" si="4"/>
        <v>y</v>
      </c>
      <c r="N857" s="3" t="str">
        <f t="shared" si="5"/>
        <v/>
      </c>
      <c r="O857" s="3" t="str">
        <f t="shared" si="6"/>
        <v/>
      </c>
      <c r="Q857" s="3" t="str">
        <f t="shared" si="7"/>
        <v/>
      </c>
      <c r="U857" s="3" t="str">
        <f t="shared" si="8"/>
        <v>Överlapp</v>
      </c>
      <c r="V857" s="3" t="str">
        <f t="shared" si="9"/>
        <v>Överlapp</v>
      </c>
      <c r="W857" s="3" t="str">
        <f t="shared" si="10"/>
        <v>Överlapp</v>
      </c>
      <c r="X857" s="3" t="str">
        <f t="shared" si="11"/>
        <v/>
      </c>
    </row>
    <row r="858">
      <c r="A858" s="1" t="s">
        <v>859</v>
      </c>
      <c r="B858" s="3" t="str">
        <f>IFERROR(__xludf.DUMMYFUNCTION("SPLIT(A858, "","")"),"20-89")</f>
        <v>20-89</v>
      </c>
      <c r="C858" s="3" t="str">
        <f>IFERROR(__xludf.DUMMYFUNCTION("""COMPUTED_VALUE"""),"19-90")</f>
        <v>19-90</v>
      </c>
      <c r="D858" s="3">
        <f>IFERROR(__xludf.DUMMYFUNCTION("SPLIT(B858, ""-"")"),20.0)</f>
        <v>20</v>
      </c>
      <c r="E858" s="3">
        <f>IFERROR(__xludf.DUMMYFUNCTION("""COMPUTED_VALUE"""),89.0)</f>
        <v>89</v>
      </c>
      <c r="F858" s="3">
        <f>IFERROR(__xludf.DUMMYFUNCTION("SPLIT(C858, ""-"")"),19.0)</f>
        <v>19</v>
      </c>
      <c r="G858" s="3">
        <f>IFERROR(__xludf.DUMMYFUNCTION("""COMPUTED_VALUE"""),90.0)</f>
        <v>90</v>
      </c>
      <c r="I858" s="3" t="str">
        <f t="shared" si="1"/>
        <v/>
      </c>
      <c r="J858" s="3" t="str">
        <f t="shared" si="2"/>
        <v/>
      </c>
      <c r="K858" s="3" t="str">
        <f t="shared" si="3"/>
        <v>y</v>
      </c>
      <c r="L858" s="3" t="str">
        <f t="shared" si="4"/>
        <v>y</v>
      </c>
      <c r="N858" s="3" t="str">
        <f t="shared" si="5"/>
        <v/>
      </c>
      <c r="O858" s="3">
        <f t="shared" si="6"/>
        <v>1</v>
      </c>
      <c r="Q858" s="3">
        <f t="shared" si="7"/>
        <v>1</v>
      </c>
      <c r="U858" s="3">
        <f t="shared" si="8"/>
        <v>1</v>
      </c>
      <c r="V858" s="3" t="str">
        <f t="shared" si="9"/>
        <v>Överlapp</v>
      </c>
      <c r="W858" s="3" t="str">
        <f t="shared" si="10"/>
        <v>Överlapp</v>
      </c>
      <c r="X858" s="3" t="str">
        <f t="shared" si="11"/>
        <v/>
      </c>
    </row>
    <row r="859">
      <c r="A859" s="1" t="s">
        <v>860</v>
      </c>
      <c r="B859" s="3" t="str">
        <f>IFERROR(__xludf.DUMMYFUNCTION("SPLIT(A859, "","")"),"75-82")</f>
        <v>75-82</v>
      </c>
      <c r="C859" s="3" t="str">
        <f>IFERROR(__xludf.DUMMYFUNCTION("""COMPUTED_VALUE"""),"75-75")</f>
        <v>75-75</v>
      </c>
      <c r="D859" s="3">
        <f>IFERROR(__xludf.DUMMYFUNCTION("SPLIT(B859, ""-"")"),75.0)</f>
        <v>75</v>
      </c>
      <c r="E859" s="3">
        <f>IFERROR(__xludf.DUMMYFUNCTION("""COMPUTED_VALUE"""),82.0)</f>
        <v>82</v>
      </c>
      <c r="F859" s="3">
        <f>IFERROR(__xludf.DUMMYFUNCTION("SPLIT(C859, ""-"")"),75.0)</f>
        <v>75</v>
      </c>
      <c r="G859" s="3">
        <f>IFERROR(__xludf.DUMMYFUNCTION("""COMPUTED_VALUE"""),75.0)</f>
        <v>75</v>
      </c>
      <c r="I859" s="3" t="str">
        <f t="shared" si="1"/>
        <v>y</v>
      </c>
      <c r="J859" s="3" t="str">
        <f t="shared" si="2"/>
        <v>y</v>
      </c>
      <c r="K859" s="3" t="str">
        <f t="shared" si="3"/>
        <v>y</v>
      </c>
      <c r="L859" s="3" t="str">
        <f t="shared" si="4"/>
        <v/>
      </c>
      <c r="N859" s="3">
        <f t="shared" si="5"/>
        <v>1</v>
      </c>
      <c r="O859" s="3" t="str">
        <f t="shared" si="6"/>
        <v/>
      </c>
      <c r="Q859" s="3">
        <f t="shared" si="7"/>
        <v>1</v>
      </c>
      <c r="U859" s="3" t="str">
        <f t="shared" si="8"/>
        <v>Överlapp</v>
      </c>
      <c r="V859" s="3" t="str">
        <f t="shared" si="9"/>
        <v>Överlapp</v>
      </c>
      <c r="W859" s="3" t="str">
        <f t="shared" si="10"/>
        <v>Överlapp</v>
      </c>
      <c r="X859" s="3" t="str">
        <f t="shared" si="11"/>
        <v/>
      </c>
    </row>
    <row r="860">
      <c r="A860" s="1" t="s">
        <v>861</v>
      </c>
      <c r="B860" s="3" t="str">
        <f>IFERROR(__xludf.DUMMYFUNCTION("SPLIT(A860, "","")"),"55-68")</f>
        <v>55-68</v>
      </c>
      <c r="C860" s="3" t="str">
        <f>IFERROR(__xludf.DUMMYFUNCTION("""COMPUTED_VALUE"""),"56-88")</f>
        <v>56-88</v>
      </c>
      <c r="D860" s="3">
        <f>IFERROR(__xludf.DUMMYFUNCTION("SPLIT(B860, ""-"")"),55.0)</f>
        <v>55</v>
      </c>
      <c r="E860" s="3">
        <f>IFERROR(__xludf.DUMMYFUNCTION("""COMPUTED_VALUE"""),68.0)</f>
        <v>68</v>
      </c>
      <c r="F860" s="3">
        <f>IFERROR(__xludf.DUMMYFUNCTION("SPLIT(C860, ""-"")"),56.0)</f>
        <v>56</v>
      </c>
      <c r="G860" s="3">
        <f>IFERROR(__xludf.DUMMYFUNCTION("""COMPUTED_VALUE"""),88.0)</f>
        <v>88</v>
      </c>
      <c r="I860" s="3" t="str">
        <f t="shared" si="1"/>
        <v>y</v>
      </c>
      <c r="J860" s="3" t="str">
        <f t="shared" si="2"/>
        <v/>
      </c>
      <c r="K860" s="3" t="str">
        <f t="shared" si="3"/>
        <v/>
      </c>
      <c r="L860" s="3" t="str">
        <f t="shared" si="4"/>
        <v>y</v>
      </c>
      <c r="N860" s="3" t="str">
        <f t="shared" si="5"/>
        <v/>
      </c>
      <c r="O860" s="3" t="str">
        <f t="shared" si="6"/>
        <v/>
      </c>
      <c r="Q860" s="3" t="str">
        <f t="shared" si="7"/>
        <v/>
      </c>
      <c r="U860" s="3">
        <f t="shared" si="8"/>
        <v>1</v>
      </c>
      <c r="V860" s="3" t="str">
        <f t="shared" si="9"/>
        <v>Överlapp</v>
      </c>
      <c r="W860" s="3" t="str">
        <f t="shared" si="10"/>
        <v>Överlapp</v>
      </c>
      <c r="X860" s="3" t="str">
        <f t="shared" si="11"/>
        <v/>
      </c>
    </row>
    <row r="861">
      <c r="A861" s="1" t="s">
        <v>862</v>
      </c>
      <c r="B861" s="3" t="str">
        <f>IFERROR(__xludf.DUMMYFUNCTION("SPLIT(A861, "","")"),"4-99")</f>
        <v>4-99</v>
      </c>
      <c r="C861" s="3" t="str">
        <f>IFERROR(__xludf.DUMMYFUNCTION("""COMPUTED_VALUE"""),"3-97")</f>
        <v>3-97</v>
      </c>
      <c r="D861" s="3">
        <f>IFERROR(__xludf.DUMMYFUNCTION("SPLIT(B861, ""-"")"),4.0)</f>
        <v>4</v>
      </c>
      <c r="E861" s="3">
        <f>IFERROR(__xludf.DUMMYFUNCTION("""COMPUTED_VALUE"""),99.0)</f>
        <v>99</v>
      </c>
      <c r="F861" s="3">
        <f>IFERROR(__xludf.DUMMYFUNCTION("SPLIT(C861, ""-"")"),3.0)</f>
        <v>3</v>
      </c>
      <c r="G861" s="3">
        <f>IFERROR(__xludf.DUMMYFUNCTION("""COMPUTED_VALUE"""),97.0)</f>
        <v>97</v>
      </c>
      <c r="I861" s="3" t="str">
        <f t="shared" si="1"/>
        <v/>
      </c>
      <c r="J861" s="3" t="str">
        <f t="shared" si="2"/>
        <v>y</v>
      </c>
      <c r="K861" s="3" t="str">
        <f t="shared" si="3"/>
        <v>y</v>
      </c>
      <c r="L861" s="3" t="str">
        <f t="shared" si="4"/>
        <v/>
      </c>
      <c r="N861" s="3" t="str">
        <f t="shared" si="5"/>
        <v/>
      </c>
      <c r="O861" s="3" t="str">
        <f t="shared" si="6"/>
        <v/>
      </c>
      <c r="Q861" s="3" t="str">
        <f t="shared" si="7"/>
        <v/>
      </c>
      <c r="U861" s="3">
        <f t="shared" si="8"/>
        <v>1</v>
      </c>
      <c r="V861" s="3" t="str">
        <f t="shared" si="9"/>
        <v>Överlapp</v>
      </c>
      <c r="W861" s="3" t="str">
        <f t="shared" si="10"/>
        <v>Överlapp</v>
      </c>
      <c r="X861" s="3" t="str">
        <f t="shared" si="11"/>
        <v/>
      </c>
    </row>
    <row r="862">
      <c r="A862" s="1" t="s">
        <v>863</v>
      </c>
      <c r="B862" s="3" t="str">
        <f>IFERROR(__xludf.DUMMYFUNCTION("SPLIT(A862, "","")"),"62-66")</f>
        <v>62-66</v>
      </c>
      <c r="C862" s="3" t="str">
        <f>IFERROR(__xludf.DUMMYFUNCTION("""COMPUTED_VALUE"""),"46-66")</f>
        <v>46-66</v>
      </c>
      <c r="D862" s="3">
        <f>IFERROR(__xludf.DUMMYFUNCTION("SPLIT(B862, ""-"")"),62.0)</f>
        <v>62</v>
      </c>
      <c r="E862" s="3">
        <f>IFERROR(__xludf.DUMMYFUNCTION("""COMPUTED_VALUE"""),66.0)</f>
        <v>66</v>
      </c>
      <c r="F862" s="3">
        <f>IFERROR(__xludf.DUMMYFUNCTION("SPLIT(C862, ""-"")"),46.0)</f>
        <v>46</v>
      </c>
      <c r="G862" s="3">
        <f>IFERROR(__xludf.DUMMYFUNCTION("""COMPUTED_VALUE"""),66.0)</f>
        <v>66</v>
      </c>
      <c r="I862" s="3" t="str">
        <f t="shared" si="1"/>
        <v/>
      </c>
      <c r="J862" s="3" t="str">
        <f t="shared" si="2"/>
        <v>y</v>
      </c>
      <c r="K862" s="3" t="str">
        <f t="shared" si="3"/>
        <v>y</v>
      </c>
      <c r="L862" s="3" t="str">
        <f t="shared" si="4"/>
        <v>y</v>
      </c>
      <c r="N862" s="3" t="str">
        <f t="shared" si="5"/>
        <v/>
      </c>
      <c r="O862" s="3">
        <f t="shared" si="6"/>
        <v>1</v>
      </c>
      <c r="Q862" s="3">
        <f t="shared" si="7"/>
        <v>1</v>
      </c>
      <c r="U862" s="3" t="str">
        <f t="shared" si="8"/>
        <v>Överlapp</v>
      </c>
      <c r="V862" s="3" t="str">
        <f t="shared" si="9"/>
        <v>Överlapp</v>
      </c>
      <c r="W862" s="3" t="str">
        <f t="shared" si="10"/>
        <v>Överlapp</v>
      </c>
      <c r="X862" s="3" t="str">
        <f t="shared" si="11"/>
        <v/>
      </c>
    </row>
    <row r="863">
      <c r="A863" s="1" t="s">
        <v>864</v>
      </c>
      <c r="B863" s="3" t="str">
        <f>IFERROR(__xludf.DUMMYFUNCTION("SPLIT(A863, "","")"),"46-93")</f>
        <v>46-93</v>
      </c>
      <c r="C863" s="3" t="str">
        <f>IFERROR(__xludf.DUMMYFUNCTION("""COMPUTED_VALUE"""),"92-92")</f>
        <v>92-92</v>
      </c>
      <c r="D863" s="3">
        <f>IFERROR(__xludf.DUMMYFUNCTION("SPLIT(B863, ""-"")"),46.0)</f>
        <v>46</v>
      </c>
      <c r="E863" s="3">
        <f>IFERROR(__xludf.DUMMYFUNCTION("""COMPUTED_VALUE"""),93.0)</f>
        <v>93</v>
      </c>
      <c r="F863" s="3">
        <f>IFERROR(__xludf.DUMMYFUNCTION("SPLIT(C863, ""-"")"),92.0)</f>
        <v>92</v>
      </c>
      <c r="G863" s="3">
        <f>IFERROR(__xludf.DUMMYFUNCTION("""COMPUTED_VALUE"""),92.0)</f>
        <v>92</v>
      </c>
      <c r="I863" s="3" t="str">
        <f t="shared" si="1"/>
        <v>y</v>
      </c>
      <c r="J863" s="3" t="str">
        <f t="shared" si="2"/>
        <v>y</v>
      </c>
      <c r="K863" s="3" t="str">
        <f t="shared" si="3"/>
        <v/>
      </c>
      <c r="L863" s="3" t="str">
        <f t="shared" si="4"/>
        <v/>
      </c>
      <c r="N863" s="3">
        <f t="shared" si="5"/>
        <v>1</v>
      </c>
      <c r="O863" s="3" t="str">
        <f t="shared" si="6"/>
        <v/>
      </c>
      <c r="Q863" s="3">
        <f t="shared" si="7"/>
        <v>1</v>
      </c>
      <c r="U863" s="3">
        <f t="shared" si="8"/>
        <v>1</v>
      </c>
      <c r="V863" s="3" t="str">
        <f t="shared" si="9"/>
        <v>Överlapp</v>
      </c>
      <c r="W863" s="3" t="str">
        <f t="shared" si="10"/>
        <v>Överlapp</v>
      </c>
      <c r="X863" s="3" t="str">
        <f t="shared" si="11"/>
        <v/>
      </c>
    </row>
    <row r="864">
      <c r="A864" s="1" t="s">
        <v>865</v>
      </c>
      <c r="B864" s="3" t="str">
        <f>IFERROR(__xludf.DUMMYFUNCTION("SPLIT(A864, "","")"),"2-80")</f>
        <v>2-80</v>
      </c>
      <c r="C864" s="3" t="str">
        <f>IFERROR(__xludf.DUMMYFUNCTION("""COMPUTED_VALUE"""),"1-81")</f>
        <v>1-81</v>
      </c>
      <c r="D864" s="3">
        <f>IFERROR(__xludf.DUMMYFUNCTION("SPLIT(B864, ""-"")"),2.0)</f>
        <v>2</v>
      </c>
      <c r="E864" s="3">
        <f>IFERROR(__xludf.DUMMYFUNCTION("""COMPUTED_VALUE"""),80.0)</f>
        <v>80</v>
      </c>
      <c r="F864" s="3">
        <f>IFERROR(__xludf.DUMMYFUNCTION("SPLIT(C864, ""-"")"),1.0)</f>
        <v>1</v>
      </c>
      <c r="G864" s="3">
        <f>IFERROR(__xludf.DUMMYFUNCTION("""COMPUTED_VALUE"""),81.0)</f>
        <v>81</v>
      </c>
      <c r="I864" s="3" t="str">
        <f t="shared" si="1"/>
        <v/>
      </c>
      <c r="J864" s="3" t="str">
        <f t="shared" si="2"/>
        <v/>
      </c>
      <c r="K864" s="3" t="str">
        <f t="shared" si="3"/>
        <v>y</v>
      </c>
      <c r="L864" s="3" t="str">
        <f t="shared" si="4"/>
        <v>y</v>
      </c>
      <c r="N864" s="3" t="str">
        <f t="shared" si="5"/>
        <v/>
      </c>
      <c r="O864" s="3">
        <f t="shared" si="6"/>
        <v>1</v>
      </c>
      <c r="Q864" s="3">
        <f t="shared" si="7"/>
        <v>1</v>
      </c>
      <c r="U864" s="3">
        <f t="shared" si="8"/>
        <v>1</v>
      </c>
      <c r="V864" s="3" t="str">
        <f t="shared" si="9"/>
        <v>Överlapp</v>
      </c>
      <c r="W864" s="3" t="str">
        <f t="shared" si="10"/>
        <v>Överlapp</v>
      </c>
      <c r="X864" s="3" t="str">
        <f t="shared" si="11"/>
        <v/>
      </c>
    </row>
    <row r="865">
      <c r="A865" s="1" t="s">
        <v>866</v>
      </c>
      <c r="B865" s="3" t="str">
        <f>IFERROR(__xludf.DUMMYFUNCTION("SPLIT(A865, "","")"),"3-64")</f>
        <v>3-64</v>
      </c>
      <c r="C865" s="4">
        <f>IFERROR(__xludf.DUMMYFUNCTION("""COMPUTED_VALUE"""),44623.0)</f>
        <v>44623</v>
      </c>
      <c r="D865" s="3">
        <f>IFERROR(__xludf.DUMMYFUNCTION("SPLIT(B865, ""-"")"),3.0)</f>
        <v>3</v>
      </c>
      <c r="E865" s="3">
        <f>IFERROR(__xludf.DUMMYFUNCTION("""COMPUTED_VALUE"""),64.0)</f>
        <v>64</v>
      </c>
      <c r="F865" s="3">
        <f>IFERROR(__xludf.DUMMYFUNCTION("SPLIT(C865, ""-"")"),3.0)</f>
        <v>3</v>
      </c>
      <c r="G865" s="3">
        <f>IFERROR(__xludf.DUMMYFUNCTION("""COMPUTED_VALUE"""),3.0)</f>
        <v>3</v>
      </c>
      <c r="I865" s="3" t="str">
        <f t="shared" si="1"/>
        <v>y</v>
      </c>
      <c r="J865" s="3" t="str">
        <f t="shared" si="2"/>
        <v>y</v>
      </c>
      <c r="K865" s="3" t="str">
        <f t="shared" si="3"/>
        <v>y</v>
      </c>
      <c r="L865" s="3" t="str">
        <f t="shared" si="4"/>
        <v/>
      </c>
      <c r="N865" s="3">
        <f t="shared" si="5"/>
        <v>1</v>
      </c>
      <c r="O865" s="3" t="str">
        <f t="shared" si="6"/>
        <v/>
      </c>
      <c r="Q865" s="3">
        <f t="shared" si="7"/>
        <v>1</v>
      </c>
      <c r="U865" s="3" t="str">
        <f t="shared" si="8"/>
        <v>Överlapp</v>
      </c>
      <c r="V865" s="3" t="str">
        <f t="shared" si="9"/>
        <v>Överlapp</v>
      </c>
      <c r="W865" s="3" t="str">
        <f t="shared" si="10"/>
        <v>Överlapp</v>
      </c>
      <c r="X865" s="3" t="str">
        <f t="shared" si="11"/>
        <v/>
      </c>
    </row>
    <row r="866">
      <c r="A866" s="1" t="s">
        <v>867</v>
      </c>
      <c r="B866" s="3" t="str">
        <f>IFERROR(__xludf.DUMMYFUNCTION("SPLIT(A866, "","")"),"16-47")</f>
        <v>16-47</v>
      </c>
      <c r="C866" s="3" t="str">
        <f>IFERROR(__xludf.DUMMYFUNCTION("""COMPUTED_VALUE"""),"17-47")</f>
        <v>17-47</v>
      </c>
      <c r="D866" s="3">
        <f>IFERROR(__xludf.DUMMYFUNCTION("SPLIT(B866, ""-"")"),16.0)</f>
        <v>16</v>
      </c>
      <c r="E866" s="3">
        <f>IFERROR(__xludf.DUMMYFUNCTION("""COMPUTED_VALUE"""),47.0)</f>
        <v>47</v>
      </c>
      <c r="F866" s="3">
        <f>IFERROR(__xludf.DUMMYFUNCTION("SPLIT(C866, ""-"")"),17.0)</f>
        <v>17</v>
      </c>
      <c r="G866" s="3">
        <f>IFERROR(__xludf.DUMMYFUNCTION("""COMPUTED_VALUE"""),47.0)</f>
        <v>47</v>
      </c>
      <c r="I866" s="3" t="str">
        <f t="shared" si="1"/>
        <v>y</v>
      </c>
      <c r="J866" s="3" t="str">
        <f t="shared" si="2"/>
        <v>y</v>
      </c>
      <c r="K866" s="3" t="str">
        <f t="shared" si="3"/>
        <v/>
      </c>
      <c r="L866" s="3" t="str">
        <f t="shared" si="4"/>
        <v>y</v>
      </c>
      <c r="N866" s="3">
        <f t="shared" si="5"/>
        <v>1</v>
      </c>
      <c r="O866" s="3" t="str">
        <f t="shared" si="6"/>
        <v/>
      </c>
      <c r="Q866" s="3">
        <f t="shared" si="7"/>
        <v>1</v>
      </c>
      <c r="U866" s="3" t="str">
        <f t="shared" si="8"/>
        <v>Överlapp</v>
      </c>
      <c r="V866" s="3" t="str">
        <f t="shared" si="9"/>
        <v>Överlapp</v>
      </c>
      <c r="W866" s="3" t="str">
        <f t="shared" si="10"/>
        <v>Överlapp</v>
      </c>
      <c r="X866" s="3" t="str">
        <f t="shared" si="11"/>
        <v/>
      </c>
    </row>
    <row r="867">
      <c r="A867" s="1" t="s">
        <v>868</v>
      </c>
      <c r="B867" s="3" t="str">
        <f>IFERROR(__xludf.DUMMYFUNCTION("SPLIT(A867, "","")"),"19-48")</f>
        <v>19-48</v>
      </c>
      <c r="C867" s="3" t="str">
        <f>IFERROR(__xludf.DUMMYFUNCTION("""COMPUTED_VALUE"""),"18-64")</f>
        <v>18-64</v>
      </c>
      <c r="D867" s="3">
        <f>IFERROR(__xludf.DUMMYFUNCTION("SPLIT(B867, ""-"")"),19.0)</f>
        <v>19</v>
      </c>
      <c r="E867" s="3">
        <f>IFERROR(__xludf.DUMMYFUNCTION("""COMPUTED_VALUE"""),48.0)</f>
        <v>48</v>
      </c>
      <c r="F867" s="3">
        <f>IFERROR(__xludf.DUMMYFUNCTION("SPLIT(C867, ""-"")"),18.0)</f>
        <v>18</v>
      </c>
      <c r="G867" s="3">
        <f>IFERROR(__xludf.DUMMYFUNCTION("""COMPUTED_VALUE"""),64.0)</f>
        <v>64</v>
      </c>
      <c r="I867" s="3" t="str">
        <f t="shared" si="1"/>
        <v/>
      </c>
      <c r="J867" s="3" t="str">
        <f t="shared" si="2"/>
        <v/>
      </c>
      <c r="K867" s="3" t="str">
        <f t="shared" si="3"/>
        <v>y</v>
      </c>
      <c r="L867" s="3" t="str">
        <f t="shared" si="4"/>
        <v>y</v>
      </c>
      <c r="N867" s="3" t="str">
        <f t="shared" si="5"/>
        <v/>
      </c>
      <c r="O867" s="3">
        <f t="shared" si="6"/>
        <v>1</v>
      </c>
      <c r="Q867" s="3">
        <f t="shared" si="7"/>
        <v>1</v>
      </c>
      <c r="U867" s="3">
        <f t="shared" si="8"/>
        <v>1</v>
      </c>
      <c r="V867" s="3" t="str">
        <f t="shared" si="9"/>
        <v>Överlapp</v>
      </c>
      <c r="W867" s="3" t="str">
        <f t="shared" si="10"/>
        <v>Överlapp</v>
      </c>
      <c r="X867" s="3" t="str">
        <f t="shared" si="11"/>
        <v/>
      </c>
    </row>
    <row r="868">
      <c r="A868" s="1" t="s">
        <v>869</v>
      </c>
      <c r="B868" s="3" t="str">
        <f>IFERROR(__xludf.DUMMYFUNCTION("SPLIT(A868, "","")"),"6-85")</f>
        <v>6-85</v>
      </c>
      <c r="C868" s="4">
        <f>IFERROR(__xludf.DUMMYFUNCTION("""COMPUTED_VALUE"""),44749.0)</f>
        <v>44749</v>
      </c>
      <c r="D868" s="3">
        <f>IFERROR(__xludf.DUMMYFUNCTION("SPLIT(B868, ""-"")"),6.0)</f>
        <v>6</v>
      </c>
      <c r="E868" s="3">
        <f>IFERROR(__xludf.DUMMYFUNCTION("""COMPUTED_VALUE"""),85.0)</f>
        <v>85</v>
      </c>
      <c r="F868" s="3">
        <f>IFERROR(__xludf.DUMMYFUNCTION("SPLIT(C868, ""-"")"),7.0)</f>
        <v>7</v>
      </c>
      <c r="G868" s="3">
        <f>IFERROR(__xludf.DUMMYFUNCTION("""COMPUTED_VALUE"""),7.0)</f>
        <v>7</v>
      </c>
      <c r="I868" s="3" t="str">
        <f t="shared" si="1"/>
        <v>y</v>
      </c>
      <c r="J868" s="3" t="str">
        <f t="shared" si="2"/>
        <v>y</v>
      </c>
      <c r="K868" s="3" t="str">
        <f t="shared" si="3"/>
        <v/>
      </c>
      <c r="L868" s="3" t="str">
        <f t="shared" si="4"/>
        <v/>
      </c>
      <c r="N868" s="3">
        <f t="shared" si="5"/>
        <v>1</v>
      </c>
      <c r="O868" s="3" t="str">
        <f t="shared" si="6"/>
        <v/>
      </c>
      <c r="Q868" s="3">
        <f t="shared" si="7"/>
        <v>1</v>
      </c>
      <c r="U868" s="3">
        <f t="shared" si="8"/>
        <v>1</v>
      </c>
      <c r="V868" s="3" t="str">
        <f t="shared" si="9"/>
        <v>Överlapp</v>
      </c>
      <c r="W868" s="3" t="str">
        <f t="shared" si="10"/>
        <v>Överlapp</v>
      </c>
      <c r="X868" s="3" t="str">
        <f t="shared" si="11"/>
        <v/>
      </c>
    </row>
    <row r="869">
      <c r="A869" s="1" t="s">
        <v>870</v>
      </c>
      <c r="B869" s="3" t="str">
        <f>IFERROR(__xludf.DUMMYFUNCTION("SPLIT(A869, "","")"),"92-97")</f>
        <v>92-97</v>
      </c>
      <c r="C869" s="3" t="str">
        <f>IFERROR(__xludf.DUMMYFUNCTION("""COMPUTED_VALUE"""),"73-92")</f>
        <v>73-92</v>
      </c>
      <c r="D869" s="3">
        <f>IFERROR(__xludf.DUMMYFUNCTION("SPLIT(B869, ""-"")"),92.0)</f>
        <v>92</v>
      </c>
      <c r="E869" s="3">
        <f>IFERROR(__xludf.DUMMYFUNCTION("""COMPUTED_VALUE"""),97.0)</f>
        <v>97</v>
      </c>
      <c r="F869" s="3">
        <f>IFERROR(__xludf.DUMMYFUNCTION("SPLIT(C869, ""-"")"),73.0)</f>
        <v>73</v>
      </c>
      <c r="G869" s="3">
        <f>IFERROR(__xludf.DUMMYFUNCTION("""COMPUTED_VALUE"""),92.0)</f>
        <v>92</v>
      </c>
      <c r="I869" s="3" t="str">
        <f t="shared" si="1"/>
        <v/>
      </c>
      <c r="J869" s="3" t="str">
        <f t="shared" si="2"/>
        <v>y</v>
      </c>
      <c r="K869" s="3" t="str">
        <f t="shared" si="3"/>
        <v>y</v>
      </c>
      <c r="L869" s="3" t="str">
        <f t="shared" si="4"/>
        <v/>
      </c>
      <c r="N869" s="3" t="str">
        <f t="shared" si="5"/>
        <v/>
      </c>
      <c r="O869" s="3" t="str">
        <f t="shared" si="6"/>
        <v/>
      </c>
      <c r="Q869" s="3" t="str">
        <f t="shared" si="7"/>
        <v/>
      </c>
      <c r="U869" s="3" t="str">
        <f t="shared" si="8"/>
        <v>Överlapp</v>
      </c>
      <c r="V869" s="3" t="str">
        <f t="shared" si="9"/>
        <v>Överlapp</v>
      </c>
      <c r="W869" s="3" t="str">
        <f t="shared" si="10"/>
        <v>Överlapp</v>
      </c>
      <c r="X869" s="3" t="str">
        <f t="shared" si="11"/>
        <v/>
      </c>
    </row>
    <row r="870">
      <c r="A870" s="1" t="s">
        <v>871</v>
      </c>
      <c r="B870" s="3" t="str">
        <f>IFERROR(__xludf.DUMMYFUNCTION("SPLIT(A870, "","")"),"37-52")</f>
        <v>37-52</v>
      </c>
      <c r="C870" s="3" t="str">
        <f>IFERROR(__xludf.DUMMYFUNCTION("""COMPUTED_VALUE"""),"21-53")</f>
        <v>21-53</v>
      </c>
      <c r="D870" s="3">
        <f>IFERROR(__xludf.DUMMYFUNCTION("SPLIT(B870, ""-"")"),37.0)</f>
        <v>37</v>
      </c>
      <c r="E870" s="3">
        <f>IFERROR(__xludf.DUMMYFUNCTION("""COMPUTED_VALUE"""),52.0)</f>
        <v>52</v>
      </c>
      <c r="F870" s="3">
        <f>IFERROR(__xludf.DUMMYFUNCTION("SPLIT(C870, ""-"")"),21.0)</f>
        <v>21</v>
      </c>
      <c r="G870" s="3">
        <f>IFERROR(__xludf.DUMMYFUNCTION("""COMPUTED_VALUE"""),53.0)</f>
        <v>53</v>
      </c>
      <c r="I870" s="3" t="str">
        <f t="shared" si="1"/>
        <v/>
      </c>
      <c r="J870" s="3" t="str">
        <f t="shared" si="2"/>
        <v/>
      </c>
      <c r="K870" s="3" t="str">
        <f t="shared" si="3"/>
        <v>y</v>
      </c>
      <c r="L870" s="3" t="str">
        <f t="shared" si="4"/>
        <v>y</v>
      </c>
      <c r="N870" s="3" t="str">
        <f t="shared" si="5"/>
        <v/>
      </c>
      <c r="O870" s="3">
        <f t="shared" si="6"/>
        <v>1</v>
      </c>
      <c r="Q870" s="3">
        <f t="shared" si="7"/>
        <v>1</v>
      </c>
      <c r="U870" s="3">
        <f t="shared" si="8"/>
        <v>1</v>
      </c>
      <c r="V870" s="3" t="str">
        <f t="shared" si="9"/>
        <v>Överlapp</v>
      </c>
      <c r="W870" s="3" t="str">
        <f t="shared" si="10"/>
        <v>Överlapp</v>
      </c>
      <c r="X870" s="3" t="str">
        <f t="shared" si="11"/>
        <v/>
      </c>
    </row>
    <row r="871">
      <c r="A871" s="1" t="s">
        <v>872</v>
      </c>
      <c r="B871" s="3" t="str">
        <f>IFERROR(__xludf.DUMMYFUNCTION("SPLIT(A871, "","")"),"3-43")</f>
        <v>3-43</v>
      </c>
      <c r="C871" s="3" t="str">
        <f>IFERROR(__xludf.DUMMYFUNCTION("""COMPUTED_VALUE"""),"42-42")</f>
        <v>42-42</v>
      </c>
      <c r="D871" s="3">
        <f>IFERROR(__xludf.DUMMYFUNCTION("SPLIT(B871, ""-"")"),3.0)</f>
        <v>3</v>
      </c>
      <c r="E871" s="3">
        <f>IFERROR(__xludf.DUMMYFUNCTION("""COMPUTED_VALUE"""),43.0)</f>
        <v>43</v>
      </c>
      <c r="F871" s="3">
        <f>IFERROR(__xludf.DUMMYFUNCTION("SPLIT(C871, ""-"")"),42.0)</f>
        <v>42</v>
      </c>
      <c r="G871" s="3">
        <f>IFERROR(__xludf.DUMMYFUNCTION("""COMPUTED_VALUE"""),42.0)</f>
        <v>42</v>
      </c>
      <c r="I871" s="3" t="str">
        <f t="shared" si="1"/>
        <v>y</v>
      </c>
      <c r="J871" s="3" t="str">
        <f t="shared" si="2"/>
        <v>y</v>
      </c>
      <c r="K871" s="3" t="str">
        <f t="shared" si="3"/>
        <v/>
      </c>
      <c r="L871" s="3" t="str">
        <f t="shared" si="4"/>
        <v/>
      </c>
      <c r="N871" s="3">
        <f t="shared" si="5"/>
        <v>1</v>
      </c>
      <c r="O871" s="3" t="str">
        <f t="shared" si="6"/>
        <v/>
      </c>
      <c r="Q871" s="3">
        <f t="shared" si="7"/>
        <v>1</v>
      </c>
      <c r="U871" s="3">
        <f t="shared" si="8"/>
        <v>1</v>
      </c>
      <c r="V871" s="3" t="str">
        <f t="shared" si="9"/>
        <v>Överlapp</v>
      </c>
      <c r="W871" s="3" t="str">
        <f t="shared" si="10"/>
        <v>Överlapp</v>
      </c>
      <c r="X871" s="3" t="str">
        <f t="shared" si="11"/>
        <v/>
      </c>
    </row>
    <row r="872">
      <c r="A872" s="1" t="s">
        <v>873</v>
      </c>
      <c r="B872" s="3" t="str">
        <f>IFERROR(__xludf.DUMMYFUNCTION("SPLIT(A872, "","")"),"74-99")</f>
        <v>74-99</v>
      </c>
      <c r="C872" s="3" t="str">
        <f>IFERROR(__xludf.DUMMYFUNCTION("""COMPUTED_VALUE"""),"23-94")</f>
        <v>23-94</v>
      </c>
      <c r="D872" s="3">
        <f>IFERROR(__xludf.DUMMYFUNCTION("SPLIT(B872, ""-"")"),74.0)</f>
        <v>74</v>
      </c>
      <c r="E872" s="3">
        <f>IFERROR(__xludf.DUMMYFUNCTION("""COMPUTED_VALUE"""),99.0)</f>
        <v>99</v>
      </c>
      <c r="F872" s="3">
        <f>IFERROR(__xludf.DUMMYFUNCTION("SPLIT(C872, ""-"")"),23.0)</f>
        <v>23</v>
      </c>
      <c r="G872" s="3">
        <f>IFERROR(__xludf.DUMMYFUNCTION("""COMPUTED_VALUE"""),94.0)</f>
        <v>94</v>
      </c>
      <c r="I872" s="3" t="str">
        <f t="shared" si="1"/>
        <v/>
      </c>
      <c r="J872" s="3" t="str">
        <f t="shared" si="2"/>
        <v>y</v>
      </c>
      <c r="K872" s="3" t="str">
        <f t="shared" si="3"/>
        <v>y</v>
      </c>
      <c r="L872" s="3" t="str">
        <f t="shared" si="4"/>
        <v/>
      </c>
      <c r="N872" s="3" t="str">
        <f t="shared" si="5"/>
        <v/>
      </c>
      <c r="O872" s="3" t="str">
        <f t="shared" si="6"/>
        <v/>
      </c>
      <c r="Q872" s="3" t="str">
        <f t="shared" si="7"/>
        <v/>
      </c>
      <c r="U872" s="3">
        <f t="shared" si="8"/>
        <v>1</v>
      </c>
      <c r="V872" s="3" t="str">
        <f t="shared" si="9"/>
        <v>Överlapp</v>
      </c>
      <c r="W872" s="3" t="str">
        <f t="shared" si="10"/>
        <v>Överlapp</v>
      </c>
      <c r="X872" s="3" t="str">
        <f t="shared" si="11"/>
        <v/>
      </c>
    </row>
    <row r="873">
      <c r="A873" s="1" t="s">
        <v>874</v>
      </c>
      <c r="B873" s="3" t="str">
        <f>IFERROR(__xludf.DUMMYFUNCTION("SPLIT(A873, "","")"),"24-48")</f>
        <v>24-48</v>
      </c>
      <c r="C873" s="3" t="str">
        <f>IFERROR(__xludf.DUMMYFUNCTION("""COMPUTED_VALUE"""),"54-58")</f>
        <v>54-58</v>
      </c>
      <c r="D873" s="3">
        <f>IFERROR(__xludf.DUMMYFUNCTION("SPLIT(B873, ""-"")"),24.0)</f>
        <v>24</v>
      </c>
      <c r="E873" s="3">
        <f>IFERROR(__xludf.DUMMYFUNCTION("""COMPUTED_VALUE"""),48.0)</f>
        <v>48</v>
      </c>
      <c r="F873" s="3">
        <f>IFERROR(__xludf.DUMMYFUNCTION("SPLIT(C873, ""-"")"),54.0)</f>
        <v>54</v>
      </c>
      <c r="G873" s="3">
        <f>IFERROR(__xludf.DUMMYFUNCTION("""COMPUTED_VALUE"""),58.0)</f>
        <v>58</v>
      </c>
      <c r="I873" s="3" t="str">
        <f t="shared" si="1"/>
        <v>y</v>
      </c>
      <c r="J873" s="3" t="str">
        <f t="shared" si="2"/>
        <v/>
      </c>
      <c r="K873" s="3" t="str">
        <f t="shared" si="3"/>
        <v/>
      </c>
      <c r="L873" s="3" t="str">
        <f t="shared" si="4"/>
        <v>y</v>
      </c>
      <c r="N873" s="3" t="str">
        <f t="shared" si="5"/>
        <v/>
      </c>
      <c r="O873" s="3" t="str">
        <f t="shared" si="6"/>
        <v/>
      </c>
      <c r="Q873" s="3" t="str">
        <f t="shared" si="7"/>
        <v/>
      </c>
      <c r="U873" s="3">
        <f t="shared" si="8"/>
        <v>1</v>
      </c>
      <c r="V873" s="3">
        <f t="shared" si="9"/>
        <v>1</v>
      </c>
      <c r="W873" s="3" t="str">
        <f t="shared" si="10"/>
        <v>Överlapp</v>
      </c>
      <c r="X873" s="3">
        <f t="shared" si="11"/>
        <v>1</v>
      </c>
    </row>
    <row r="874">
      <c r="A874" s="1" t="s">
        <v>875</v>
      </c>
      <c r="B874" s="3" t="str">
        <f>IFERROR(__xludf.DUMMYFUNCTION("SPLIT(A874, "","")"),"44-91")</f>
        <v>44-91</v>
      </c>
      <c r="C874" s="3" t="str">
        <f>IFERROR(__xludf.DUMMYFUNCTION("""COMPUTED_VALUE"""),"93-97")</f>
        <v>93-97</v>
      </c>
      <c r="D874" s="3">
        <f>IFERROR(__xludf.DUMMYFUNCTION("SPLIT(B874, ""-"")"),44.0)</f>
        <v>44</v>
      </c>
      <c r="E874" s="3">
        <f>IFERROR(__xludf.DUMMYFUNCTION("""COMPUTED_VALUE"""),91.0)</f>
        <v>91</v>
      </c>
      <c r="F874" s="3">
        <f>IFERROR(__xludf.DUMMYFUNCTION("SPLIT(C874, ""-"")"),93.0)</f>
        <v>93</v>
      </c>
      <c r="G874" s="3">
        <f>IFERROR(__xludf.DUMMYFUNCTION("""COMPUTED_VALUE"""),97.0)</f>
        <v>97</v>
      </c>
      <c r="I874" s="3" t="str">
        <f t="shared" si="1"/>
        <v>y</v>
      </c>
      <c r="J874" s="3" t="str">
        <f t="shared" si="2"/>
        <v/>
      </c>
      <c r="K874" s="3" t="str">
        <f t="shared" si="3"/>
        <v/>
      </c>
      <c r="L874" s="3" t="str">
        <f t="shared" si="4"/>
        <v>y</v>
      </c>
      <c r="N874" s="3" t="str">
        <f t="shared" si="5"/>
        <v/>
      </c>
      <c r="O874" s="3" t="str">
        <f t="shared" si="6"/>
        <v/>
      </c>
      <c r="Q874" s="3" t="str">
        <f t="shared" si="7"/>
        <v/>
      </c>
      <c r="U874" s="3">
        <f t="shared" si="8"/>
        <v>1</v>
      </c>
      <c r="V874" s="3">
        <f t="shared" si="9"/>
        <v>1</v>
      </c>
      <c r="W874" s="3" t="str">
        <f t="shared" si="10"/>
        <v>Överlapp</v>
      </c>
      <c r="X874" s="3">
        <f t="shared" si="11"/>
        <v>1</v>
      </c>
    </row>
    <row r="875">
      <c r="A875" s="1" t="s">
        <v>876</v>
      </c>
      <c r="B875" s="3" t="str">
        <f>IFERROR(__xludf.DUMMYFUNCTION("SPLIT(A875, "","")"),"16-94")</f>
        <v>16-94</v>
      </c>
      <c r="C875" s="3" t="str">
        <f>IFERROR(__xludf.DUMMYFUNCTION("""COMPUTED_VALUE"""),"16-95")</f>
        <v>16-95</v>
      </c>
      <c r="D875" s="3">
        <f>IFERROR(__xludf.DUMMYFUNCTION("SPLIT(B875, ""-"")"),16.0)</f>
        <v>16</v>
      </c>
      <c r="E875" s="3">
        <f>IFERROR(__xludf.DUMMYFUNCTION("""COMPUTED_VALUE"""),94.0)</f>
        <v>94</v>
      </c>
      <c r="F875" s="3">
        <f>IFERROR(__xludf.DUMMYFUNCTION("SPLIT(C875, ""-"")"),16.0)</f>
        <v>16</v>
      </c>
      <c r="G875" s="3">
        <f>IFERROR(__xludf.DUMMYFUNCTION("""COMPUTED_VALUE"""),95.0)</f>
        <v>95</v>
      </c>
      <c r="I875" s="3" t="str">
        <f t="shared" si="1"/>
        <v>y</v>
      </c>
      <c r="J875" s="3" t="str">
        <f t="shared" si="2"/>
        <v/>
      </c>
      <c r="K875" s="3" t="str">
        <f t="shared" si="3"/>
        <v>y</v>
      </c>
      <c r="L875" s="3" t="str">
        <f t="shared" si="4"/>
        <v>y</v>
      </c>
      <c r="N875" s="3" t="str">
        <f t="shared" si="5"/>
        <v/>
      </c>
      <c r="O875" s="3">
        <f t="shared" si="6"/>
        <v>1</v>
      </c>
      <c r="Q875" s="3">
        <f t="shared" si="7"/>
        <v>1</v>
      </c>
      <c r="U875" s="3" t="str">
        <f t="shared" si="8"/>
        <v>Överlapp</v>
      </c>
      <c r="V875" s="3" t="str">
        <f t="shared" si="9"/>
        <v>Överlapp</v>
      </c>
      <c r="W875" s="3" t="str">
        <f t="shared" si="10"/>
        <v>Överlapp</v>
      </c>
      <c r="X875" s="3" t="str">
        <f t="shared" si="11"/>
        <v/>
      </c>
    </row>
    <row r="876">
      <c r="A876" s="1" t="s">
        <v>877</v>
      </c>
      <c r="B876" s="3" t="str">
        <f>IFERROR(__xludf.DUMMYFUNCTION("SPLIT(A876, "","")"),"7-93")</f>
        <v>7-93</v>
      </c>
      <c r="C876" s="3" t="str">
        <f>IFERROR(__xludf.DUMMYFUNCTION("""COMPUTED_VALUE"""),"8-93")</f>
        <v>8-93</v>
      </c>
      <c r="D876" s="3">
        <f>IFERROR(__xludf.DUMMYFUNCTION("SPLIT(B876, ""-"")"),7.0)</f>
        <v>7</v>
      </c>
      <c r="E876" s="3">
        <f>IFERROR(__xludf.DUMMYFUNCTION("""COMPUTED_VALUE"""),93.0)</f>
        <v>93</v>
      </c>
      <c r="F876" s="3">
        <f>IFERROR(__xludf.DUMMYFUNCTION("SPLIT(C876, ""-"")"),8.0)</f>
        <v>8</v>
      </c>
      <c r="G876" s="3">
        <f>IFERROR(__xludf.DUMMYFUNCTION("""COMPUTED_VALUE"""),93.0)</f>
        <v>93</v>
      </c>
      <c r="I876" s="3" t="str">
        <f t="shared" si="1"/>
        <v>y</v>
      </c>
      <c r="J876" s="3" t="str">
        <f t="shared" si="2"/>
        <v>y</v>
      </c>
      <c r="K876" s="3" t="str">
        <f t="shared" si="3"/>
        <v/>
      </c>
      <c r="L876" s="3" t="str">
        <f t="shared" si="4"/>
        <v>y</v>
      </c>
      <c r="N876" s="3">
        <f t="shared" si="5"/>
        <v>1</v>
      </c>
      <c r="O876" s="3" t="str">
        <f t="shared" si="6"/>
        <v/>
      </c>
      <c r="Q876" s="3">
        <f t="shared" si="7"/>
        <v>1</v>
      </c>
      <c r="U876" s="3" t="str">
        <f t="shared" si="8"/>
        <v>Överlapp</v>
      </c>
      <c r="V876" s="3" t="str">
        <f t="shared" si="9"/>
        <v>Överlapp</v>
      </c>
      <c r="W876" s="3" t="str">
        <f t="shared" si="10"/>
        <v>Överlapp</v>
      </c>
      <c r="X876" s="3" t="str">
        <f t="shared" si="11"/>
        <v/>
      </c>
    </row>
    <row r="877">
      <c r="A877" s="1" t="s">
        <v>878</v>
      </c>
      <c r="B877" s="3" t="str">
        <f>IFERROR(__xludf.DUMMYFUNCTION("SPLIT(A877, "","")"),"7-91")</f>
        <v>7-91</v>
      </c>
      <c r="C877" s="3" t="str">
        <f>IFERROR(__xludf.DUMMYFUNCTION("""COMPUTED_VALUE"""),"90-91")</f>
        <v>90-91</v>
      </c>
      <c r="D877" s="3">
        <f>IFERROR(__xludf.DUMMYFUNCTION("SPLIT(B877, ""-"")"),7.0)</f>
        <v>7</v>
      </c>
      <c r="E877" s="3">
        <f>IFERROR(__xludf.DUMMYFUNCTION("""COMPUTED_VALUE"""),91.0)</f>
        <v>91</v>
      </c>
      <c r="F877" s="3">
        <f>IFERROR(__xludf.DUMMYFUNCTION("SPLIT(C877, ""-"")"),90.0)</f>
        <v>90</v>
      </c>
      <c r="G877" s="3">
        <f>IFERROR(__xludf.DUMMYFUNCTION("""COMPUTED_VALUE"""),91.0)</f>
        <v>91</v>
      </c>
      <c r="I877" s="3" t="str">
        <f t="shared" si="1"/>
        <v>y</v>
      </c>
      <c r="J877" s="3" t="str">
        <f t="shared" si="2"/>
        <v>y</v>
      </c>
      <c r="K877" s="3" t="str">
        <f t="shared" si="3"/>
        <v/>
      </c>
      <c r="L877" s="3" t="str">
        <f t="shared" si="4"/>
        <v>y</v>
      </c>
      <c r="N877" s="3">
        <f t="shared" si="5"/>
        <v>1</v>
      </c>
      <c r="O877" s="3" t="str">
        <f t="shared" si="6"/>
        <v/>
      </c>
      <c r="Q877" s="3">
        <f t="shared" si="7"/>
        <v>1</v>
      </c>
      <c r="U877" s="3" t="str">
        <f t="shared" si="8"/>
        <v>Överlapp</v>
      </c>
      <c r="V877" s="3" t="str">
        <f t="shared" si="9"/>
        <v>Överlapp</v>
      </c>
      <c r="W877" s="3" t="str">
        <f t="shared" si="10"/>
        <v>Överlapp</v>
      </c>
      <c r="X877" s="3" t="str">
        <f t="shared" si="11"/>
        <v/>
      </c>
    </row>
    <row r="878">
      <c r="A878" s="1" t="s">
        <v>879</v>
      </c>
      <c r="B878" s="3" t="str">
        <f>IFERROR(__xludf.DUMMYFUNCTION("SPLIT(A878, "","")"),"28-86")</f>
        <v>28-86</v>
      </c>
      <c r="C878" s="3" t="str">
        <f>IFERROR(__xludf.DUMMYFUNCTION("""COMPUTED_VALUE"""),"10-87")</f>
        <v>10-87</v>
      </c>
      <c r="D878" s="3">
        <f>IFERROR(__xludf.DUMMYFUNCTION("SPLIT(B878, ""-"")"),28.0)</f>
        <v>28</v>
      </c>
      <c r="E878" s="3">
        <f>IFERROR(__xludf.DUMMYFUNCTION("""COMPUTED_VALUE"""),86.0)</f>
        <v>86</v>
      </c>
      <c r="F878" s="3">
        <f>IFERROR(__xludf.DUMMYFUNCTION("SPLIT(C878, ""-"")"),10.0)</f>
        <v>10</v>
      </c>
      <c r="G878" s="3">
        <f>IFERROR(__xludf.DUMMYFUNCTION("""COMPUTED_VALUE"""),87.0)</f>
        <v>87</v>
      </c>
      <c r="I878" s="3" t="str">
        <f t="shared" si="1"/>
        <v/>
      </c>
      <c r="J878" s="3" t="str">
        <f t="shared" si="2"/>
        <v/>
      </c>
      <c r="K878" s="3" t="str">
        <f t="shared" si="3"/>
        <v>y</v>
      </c>
      <c r="L878" s="3" t="str">
        <f t="shared" si="4"/>
        <v>y</v>
      </c>
      <c r="N878" s="3" t="str">
        <f t="shared" si="5"/>
        <v/>
      </c>
      <c r="O878" s="3">
        <f t="shared" si="6"/>
        <v>1</v>
      </c>
      <c r="Q878" s="3">
        <f t="shared" si="7"/>
        <v>1</v>
      </c>
      <c r="U878" s="3">
        <f t="shared" si="8"/>
        <v>1</v>
      </c>
      <c r="V878" s="3" t="str">
        <f t="shared" si="9"/>
        <v>Överlapp</v>
      </c>
      <c r="W878" s="3" t="str">
        <f t="shared" si="10"/>
        <v>Överlapp</v>
      </c>
      <c r="X878" s="3" t="str">
        <f t="shared" si="11"/>
        <v/>
      </c>
    </row>
    <row r="879">
      <c r="A879" s="1" t="s">
        <v>880</v>
      </c>
      <c r="B879" s="3" t="str">
        <f>IFERROR(__xludf.DUMMYFUNCTION("SPLIT(A879, "","")"),"13-44")</f>
        <v>13-44</v>
      </c>
      <c r="C879" s="3" t="str">
        <f>IFERROR(__xludf.DUMMYFUNCTION("""COMPUTED_VALUE"""),"13-45")</f>
        <v>13-45</v>
      </c>
      <c r="D879" s="3">
        <f>IFERROR(__xludf.DUMMYFUNCTION("SPLIT(B879, ""-"")"),13.0)</f>
        <v>13</v>
      </c>
      <c r="E879" s="3">
        <f>IFERROR(__xludf.DUMMYFUNCTION("""COMPUTED_VALUE"""),44.0)</f>
        <v>44</v>
      </c>
      <c r="F879" s="3">
        <f>IFERROR(__xludf.DUMMYFUNCTION("SPLIT(C879, ""-"")"),13.0)</f>
        <v>13</v>
      </c>
      <c r="G879" s="3">
        <f>IFERROR(__xludf.DUMMYFUNCTION("""COMPUTED_VALUE"""),45.0)</f>
        <v>45</v>
      </c>
      <c r="I879" s="3" t="str">
        <f t="shared" si="1"/>
        <v>y</v>
      </c>
      <c r="J879" s="3" t="str">
        <f t="shared" si="2"/>
        <v/>
      </c>
      <c r="K879" s="3" t="str">
        <f t="shared" si="3"/>
        <v>y</v>
      </c>
      <c r="L879" s="3" t="str">
        <f t="shared" si="4"/>
        <v>y</v>
      </c>
      <c r="N879" s="3" t="str">
        <f t="shared" si="5"/>
        <v/>
      </c>
      <c r="O879" s="3">
        <f t="shared" si="6"/>
        <v>1</v>
      </c>
      <c r="Q879" s="3">
        <f t="shared" si="7"/>
        <v>1</v>
      </c>
      <c r="U879" s="3" t="str">
        <f t="shared" si="8"/>
        <v>Överlapp</v>
      </c>
      <c r="V879" s="3" t="str">
        <f t="shared" si="9"/>
        <v>Överlapp</v>
      </c>
      <c r="W879" s="3" t="str">
        <f t="shared" si="10"/>
        <v>Överlapp</v>
      </c>
      <c r="X879" s="3" t="str">
        <f t="shared" si="11"/>
        <v/>
      </c>
    </row>
    <row r="880">
      <c r="A880" s="1" t="s">
        <v>881</v>
      </c>
      <c r="B880" s="3" t="str">
        <f>IFERROR(__xludf.DUMMYFUNCTION("SPLIT(A880, "","")"),"21-98")</f>
        <v>21-98</v>
      </c>
      <c r="C880" s="3" t="str">
        <f>IFERROR(__xludf.DUMMYFUNCTION("""COMPUTED_VALUE"""),"26-97")</f>
        <v>26-97</v>
      </c>
      <c r="D880" s="3">
        <f>IFERROR(__xludf.DUMMYFUNCTION("SPLIT(B880, ""-"")"),21.0)</f>
        <v>21</v>
      </c>
      <c r="E880" s="3">
        <f>IFERROR(__xludf.DUMMYFUNCTION("""COMPUTED_VALUE"""),98.0)</f>
        <v>98</v>
      </c>
      <c r="F880" s="3">
        <f>IFERROR(__xludf.DUMMYFUNCTION("SPLIT(C880, ""-"")"),26.0)</f>
        <v>26</v>
      </c>
      <c r="G880" s="3">
        <f>IFERROR(__xludf.DUMMYFUNCTION("""COMPUTED_VALUE"""),97.0)</f>
        <v>97</v>
      </c>
      <c r="I880" s="3" t="str">
        <f t="shared" si="1"/>
        <v>y</v>
      </c>
      <c r="J880" s="3" t="str">
        <f t="shared" si="2"/>
        <v>y</v>
      </c>
      <c r="K880" s="3" t="str">
        <f t="shared" si="3"/>
        <v/>
      </c>
      <c r="L880" s="3" t="str">
        <f t="shared" si="4"/>
        <v/>
      </c>
      <c r="N880" s="3">
        <f t="shared" si="5"/>
        <v>1</v>
      </c>
      <c r="O880" s="3" t="str">
        <f t="shared" si="6"/>
        <v/>
      </c>
      <c r="Q880" s="3">
        <f t="shared" si="7"/>
        <v>1</v>
      </c>
      <c r="U880" s="3">
        <f t="shared" si="8"/>
        <v>1</v>
      </c>
      <c r="V880" s="3" t="str">
        <f t="shared" si="9"/>
        <v>Överlapp</v>
      </c>
      <c r="W880" s="3" t="str">
        <f t="shared" si="10"/>
        <v>Överlapp</v>
      </c>
      <c r="X880" s="3" t="str">
        <f t="shared" si="11"/>
        <v/>
      </c>
    </row>
    <row r="881">
      <c r="A881" s="1" t="s">
        <v>882</v>
      </c>
      <c r="B881" s="3" t="str">
        <f>IFERROR(__xludf.DUMMYFUNCTION("SPLIT(A881, "","")"),"6-97")</f>
        <v>6-97</v>
      </c>
      <c r="C881" s="3" t="str">
        <f>IFERROR(__xludf.DUMMYFUNCTION("""COMPUTED_VALUE"""),"7-98")</f>
        <v>7-98</v>
      </c>
      <c r="D881" s="3">
        <f>IFERROR(__xludf.DUMMYFUNCTION("SPLIT(B881, ""-"")"),6.0)</f>
        <v>6</v>
      </c>
      <c r="E881" s="3">
        <f>IFERROR(__xludf.DUMMYFUNCTION("""COMPUTED_VALUE"""),97.0)</f>
        <v>97</v>
      </c>
      <c r="F881" s="3">
        <f>IFERROR(__xludf.DUMMYFUNCTION("SPLIT(C881, ""-"")"),7.0)</f>
        <v>7</v>
      </c>
      <c r="G881" s="3">
        <f>IFERROR(__xludf.DUMMYFUNCTION("""COMPUTED_VALUE"""),98.0)</f>
        <v>98</v>
      </c>
      <c r="I881" s="3" t="str">
        <f t="shared" si="1"/>
        <v>y</v>
      </c>
      <c r="J881" s="3" t="str">
        <f t="shared" si="2"/>
        <v/>
      </c>
      <c r="K881" s="3" t="str">
        <f t="shared" si="3"/>
        <v/>
      </c>
      <c r="L881" s="3" t="str">
        <f t="shared" si="4"/>
        <v>y</v>
      </c>
      <c r="N881" s="3" t="str">
        <f t="shared" si="5"/>
        <v/>
      </c>
      <c r="O881" s="3" t="str">
        <f t="shared" si="6"/>
        <v/>
      </c>
      <c r="Q881" s="3" t="str">
        <f t="shared" si="7"/>
        <v/>
      </c>
      <c r="U881" s="3">
        <f t="shared" si="8"/>
        <v>1</v>
      </c>
      <c r="V881" s="3" t="str">
        <f t="shared" si="9"/>
        <v>Överlapp</v>
      </c>
      <c r="W881" s="3" t="str">
        <f t="shared" si="10"/>
        <v>Överlapp</v>
      </c>
      <c r="X881" s="3" t="str">
        <f t="shared" si="11"/>
        <v/>
      </c>
    </row>
    <row r="882">
      <c r="A882" s="1" t="s">
        <v>883</v>
      </c>
      <c r="B882" s="3" t="str">
        <f>IFERROR(__xludf.DUMMYFUNCTION("SPLIT(A882, "","")"),"49-75")</f>
        <v>49-75</v>
      </c>
      <c r="C882" s="3" t="str">
        <f>IFERROR(__xludf.DUMMYFUNCTION("""COMPUTED_VALUE"""),"49-75")</f>
        <v>49-75</v>
      </c>
      <c r="D882" s="3">
        <f>IFERROR(__xludf.DUMMYFUNCTION("SPLIT(B882, ""-"")"),49.0)</f>
        <v>49</v>
      </c>
      <c r="E882" s="3">
        <f>IFERROR(__xludf.DUMMYFUNCTION("""COMPUTED_VALUE"""),75.0)</f>
        <v>75</v>
      </c>
      <c r="F882" s="3">
        <f>IFERROR(__xludf.DUMMYFUNCTION("SPLIT(C882, ""-"")"),49.0)</f>
        <v>49</v>
      </c>
      <c r="G882" s="3">
        <f>IFERROR(__xludf.DUMMYFUNCTION("""COMPUTED_VALUE"""),75.0)</f>
        <v>75</v>
      </c>
      <c r="I882" s="3" t="str">
        <f t="shared" si="1"/>
        <v>y</v>
      </c>
      <c r="J882" s="3" t="str">
        <f t="shared" si="2"/>
        <v>y</v>
      </c>
      <c r="K882" s="3" t="str">
        <f t="shared" si="3"/>
        <v>y</v>
      </c>
      <c r="L882" s="3" t="str">
        <f t="shared" si="4"/>
        <v>y</v>
      </c>
      <c r="N882" s="3">
        <f t="shared" si="5"/>
        <v>1</v>
      </c>
      <c r="O882" s="3">
        <f t="shared" si="6"/>
        <v>1</v>
      </c>
      <c r="Q882" s="3">
        <f t="shared" si="7"/>
        <v>1</v>
      </c>
      <c r="U882" s="3" t="str">
        <f t="shared" si="8"/>
        <v>Överlapp</v>
      </c>
      <c r="V882" s="3" t="str">
        <f t="shared" si="9"/>
        <v>Överlapp</v>
      </c>
      <c r="W882" s="3" t="str">
        <f t="shared" si="10"/>
        <v>Överlapp</v>
      </c>
      <c r="X882" s="3" t="str">
        <f t="shared" si="11"/>
        <v/>
      </c>
    </row>
    <row r="883">
      <c r="A883" s="1" t="s">
        <v>884</v>
      </c>
      <c r="B883" s="3" t="str">
        <f>IFERROR(__xludf.DUMMYFUNCTION("SPLIT(A883, "","")"),"50-98")</f>
        <v>50-98</v>
      </c>
      <c r="C883" s="3" t="str">
        <f>IFERROR(__xludf.DUMMYFUNCTION("""COMPUTED_VALUE"""),"50-50")</f>
        <v>50-50</v>
      </c>
      <c r="D883" s="3">
        <f>IFERROR(__xludf.DUMMYFUNCTION("SPLIT(B883, ""-"")"),50.0)</f>
        <v>50</v>
      </c>
      <c r="E883" s="3">
        <f>IFERROR(__xludf.DUMMYFUNCTION("""COMPUTED_VALUE"""),98.0)</f>
        <v>98</v>
      </c>
      <c r="F883" s="3">
        <f>IFERROR(__xludf.DUMMYFUNCTION("SPLIT(C883, ""-"")"),50.0)</f>
        <v>50</v>
      </c>
      <c r="G883" s="3">
        <f>IFERROR(__xludf.DUMMYFUNCTION("""COMPUTED_VALUE"""),50.0)</f>
        <v>50</v>
      </c>
      <c r="I883" s="3" t="str">
        <f t="shared" si="1"/>
        <v>y</v>
      </c>
      <c r="J883" s="3" t="str">
        <f t="shared" si="2"/>
        <v>y</v>
      </c>
      <c r="K883" s="3" t="str">
        <f t="shared" si="3"/>
        <v>y</v>
      </c>
      <c r="L883" s="3" t="str">
        <f t="shared" si="4"/>
        <v/>
      </c>
      <c r="N883" s="3">
        <f t="shared" si="5"/>
        <v>1</v>
      </c>
      <c r="O883" s="3" t="str">
        <f t="shared" si="6"/>
        <v/>
      </c>
      <c r="Q883" s="3">
        <f t="shared" si="7"/>
        <v>1</v>
      </c>
      <c r="U883" s="3" t="str">
        <f t="shared" si="8"/>
        <v>Överlapp</v>
      </c>
      <c r="V883" s="3" t="str">
        <f t="shared" si="9"/>
        <v>Överlapp</v>
      </c>
      <c r="W883" s="3" t="str">
        <f t="shared" si="10"/>
        <v>Överlapp</v>
      </c>
      <c r="X883" s="3" t="str">
        <f t="shared" si="11"/>
        <v/>
      </c>
    </row>
    <row r="884">
      <c r="A884" s="1" t="s">
        <v>885</v>
      </c>
      <c r="B884" s="4">
        <f>IFERROR(__xludf.DUMMYFUNCTION("SPLIT(A884, "","")"),44717.0)</f>
        <v>44717</v>
      </c>
      <c r="C884" s="4">
        <f>IFERROR(__xludf.DUMMYFUNCTION("""COMPUTED_VALUE"""),44686.0)</f>
        <v>44686</v>
      </c>
      <c r="D884" s="3">
        <f>IFERROR(__xludf.DUMMYFUNCTION("SPLIT(B884, ""-"")"),5.0)</f>
        <v>5</v>
      </c>
      <c r="E884" s="3">
        <f>IFERROR(__xludf.DUMMYFUNCTION("""COMPUTED_VALUE"""),6.0)</f>
        <v>6</v>
      </c>
      <c r="F884" s="3">
        <f>IFERROR(__xludf.DUMMYFUNCTION("SPLIT(C884, ""-"")"),5.0)</f>
        <v>5</v>
      </c>
      <c r="G884" s="3">
        <f>IFERROR(__xludf.DUMMYFUNCTION("""COMPUTED_VALUE"""),5.0)</f>
        <v>5</v>
      </c>
      <c r="I884" s="3" t="str">
        <f t="shared" si="1"/>
        <v>y</v>
      </c>
      <c r="J884" s="3" t="str">
        <f t="shared" si="2"/>
        <v>y</v>
      </c>
      <c r="K884" s="3" t="str">
        <f t="shared" si="3"/>
        <v>y</v>
      </c>
      <c r="L884" s="3" t="str">
        <f t="shared" si="4"/>
        <v/>
      </c>
      <c r="N884" s="3">
        <f t="shared" si="5"/>
        <v>1</v>
      </c>
      <c r="O884" s="3" t="str">
        <f t="shared" si="6"/>
        <v/>
      </c>
      <c r="Q884" s="3">
        <f t="shared" si="7"/>
        <v>1</v>
      </c>
      <c r="U884" s="3" t="str">
        <f t="shared" si="8"/>
        <v>Överlapp</v>
      </c>
      <c r="V884" s="3" t="str">
        <f t="shared" si="9"/>
        <v>Överlapp</v>
      </c>
      <c r="W884" s="3" t="str">
        <f t="shared" si="10"/>
        <v>Överlapp</v>
      </c>
      <c r="X884" s="3" t="str">
        <f t="shared" si="11"/>
        <v/>
      </c>
    </row>
    <row r="885">
      <c r="A885" s="1" t="s">
        <v>886</v>
      </c>
      <c r="B885" s="3" t="str">
        <f>IFERROR(__xludf.DUMMYFUNCTION("SPLIT(A885, "","")"),"15-40")</f>
        <v>15-40</v>
      </c>
      <c r="C885" s="3" t="str">
        <f>IFERROR(__xludf.DUMMYFUNCTION("""COMPUTED_VALUE"""),"40-41")</f>
        <v>40-41</v>
      </c>
      <c r="D885" s="3">
        <f>IFERROR(__xludf.DUMMYFUNCTION("SPLIT(B885, ""-"")"),15.0)</f>
        <v>15</v>
      </c>
      <c r="E885" s="3">
        <f>IFERROR(__xludf.DUMMYFUNCTION("""COMPUTED_VALUE"""),40.0)</f>
        <v>40</v>
      </c>
      <c r="F885" s="3">
        <f>IFERROR(__xludf.DUMMYFUNCTION("SPLIT(C885, ""-"")"),40.0)</f>
        <v>40</v>
      </c>
      <c r="G885" s="3">
        <f>IFERROR(__xludf.DUMMYFUNCTION("""COMPUTED_VALUE"""),41.0)</f>
        <v>41</v>
      </c>
      <c r="I885" s="3" t="str">
        <f t="shared" si="1"/>
        <v>y</v>
      </c>
      <c r="J885" s="3" t="str">
        <f t="shared" si="2"/>
        <v/>
      </c>
      <c r="K885" s="3" t="str">
        <f t="shared" si="3"/>
        <v/>
      </c>
      <c r="L885" s="3" t="str">
        <f t="shared" si="4"/>
        <v>y</v>
      </c>
      <c r="N885" s="3" t="str">
        <f t="shared" si="5"/>
        <v/>
      </c>
      <c r="O885" s="3" t="str">
        <f t="shared" si="6"/>
        <v/>
      </c>
      <c r="Q885" s="3" t="str">
        <f t="shared" si="7"/>
        <v/>
      </c>
      <c r="U885" s="3" t="str">
        <f t="shared" si="8"/>
        <v>Överlapp</v>
      </c>
      <c r="V885" s="3" t="str">
        <f t="shared" si="9"/>
        <v>Överlapp</v>
      </c>
      <c r="W885" s="3" t="str">
        <f t="shared" si="10"/>
        <v>Överlapp</v>
      </c>
      <c r="X885" s="3" t="str">
        <f t="shared" si="11"/>
        <v/>
      </c>
    </row>
    <row r="886">
      <c r="A886" s="1" t="s">
        <v>887</v>
      </c>
      <c r="B886" s="3" t="str">
        <f>IFERROR(__xludf.DUMMYFUNCTION("SPLIT(A886, "","")"),"14-96")</f>
        <v>14-96</v>
      </c>
      <c r="C886" s="3" t="str">
        <f>IFERROR(__xludf.DUMMYFUNCTION("""COMPUTED_VALUE"""),"6-97")</f>
        <v>6-97</v>
      </c>
      <c r="D886" s="3">
        <f>IFERROR(__xludf.DUMMYFUNCTION("SPLIT(B886, ""-"")"),14.0)</f>
        <v>14</v>
      </c>
      <c r="E886" s="3">
        <f>IFERROR(__xludf.DUMMYFUNCTION("""COMPUTED_VALUE"""),96.0)</f>
        <v>96</v>
      </c>
      <c r="F886" s="3">
        <f>IFERROR(__xludf.DUMMYFUNCTION("SPLIT(C886, ""-"")"),6.0)</f>
        <v>6</v>
      </c>
      <c r="G886" s="3">
        <f>IFERROR(__xludf.DUMMYFUNCTION("""COMPUTED_VALUE"""),97.0)</f>
        <v>97</v>
      </c>
      <c r="I886" s="3" t="str">
        <f t="shared" si="1"/>
        <v/>
      </c>
      <c r="J886" s="3" t="str">
        <f t="shared" si="2"/>
        <v/>
      </c>
      <c r="K886" s="3" t="str">
        <f t="shared" si="3"/>
        <v>y</v>
      </c>
      <c r="L886" s="3" t="str">
        <f t="shared" si="4"/>
        <v>y</v>
      </c>
      <c r="N886" s="3" t="str">
        <f t="shared" si="5"/>
        <v/>
      </c>
      <c r="O886" s="3">
        <f t="shared" si="6"/>
        <v>1</v>
      </c>
      <c r="Q886" s="3">
        <f t="shared" si="7"/>
        <v>1</v>
      </c>
      <c r="U886" s="3">
        <f t="shared" si="8"/>
        <v>1</v>
      </c>
      <c r="V886" s="3" t="str">
        <f t="shared" si="9"/>
        <v>Överlapp</v>
      </c>
      <c r="W886" s="3" t="str">
        <f t="shared" si="10"/>
        <v>Överlapp</v>
      </c>
      <c r="X886" s="3" t="str">
        <f t="shared" si="11"/>
        <v/>
      </c>
    </row>
    <row r="887">
      <c r="A887" s="1" t="s">
        <v>888</v>
      </c>
      <c r="B887" s="3" t="str">
        <f>IFERROR(__xludf.DUMMYFUNCTION("SPLIT(A887, "","")"),"13-67")</f>
        <v>13-67</v>
      </c>
      <c r="C887" s="3" t="str">
        <f>IFERROR(__xludf.DUMMYFUNCTION("""COMPUTED_VALUE"""),"14-67")</f>
        <v>14-67</v>
      </c>
      <c r="D887" s="3">
        <f>IFERROR(__xludf.DUMMYFUNCTION("SPLIT(B887, ""-"")"),13.0)</f>
        <v>13</v>
      </c>
      <c r="E887" s="3">
        <f>IFERROR(__xludf.DUMMYFUNCTION("""COMPUTED_VALUE"""),67.0)</f>
        <v>67</v>
      </c>
      <c r="F887" s="3">
        <f>IFERROR(__xludf.DUMMYFUNCTION("SPLIT(C887, ""-"")"),14.0)</f>
        <v>14</v>
      </c>
      <c r="G887" s="3">
        <f>IFERROR(__xludf.DUMMYFUNCTION("""COMPUTED_VALUE"""),67.0)</f>
        <v>67</v>
      </c>
      <c r="I887" s="3" t="str">
        <f t="shared" si="1"/>
        <v>y</v>
      </c>
      <c r="J887" s="3" t="str">
        <f t="shared" si="2"/>
        <v>y</v>
      </c>
      <c r="K887" s="3" t="str">
        <f t="shared" si="3"/>
        <v/>
      </c>
      <c r="L887" s="3" t="str">
        <f t="shared" si="4"/>
        <v>y</v>
      </c>
      <c r="N887" s="3">
        <f t="shared" si="5"/>
        <v>1</v>
      </c>
      <c r="O887" s="3" t="str">
        <f t="shared" si="6"/>
        <v/>
      </c>
      <c r="Q887" s="3">
        <f t="shared" si="7"/>
        <v>1</v>
      </c>
      <c r="U887" s="3" t="str">
        <f t="shared" si="8"/>
        <v>Överlapp</v>
      </c>
      <c r="V887" s="3" t="str">
        <f t="shared" si="9"/>
        <v>Överlapp</v>
      </c>
      <c r="W887" s="3" t="str">
        <f t="shared" si="10"/>
        <v>Överlapp</v>
      </c>
      <c r="X887" s="3" t="str">
        <f t="shared" si="11"/>
        <v/>
      </c>
    </row>
    <row r="888">
      <c r="A888" s="1" t="s">
        <v>889</v>
      </c>
      <c r="B888" s="3" t="str">
        <f>IFERROR(__xludf.DUMMYFUNCTION("SPLIT(A888, "","")"),"4-92")</f>
        <v>4-92</v>
      </c>
      <c r="C888" s="3" t="str">
        <f>IFERROR(__xludf.DUMMYFUNCTION("""COMPUTED_VALUE"""),"4-92")</f>
        <v>4-92</v>
      </c>
      <c r="D888" s="3">
        <f>IFERROR(__xludf.DUMMYFUNCTION("SPLIT(B888, ""-"")"),4.0)</f>
        <v>4</v>
      </c>
      <c r="E888" s="3">
        <f>IFERROR(__xludf.DUMMYFUNCTION("""COMPUTED_VALUE"""),92.0)</f>
        <v>92</v>
      </c>
      <c r="F888" s="3">
        <f>IFERROR(__xludf.DUMMYFUNCTION("SPLIT(C888, ""-"")"),4.0)</f>
        <v>4</v>
      </c>
      <c r="G888" s="3">
        <f>IFERROR(__xludf.DUMMYFUNCTION("""COMPUTED_VALUE"""),92.0)</f>
        <v>92</v>
      </c>
      <c r="I888" s="3" t="str">
        <f t="shared" si="1"/>
        <v>y</v>
      </c>
      <c r="J888" s="3" t="str">
        <f t="shared" si="2"/>
        <v>y</v>
      </c>
      <c r="K888" s="3" t="str">
        <f t="shared" si="3"/>
        <v>y</v>
      </c>
      <c r="L888" s="3" t="str">
        <f t="shared" si="4"/>
        <v>y</v>
      </c>
      <c r="N888" s="3">
        <f t="shared" si="5"/>
        <v>1</v>
      </c>
      <c r="O888" s="3">
        <f t="shared" si="6"/>
        <v>1</v>
      </c>
      <c r="Q888" s="3">
        <f t="shared" si="7"/>
        <v>1</v>
      </c>
      <c r="U888" s="3" t="str">
        <f t="shared" si="8"/>
        <v>Överlapp</v>
      </c>
      <c r="V888" s="3" t="str">
        <f t="shared" si="9"/>
        <v>Överlapp</v>
      </c>
      <c r="W888" s="3" t="str">
        <f t="shared" si="10"/>
        <v>Överlapp</v>
      </c>
      <c r="X888" s="3" t="str">
        <f t="shared" si="11"/>
        <v/>
      </c>
    </row>
    <row r="889">
      <c r="A889" s="1" t="s">
        <v>890</v>
      </c>
      <c r="B889" s="3" t="str">
        <f>IFERROR(__xludf.DUMMYFUNCTION("SPLIT(A889, "","")"),"4-79")</f>
        <v>4-79</v>
      </c>
      <c r="C889" s="3" t="str">
        <f>IFERROR(__xludf.DUMMYFUNCTION("""COMPUTED_VALUE"""),"3-78")</f>
        <v>3-78</v>
      </c>
      <c r="D889" s="3">
        <f>IFERROR(__xludf.DUMMYFUNCTION("SPLIT(B889, ""-"")"),4.0)</f>
        <v>4</v>
      </c>
      <c r="E889" s="3">
        <f>IFERROR(__xludf.DUMMYFUNCTION("""COMPUTED_VALUE"""),79.0)</f>
        <v>79</v>
      </c>
      <c r="F889" s="3">
        <f>IFERROR(__xludf.DUMMYFUNCTION("SPLIT(C889, ""-"")"),3.0)</f>
        <v>3</v>
      </c>
      <c r="G889" s="3">
        <f>IFERROR(__xludf.DUMMYFUNCTION("""COMPUTED_VALUE"""),78.0)</f>
        <v>78</v>
      </c>
      <c r="I889" s="3" t="str">
        <f t="shared" si="1"/>
        <v/>
      </c>
      <c r="J889" s="3" t="str">
        <f t="shared" si="2"/>
        <v>y</v>
      </c>
      <c r="K889" s="3" t="str">
        <f t="shared" si="3"/>
        <v>y</v>
      </c>
      <c r="L889" s="3" t="str">
        <f t="shared" si="4"/>
        <v/>
      </c>
      <c r="N889" s="3" t="str">
        <f t="shared" si="5"/>
        <v/>
      </c>
      <c r="O889" s="3" t="str">
        <f t="shared" si="6"/>
        <v/>
      </c>
      <c r="Q889" s="3" t="str">
        <f t="shared" si="7"/>
        <v/>
      </c>
      <c r="U889" s="3">
        <f t="shared" si="8"/>
        <v>1</v>
      </c>
      <c r="V889" s="3" t="str">
        <f t="shared" si="9"/>
        <v>Överlapp</v>
      </c>
      <c r="W889" s="3" t="str">
        <f t="shared" si="10"/>
        <v>Överlapp</v>
      </c>
      <c r="X889" s="3" t="str">
        <f t="shared" si="11"/>
        <v/>
      </c>
    </row>
    <row r="890">
      <c r="A890" s="1" t="s">
        <v>891</v>
      </c>
      <c r="B890" s="3" t="str">
        <f>IFERROR(__xludf.DUMMYFUNCTION("SPLIT(A890, "","")"),"90-96")</f>
        <v>90-96</v>
      </c>
      <c r="C890" s="3" t="str">
        <f>IFERROR(__xludf.DUMMYFUNCTION("""COMPUTED_VALUE"""),"14-90")</f>
        <v>14-90</v>
      </c>
      <c r="D890" s="3">
        <f>IFERROR(__xludf.DUMMYFUNCTION("SPLIT(B890, ""-"")"),90.0)</f>
        <v>90</v>
      </c>
      <c r="E890" s="3">
        <f>IFERROR(__xludf.DUMMYFUNCTION("""COMPUTED_VALUE"""),96.0)</f>
        <v>96</v>
      </c>
      <c r="F890" s="3">
        <f>IFERROR(__xludf.DUMMYFUNCTION("SPLIT(C890, ""-"")"),14.0)</f>
        <v>14</v>
      </c>
      <c r="G890" s="3">
        <f>IFERROR(__xludf.DUMMYFUNCTION("""COMPUTED_VALUE"""),90.0)</f>
        <v>90</v>
      </c>
      <c r="I890" s="3" t="str">
        <f t="shared" si="1"/>
        <v/>
      </c>
      <c r="J890" s="3" t="str">
        <f t="shared" si="2"/>
        <v>y</v>
      </c>
      <c r="K890" s="3" t="str">
        <f t="shared" si="3"/>
        <v>y</v>
      </c>
      <c r="L890" s="3" t="str">
        <f t="shared" si="4"/>
        <v/>
      </c>
      <c r="N890" s="3" t="str">
        <f t="shared" si="5"/>
        <v/>
      </c>
      <c r="O890" s="3" t="str">
        <f t="shared" si="6"/>
        <v/>
      </c>
      <c r="Q890" s="3" t="str">
        <f t="shared" si="7"/>
        <v/>
      </c>
      <c r="U890" s="3" t="str">
        <f t="shared" si="8"/>
        <v>Överlapp</v>
      </c>
      <c r="V890" s="3" t="str">
        <f t="shared" si="9"/>
        <v>Överlapp</v>
      </c>
      <c r="W890" s="3" t="str">
        <f t="shared" si="10"/>
        <v>Överlapp</v>
      </c>
      <c r="X890" s="3" t="str">
        <f t="shared" si="11"/>
        <v/>
      </c>
    </row>
    <row r="891">
      <c r="A891" s="1" t="s">
        <v>892</v>
      </c>
      <c r="B891" s="3" t="str">
        <f>IFERROR(__xludf.DUMMYFUNCTION("SPLIT(A891, "","")"),"24-24")</f>
        <v>24-24</v>
      </c>
      <c r="C891" s="3" t="str">
        <f>IFERROR(__xludf.DUMMYFUNCTION("""COMPUTED_VALUE"""),"14-24")</f>
        <v>14-24</v>
      </c>
      <c r="D891" s="3">
        <f>IFERROR(__xludf.DUMMYFUNCTION("SPLIT(B891, ""-"")"),24.0)</f>
        <v>24</v>
      </c>
      <c r="E891" s="3">
        <f>IFERROR(__xludf.DUMMYFUNCTION("""COMPUTED_VALUE"""),24.0)</f>
        <v>24</v>
      </c>
      <c r="F891" s="3">
        <f>IFERROR(__xludf.DUMMYFUNCTION("SPLIT(C891, ""-"")"),14.0)</f>
        <v>14</v>
      </c>
      <c r="G891" s="3">
        <f>IFERROR(__xludf.DUMMYFUNCTION("""COMPUTED_VALUE"""),24.0)</f>
        <v>24</v>
      </c>
      <c r="I891" s="3" t="str">
        <f t="shared" si="1"/>
        <v/>
      </c>
      <c r="J891" s="3" t="str">
        <f t="shared" si="2"/>
        <v>y</v>
      </c>
      <c r="K891" s="3" t="str">
        <f t="shared" si="3"/>
        <v>y</v>
      </c>
      <c r="L891" s="3" t="str">
        <f t="shared" si="4"/>
        <v>y</v>
      </c>
      <c r="N891" s="3" t="str">
        <f t="shared" si="5"/>
        <v/>
      </c>
      <c r="O891" s="3">
        <f t="shared" si="6"/>
        <v>1</v>
      </c>
      <c r="Q891" s="3">
        <f t="shared" si="7"/>
        <v>1</v>
      </c>
      <c r="U891" s="3" t="str">
        <f t="shared" si="8"/>
        <v>Överlapp</v>
      </c>
      <c r="V891" s="3" t="str">
        <f t="shared" si="9"/>
        <v>Överlapp</v>
      </c>
      <c r="W891" s="3" t="str">
        <f t="shared" si="10"/>
        <v>Överlapp</v>
      </c>
      <c r="X891" s="3" t="str">
        <f t="shared" si="11"/>
        <v/>
      </c>
    </row>
    <row r="892">
      <c r="A892" s="1" t="s">
        <v>893</v>
      </c>
      <c r="B892" s="3" t="str">
        <f>IFERROR(__xludf.DUMMYFUNCTION("SPLIT(A892, "","")"),"12-90")</f>
        <v>12-90</v>
      </c>
      <c r="C892" s="3" t="str">
        <f>IFERROR(__xludf.DUMMYFUNCTION("""COMPUTED_VALUE"""),"12-91")</f>
        <v>12-91</v>
      </c>
      <c r="D892" s="3">
        <f>IFERROR(__xludf.DUMMYFUNCTION("SPLIT(B892, ""-"")"),12.0)</f>
        <v>12</v>
      </c>
      <c r="E892" s="3">
        <f>IFERROR(__xludf.DUMMYFUNCTION("""COMPUTED_VALUE"""),90.0)</f>
        <v>90</v>
      </c>
      <c r="F892" s="3">
        <f>IFERROR(__xludf.DUMMYFUNCTION("SPLIT(C892, ""-"")"),12.0)</f>
        <v>12</v>
      </c>
      <c r="G892" s="3">
        <f>IFERROR(__xludf.DUMMYFUNCTION("""COMPUTED_VALUE"""),91.0)</f>
        <v>91</v>
      </c>
      <c r="I892" s="3" t="str">
        <f t="shared" si="1"/>
        <v>y</v>
      </c>
      <c r="J892" s="3" t="str">
        <f t="shared" si="2"/>
        <v/>
      </c>
      <c r="K892" s="3" t="str">
        <f t="shared" si="3"/>
        <v>y</v>
      </c>
      <c r="L892" s="3" t="str">
        <f t="shared" si="4"/>
        <v>y</v>
      </c>
      <c r="N892" s="3" t="str">
        <f t="shared" si="5"/>
        <v/>
      </c>
      <c r="O892" s="3">
        <f t="shared" si="6"/>
        <v>1</v>
      </c>
      <c r="Q892" s="3">
        <f t="shared" si="7"/>
        <v>1</v>
      </c>
      <c r="U892" s="3" t="str">
        <f t="shared" si="8"/>
        <v>Överlapp</v>
      </c>
      <c r="V892" s="3" t="str">
        <f t="shared" si="9"/>
        <v>Överlapp</v>
      </c>
      <c r="W892" s="3" t="str">
        <f t="shared" si="10"/>
        <v>Överlapp</v>
      </c>
      <c r="X892" s="3" t="str">
        <f t="shared" si="11"/>
        <v/>
      </c>
    </row>
    <row r="893">
      <c r="A893" s="1" t="s">
        <v>894</v>
      </c>
      <c r="B893" s="3" t="str">
        <f>IFERROR(__xludf.DUMMYFUNCTION("SPLIT(A893, "","")"),"30-69")</f>
        <v>30-69</v>
      </c>
      <c r="C893" s="3" t="str">
        <f>IFERROR(__xludf.DUMMYFUNCTION("""COMPUTED_VALUE"""),"30-30")</f>
        <v>30-30</v>
      </c>
      <c r="D893" s="3">
        <f>IFERROR(__xludf.DUMMYFUNCTION("SPLIT(B893, ""-"")"),30.0)</f>
        <v>30</v>
      </c>
      <c r="E893" s="3">
        <f>IFERROR(__xludf.DUMMYFUNCTION("""COMPUTED_VALUE"""),69.0)</f>
        <v>69</v>
      </c>
      <c r="F893" s="3">
        <f>IFERROR(__xludf.DUMMYFUNCTION("SPLIT(C893, ""-"")"),30.0)</f>
        <v>30</v>
      </c>
      <c r="G893" s="3">
        <f>IFERROR(__xludf.DUMMYFUNCTION("""COMPUTED_VALUE"""),30.0)</f>
        <v>30</v>
      </c>
      <c r="I893" s="3" t="str">
        <f t="shared" si="1"/>
        <v>y</v>
      </c>
      <c r="J893" s="3" t="str">
        <f t="shared" si="2"/>
        <v>y</v>
      </c>
      <c r="K893" s="3" t="str">
        <f t="shared" si="3"/>
        <v>y</v>
      </c>
      <c r="L893" s="3" t="str">
        <f t="shared" si="4"/>
        <v/>
      </c>
      <c r="N893" s="3">
        <f t="shared" si="5"/>
        <v>1</v>
      </c>
      <c r="O893" s="3" t="str">
        <f t="shared" si="6"/>
        <v/>
      </c>
      <c r="Q893" s="3">
        <f t="shared" si="7"/>
        <v>1</v>
      </c>
      <c r="U893" s="3" t="str">
        <f t="shared" si="8"/>
        <v>Överlapp</v>
      </c>
      <c r="V893" s="3" t="str">
        <f t="shared" si="9"/>
        <v>Överlapp</v>
      </c>
      <c r="W893" s="3" t="str">
        <f t="shared" si="10"/>
        <v>Överlapp</v>
      </c>
      <c r="X893" s="3" t="str">
        <f t="shared" si="11"/>
        <v/>
      </c>
    </row>
    <row r="894">
      <c r="A894" s="1" t="s">
        <v>895</v>
      </c>
      <c r="B894" s="3" t="str">
        <f>IFERROR(__xludf.DUMMYFUNCTION("SPLIT(A894, "","")"),"30-46")</f>
        <v>30-46</v>
      </c>
      <c r="C894" s="3" t="str">
        <f>IFERROR(__xludf.DUMMYFUNCTION("""COMPUTED_VALUE"""),"31-31")</f>
        <v>31-31</v>
      </c>
      <c r="D894" s="3">
        <f>IFERROR(__xludf.DUMMYFUNCTION("SPLIT(B894, ""-"")"),30.0)</f>
        <v>30</v>
      </c>
      <c r="E894" s="3">
        <f>IFERROR(__xludf.DUMMYFUNCTION("""COMPUTED_VALUE"""),46.0)</f>
        <v>46</v>
      </c>
      <c r="F894" s="3">
        <f>IFERROR(__xludf.DUMMYFUNCTION("SPLIT(C894, ""-"")"),31.0)</f>
        <v>31</v>
      </c>
      <c r="G894" s="3">
        <f>IFERROR(__xludf.DUMMYFUNCTION("""COMPUTED_VALUE"""),31.0)</f>
        <v>31</v>
      </c>
      <c r="I894" s="3" t="str">
        <f t="shared" si="1"/>
        <v>y</v>
      </c>
      <c r="J894" s="3" t="str">
        <f t="shared" si="2"/>
        <v>y</v>
      </c>
      <c r="K894" s="3" t="str">
        <f t="shared" si="3"/>
        <v/>
      </c>
      <c r="L894" s="3" t="str">
        <f t="shared" si="4"/>
        <v/>
      </c>
      <c r="N894" s="3">
        <f t="shared" si="5"/>
        <v>1</v>
      </c>
      <c r="O894" s="3" t="str">
        <f t="shared" si="6"/>
        <v/>
      </c>
      <c r="Q894" s="3">
        <f t="shared" si="7"/>
        <v>1</v>
      </c>
      <c r="U894" s="3">
        <f t="shared" si="8"/>
        <v>1</v>
      </c>
      <c r="V894" s="3" t="str">
        <f t="shared" si="9"/>
        <v>Överlapp</v>
      </c>
      <c r="W894" s="3" t="str">
        <f t="shared" si="10"/>
        <v>Överlapp</v>
      </c>
      <c r="X894" s="3" t="str">
        <f t="shared" si="11"/>
        <v/>
      </c>
    </row>
    <row r="895">
      <c r="A895" s="1" t="s">
        <v>896</v>
      </c>
      <c r="B895" s="3" t="str">
        <f>IFERROR(__xludf.DUMMYFUNCTION("SPLIT(A895, "","")"),"12-81")</f>
        <v>12-81</v>
      </c>
      <c r="C895" s="3" t="str">
        <f>IFERROR(__xludf.DUMMYFUNCTION("""COMPUTED_VALUE"""),"11-82")</f>
        <v>11-82</v>
      </c>
      <c r="D895" s="3">
        <f>IFERROR(__xludf.DUMMYFUNCTION("SPLIT(B895, ""-"")"),12.0)</f>
        <v>12</v>
      </c>
      <c r="E895" s="3">
        <f>IFERROR(__xludf.DUMMYFUNCTION("""COMPUTED_VALUE"""),81.0)</f>
        <v>81</v>
      </c>
      <c r="F895" s="3">
        <f>IFERROR(__xludf.DUMMYFUNCTION("SPLIT(C895, ""-"")"),11.0)</f>
        <v>11</v>
      </c>
      <c r="G895" s="3">
        <f>IFERROR(__xludf.DUMMYFUNCTION("""COMPUTED_VALUE"""),82.0)</f>
        <v>82</v>
      </c>
      <c r="I895" s="3" t="str">
        <f t="shared" si="1"/>
        <v/>
      </c>
      <c r="J895" s="3" t="str">
        <f t="shared" si="2"/>
        <v/>
      </c>
      <c r="K895" s="3" t="str">
        <f t="shared" si="3"/>
        <v>y</v>
      </c>
      <c r="L895" s="3" t="str">
        <f t="shared" si="4"/>
        <v>y</v>
      </c>
      <c r="N895" s="3" t="str">
        <f t="shared" si="5"/>
        <v/>
      </c>
      <c r="O895" s="3">
        <f t="shared" si="6"/>
        <v>1</v>
      </c>
      <c r="Q895" s="3">
        <f t="shared" si="7"/>
        <v>1</v>
      </c>
      <c r="U895" s="3">
        <f t="shared" si="8"/>
        <v>1</v>
      </c>
      <c r="V895" s="3" t="str">
        <f t="shared" si="9"/>
        <v>Överlapp</v>
      </c>
      <c r="W895" s="3" t="str">
        <f t="shared" si="10"/>
        <v>Överlapp</v>
      </c>
      <c r="X895" s="3" t="str">
        <f t="shared" si="11"/>
        <v/>
      </c>
    </row>
    <row r="896">
      <c r="A896" s="1" t="s">
        <v>897</v>
      </c>
      <c r="B896" s="3" t="str">
        <f>IFERROR(__xludf.DUMMYFUNCTION("SPLIT(A896, "","")"),"4-86")</f>
        <v>4-86</v>
      </c>
      <c r="C896" s="3" t="str">
        <f>IFERROR(__xludf.DUMMYFUNCTION("""COMPUTED_VALUE"""),"3-87")</f>
        <v>3-87</v>
      </c>
      <c r="D896" s="3">
        <f>IFERROR(__xludf.DUMMYFUNCTION("SPLIT(B896, ""-"")"),4.0)</f>
        <v>4</v>
      </c>
      <c r="E896" s="3">
        <f>IFERROR(__xludf.DUMMYFUNCTION("""COMPUTED_VALUE"""),86.0)</f>
        <v>86</v>
      </c>
      <c r="F896" s="3">
        <f>IFERROR(__xludf.DUMMYFUNCTION("SPLIT(C896, ""-"")"),3.0)</f>
        <v>3</v>
      </c>
      <c r="G896" s="3">
        <f>IFERROR(__xludf.DUMMYFUNCTION("""COMPUTED_VALUE"""),87.0)</f>
        <v>87</v>
      </c>
      <c r="I896" s="3" t="str">
        <f t="shared" si="1"/>
        <v/>
      </c>
      <c r="J896" s="3" t="str">
        <f t="shared" si="2"/>
        <v/>
      </c>
      <c r="K896" s="3" t="str">
        <f t="shared" si="3"/>
        <v>y</v>
      </c>
      <c r="L896" s="3" t="str">
        <f t="shared" si="4"/>
        <v>y</v>
      </c>
      <c r="N896" s="3" t="str">
        <f t="shared" si="5"/>
        <v/>
      </c>
      <c r="O896" s="3">
        <f t="shared" si="6"/>
        <v>1</v>
      </c>
      <c r="Q896" s="3">
        <f t="shared" si="7"/>
        <v>1</v>
      </c>
      <c r="U896" s="3">
        <f t="shared" si="8"/>
        <v>1</v>
      </c>
      <c r="V896" s="3" t="str">
        <f t="shared" si="9"/>
        <v>Överlapp</v>
      </c>
      <c r="W896" s="3" t="str">
        <f t="shared" si="10"/>
        <v>Överlapp</v>
      </c>
      <c r="X896" s="3" t="str">
        <f t="shared" si="11"/>
        <v/>
      </c>
    </row>
    <row r="897">
      <c r="A897" s="1" t="s">
        <v>898</v>
      </c>
      <c r="B897" s="3" t="str">
        <f>IFERROR(__xludf.DUMMYFUNCTION("SPLIT(A897, "","")"),"46-76")</f>
        <v>46-76</v>
      </c>
      <c r="C897" s="3" t="str">
        <f>IFERROR(__xludf.DUMMYFUNCTION("""COMPUTED_VALUE"""),"46-80")</f>
        <v>46-80</v>
      </c>
      <c r="D897" s="3">
        <f>IFERROR(__xludf.DUMMYFUNCTION("SPLIT(B897, ""-"")"),46.0)</f>
        <v>46</v>
      </c>
      <c r="E897" s="3">
        <f>IFERROR(__xludf.DUMMYFUNCTION("""COMPUTED_VALUE"""),76.0)</f>
        <v>76</v>
      </c>
      <c r="F897" s="3">
        <f>IFERROR(__xludf.DUMMYFUNCTION("SPLIT(C897, ""-"")"),46.0)</f>
        <v>46</v>
      </c>
      <c r="G897" s="3">
        <f>IFERROR(__xludf.DUMMYFUNCTION("""COMPUTED_VALUE"""),80.0)</f>
        <v>80</v>
      </c>
      <c r="I897" s="3" t="str">
        <f t="shared" si="1"/>
        <v>y</v>
      </c>
      <c r="J897" s="3" t="str">
        <f t="shared" si="2"/>
        <v/>
      </c>
      <c r="K897" s="3" t="str">
        <f t="shared" si="3"/>
        <v>y</v>
      </c>
      <c r="L897" s="3" t="str">
        <f t="shared" si="4"/>
        <v>y</v>
      </c>
      <c r="N897" s="3" t="str">
        <f t="shared" si="5"/>
        <v/>
      </c>
      <c r="O897" s="3">
        <f t="shared" si="6"/>
        <v>1</v>
      </c>
      <c r="Q897" s="3">
        <f t="shared" si="7"/>
        <v>1</v>
      </c>
      <c r="U897" s="3" t="str">
        <f t="shared" si="8"/>
        <v>Överlapp</v>
      </c>
      <c r="V897" s="3" t="str">
        <f t="shared" si="9"/>
        <v>Överlapp</v>
      </c>
      <c r="W897" s="3" t="str">
        <f t="shared" si="10"/>
        <v>Överlapp</v>
      </c>
      <c r="X897" s="3" t="str">
        <f t="shared" si="11"/>
        <v/>
      </c>
    </row>
    <row r="898">
      <c r="A898" s="1" t="s">
        <v>899</v>
      </c>
      <c r="B898" s="3" t="str">
        <f>IFERROR(__xludf.DUMMYFUNCTION("SPLIT(A898, "","")"),"12-81")</f>
        <v>12-81</v>
      </c>
      <c r="C898" s="3" t="str">
        <f>IFERROR(__xludf.DUMMYFUNCTION("""COMPUTED_VALUE"""),"13-83")</f>
        <v>13-83</v>
      </c>
      <c r="D898" s="3">
        <f>IFERROR(__xludf.DUMMYFUNCTION("SPLIT(B898, ""-"")"),12.0)</f>
        <v>12</v>
      </c>
      <c r="E898" s="3">
        <f>IFERROR(__xludf.DUMMYFUNCTION("""COMPUTED_VALUE"""),81.0)</f>
        <v>81</v>
      </c>
      <c r="F898" s="3">
        <f>IFERROR(__xludf.DUMMYFUNCTION("SPLIT(C898, ""-"")"),13.0)</f>
        <v>13</v>
      </c>
      <c r="G898" s="3">
        <f>IFERROR(__xludf.DUMMYFUNCTION("""COMPUTED_VALUE"""),83.0)</f>
        <v>83</v>
      </c>
      <c r="I898" s="3" t="str">
        <f t="shared" si="1"/>
        <v>y</v>
      </c>
      <c r="J898" s="3" t="str">
        <f t="shared" si="2"/>
        <v/>
      </c>
      <c r="K898" s="3" t="str">
        <f t="shared" si="3"/>
        <v/>
      </c>
      <c r="L898" s="3" t="str">
        <f t="shared" si="4"/>
        <v>y</v>
      </c>
      <c r="N898" s="3" t="str">
        <f t="shared" si="5"/>
        <v/>
      </c>
      <c r="O898" s="3" t="str">
        <f t="shared" si="6"/>
        <v/>
      </c>
      <c r="Q898" s="3" t="str">
        <f t="shared" si="7"/>
        <v/>
      </c>
      <c r="U898" s="3">
        <f t="shared" si="8"/>
        <v>1</v>
      </c>
      <c r="V898" s="3" t="str">
        <f t="shared" si="9"/>
        <v>Överlapp</v>
      </c>
      <c r="W898" s="3" t="str">
        <f t="shared" si="10"/>
        <v>Överlapp</v>
      </c>
      <c r="X898" s="3" t="str">
        <f t="shared" si="11"/>
        <v/>
      </c>
    </row>
    <row r="899">
      <c r="A899" s="1" t="s">
        <v>900</v>
      </c>
      <c r="B899" s="3" t="str">
        <f>IFERROR(__xludf.DUMMYFUNCTION("SPLIT(A899, "","")"),"91-96")</f>
        <v>91-96</v>
      </c>
      <c r="C899" s="3" t="str">
        <f>IFERROR(__xludf.DUMMYFUNCTION("""COMPUTED_VALUE"""),"1-91")</f>
        <v>1-91</v>
      </c>
      <c r="D899" s="3">
        <f>IFERROR(__xludf.DUMMYFUNCTION("SPLIT(B899, ""-"")"),91.0)</f>
        <v>91</v>
      </c>
      <c r="E899" s="3">
        <f>IFERROR(__xludf.DUMMYFUNCTION("""COMPUTED_VALUE"""),96.0)</f>
        <v>96</v>
      </c>
      <c r="F899" s="3">
        <f>IFERROR(__xludf.DUMMYFUNCTION("SPLIT(C899, ""-"")"),1.0)</f>
        <v>1</v>
      </c>
      <c r="G899" s="3">
        <f>IFERROR(__xludf.DUMMYFUNCTION("""COMPUTED_VALUE"""),91.0)</f>
        <v>91</v>
      </c>
      <c r="I899" s="3" t="str">
        <f t="shared" si="1"/>
        <v/>
      </c>
      <c r="J899" s="3" t="str">
        <f t="shared" si="2"/>
        <v>y</v>
      </c>
      <c r="K899" s="3" t="str">
        <f t="shared" si="3"/>
        <v>y</v>
      </c>
      <c r="L899" s="3" t="str">
        <f t="shared" si="4"/>
        <v/>
      </c>
      <c r="N899" s="3" t="str">
        <f t="shared" si="5"/>
        <v/>
      </c>
      <c r="O899" s="3" t="str">
        <f t="shared" si="6"/>
        <v/>
      </c>
      <c r="Q899" s="3" t="str">
        <f t="shared" si="7"/>
        <v/>
      </c>
      <c r="U899" s="3" t="str">
        <f t="shared" si="8"/>
        <v>Överlapp</v>
      </c>
      <c r="V899" s="3" t="str">
        <f t="shared" si="9"/>
        <v>Överlapp</v>
      </c>
      <c r="W899" s="3" t="str">
        <f t="shared" si="10"/>
        <v>Överlapp</v>
      </c>
      <c r="X899" s="3" t="str">
        <f t="shared" si="11"/>
        <v/>
      </c>
    </row>
    <row r="900">
      <c r="A900" s="1" t="s">
        <v>901</v>
      </c>
      <c r="B900" s="3" t="str">
        <f>IFERROR(__xludf.DUMMYFUNCTION("SPLIT(A900, "","")"),"32-40")</f>
        <v>32-40</v>
      </c>
      <c r="C900" s="3" t="str">
        <f>IFERROR(__xludf.DUMMYFUNCTION("""COMPUTED_VALUE"""),"33-33")</f>
        <v>33-33</v>
      </c>
      <c r="D900" s="3">
        <f>IFERROR(__xludf.DUMMYFUNCTION("SPLIT(B900, ""-"")"),32.0)</f>
        <v>32</v>
      </c>
      <c r="E900" s="3">
        <f>IFERROR(__xludf.DUMMYFUNCTION("""COMPUTED_VALUE"""),40.0)</f>
        <v>40</v>
      </c>
      <c r="F900" s="3">
        <f>IFERROR(__xludf.DUMMYFUNCTION("SPLIT(C900, ""-"")"),33.0)</f>
        <v>33</v>
      </c>
      <c r="G900" s="3">
        <f>IFERROR(__xludf.DUMMYFUNCTION("""COMPUTED_VALUE"""),33.0)</f>
        <v>33</v>
      </c>
      <c r="I900" s="3" t="str">
        <f t="shared" si="1"/>
        <v>y</v>
      </c>
      <c r="J900" s="3" t="str">
        <f t="shared" si="2"/>
        <v>y</v>
      </c>
      <c r="K900" s="3" t="str">
        <f t="shared" si="3"/>
        <v/>
      </c>
      <c r="L900" s="3" t="str">
        <f t="shared" si="4"/>
        <v/>
      </c>
      <c r="N900" s="3">
        <f t="shared" si="5"/>
        <v>1</v>
      </c>
      <c r="O900" s="3" t="str">
        <f t="shared" si="6"/>
        <v/>
      </c>
      <c r="Q900" s="3">
        <f t="shared" si="7"/>
        <v>1</v>
      </c>
      <c r="U900" s="3">
        <f t="shared" si="8"/>
        <v>1</v>
      </c>
      <c r="V900" s="3" t="str">
        <f t="shared" si="9"/>
        <v>Överlapp</v>
      </c>
      <c r="W900" s="3" t="str">
        <f t="shared" si="10"/>
        <v>Överlapp</v>
      </c>
      <c r="X900" s="3" t="str">
        <f t="shared" si="11"/>
        <v/>
      </c>
    </row>
    <row r="901">
      <c r="A901" s="1" t="s">
        <v>902</v>
      </c>
      <c r="B901" s="3" t="str">
        <f>IFERROR(__xludf.DUMMYFUNCTION("SPLIT(A901, "","")"),"7-97")</f>
        <v>7-97</v>
      </c>
      <c r="C901" s="3" t="str">
        <f>IFERROR(__xludf.DUMMYFUNCTION("""COMPUTED_VALUE"""),"4-96")</f>
        <v>4-96</v>
      </c>
      <c r="D901" s="3">
        <f>IFERROR(__xludf.DUMMYFUNCTION("SPLIT(B901, ""-"")"),7.0)</f>
        <v>7</v>
      </c>
      <c r="E901" s="3">
        <f>IFERROR(__xludf.DUMMYFUNCTION("""COMPUTED_VALUE"""),97.0)</f>
        <v>97</v>
      </c>
      <c r="F901" s="3">
        <f>IFERROR(__xludf.DUMMYFUNCTION("SPLIT(C901, ""-"")"),4.0)</f>
        <v>4</v>
      </c>
      <c r="G901" s="3">
        <f>IFERROR(__xludf.DUMMYFUNCTION("""COMPUTED_VALUE"""),96.0)</f>
        <v>96</v>
      </c>
      <c r="I901" s="3" t="str">
        <f t="shared" si="1"/>
        <v/>
      </c>
      <c r="J901" s="3" t="str">
        <f t="shared" si="2"/>
        <v>y</v>
      </c>
      <c r="K901" s="3" t="str">
        <f t="shared" si="3"/>
        <v>y</v>
      </c>
      <c r="L901" s="3" t="str">
        <f t="shared" si="4"/>
        <v/>
      </c>
      <c r="N901" s="3" t="str">
        <f t="shared" si="5"/>
        <v/>
      </c>
      <c r="O901" s="3" t="str">
        <f t="shared" si="6"/>
        <v/>
      </c>
      <c r="Q901" s="3" t="str">
        <f t="shared" si="7"/>
        <v/>
      </c>
      <c r="U901" s="3">
        <f t="shared" si="8"/>
        <v>1</v>
      </c>
      <c r="V901" s="3" t="str">
        <f t="shared" si="9"/>
        <v>Överlapp</v>
      </c>
      <c r="W901" s="3" t="str">
        <f t="shared" si="10"/>
        <v>Överlapp</v>
      </c>
      <c r="X901" s="3" t="str">
        <f t="shared" si="11"/>
        <v/>
      </c>
    </row>
    <row r="902">
      <c r="A902" s="1" t="s">
        <v>903</v>
      </c>
      <c r="B902" s="3" t="str">
        <f>IFERROR(__xludf.DUMMYFUNCTION("SPLIT(A902, "","")"),"46-46")</f>
        <v>46-46</v>
      </c>
      <c r="C902" s="3" t="str">
        <f>IFERROR(__xludf.DUMMYFUNCTION("""COMPUTED_VALUE"""),"47-52")</f>
        <v>47-52</v>
      </c>
      <c r="D902" s="3">
        <f>IFERROR(__xludf.DUMMYFUNCTION("SPLIT(B902, ""-"")"),46.0)</f>
        <v>46</v>
      </c>
      <c r="E902" s="3">
        <f>IFERROR(__xludf.DUMMYFUNCTION("""COMPUTED_VALUE"""),46.0)</f>
        <v>46</v>
      </c>
      <c r="F902" s="3">
        <f>IFERROR(__xludf.DUMMYFUNCTION("SPLIT(C902, ""-"")"),47.0)</f>
        <v>47</v>
      </c>
      <c r="G902" s="3">
        <f>IFERROR(__xludf.DUMMYFUNCTION("""COMPUTED_VALUE"""),52.0)</f>
        <v>52</v>
      </c>
      <c r="I902" s="3" t="str">
        <f t="shared" si="1"/>
        <v>y</v>
      </c>
      <c r="J902" s="3" t="str">
        <f t="shared" si="2"/>
        <v/>
      </c>
      <c r="K902" s="3" t="str">
        <f t="shared" si="3"/>
        <v/>
      </c>
      <c r="L902" s="3" t="str">
        <f t="shared" si="4"/>
        <v>y</v>
      </c>
      <c r="N902" s="3" t="str">
        <f t="shared" si="5"/>
        <v/>
      </c>
      <c r="O902" s="3" t="str">
        <f t="shared" si="6"/>
        <v/>
      </c>
      <c r="Q902" s="3" t="str">
        <f t="shared" si="7"/>
        <v/>
      </c>
      <c r="U902" s="3">
        <f t="shared" si="8"/>
        <v>1</v>
      </c>
      <c r="V902" s="3">
        <f t="shared" si="9"/>
        <v>1</v>
      </c>
      <c r="W902" s="3" t="str">
        <f t="shared" si="10"/>
        <v>Överlapp</v>
      </c>
      <c r="X902" s="3">
        <f t="shared" si="11"/>
        <v>1</v>
      </c>
    </row>
    <row r="903">
      <c r="A903" s="1" t="s">
        <v>904</v>
      </c>
      <c r="B903" s="3" t="str">
        <f>IFERROR(__xludf.DUMMYFUNCTION("SPLIT(A903, "","")"),"56-56")</f>
        <v>56-56</v>
      </c>
      <c r="C903" s="3" t="str">
        <f>IFERROR(__xludf.DUMMYFUNCTION("""COMPUTED_VALUE"""),"56-56")</f>
        <v>56-56</v>
      </c>
      <c r="D903" s="3">
        <f>IFERROR(__xludf.DUMMYFUNCTION("SPLIT(B903, ""-"")"),56.0)</f>
        <v>56</v>
      </c>
      <c r="E903" s="3">
        <f>IFERROR(__xludf.DUMMYFUNCTION("""COMPUTED_VALUE"""),56.0)</f>
        <v>56</v>
      </c>
      <c r="F903" s="3">
        <f>IFERROR(__xludf.DUMMYFUNCTION("SPLIT(C903, ""-"")"),56.0)</f>
        <v>56</v>
      </c>
      <c r="G903" s="3">
        <f>IFERROR(__xludf.DUMMYFUNCTION("""COMPUTED_VALUE"""),56.0)</f>
        <v>56</v>
      </c>
      <c r="I903" s="3" t="str">
        <f t="shared" si="1"/>
        <v>y</v>
      </c>
      <c r="J903" s="3" t="str">
        <f t="shared" si="2"/>
        <v>y</v>
      </c>
      <c r="K903" s="3" t="str">
        <f t="shared" si="3"/>
        <v>y</v>
      </c>
      <c r="L903" s="3" t="str">
        <f t="shared" si="4"/>
        <v>y</v>
      </c>
      <c r="N903" s="3">
        <f t="shared" si="5"/>
        <v>1</v>
      </c>
      <c r="O903" s="3">
        <f t="shared" si="6"/>
        <v>1</v>
      </c>
      <c r="Q903" s="3">
        <f t="shared" si="7"/>
        <v>1</v>
      </c>
      <c r="U903" s="3" t="str">
        <f t="shared" si="8"/>
        <v>Överlapp</v>
      </c>
      <c r="V903" s="3" t="str">
        <f t="shared" si="9"/>
        <v>Överlapp</v>
      </c>
      <c r="W903" s="3" t="str">
        <f t="shared" si="10"/>
        <v>Överlapp</v>
      </c>
      <c r="X903" s="3" t="str">
        <f t="shared" si="11"/>
        <v/>
      </c>
    </row>
    <row r="904">
      <c r="A904" s="1" t="s">
        <v>905</v>
      </c>
      <c r="B904" s="4">
        <f>IFERROR(__xludf.DUMMYFUNCTION("SPLIT(A904, "","")"),44907.0)</f>
        <v>44907</v>
      </c>
      <c r="C904" s="3" t="str">
        <f>IFERROR(__xludf.DUMMYFUNCTION("""COMPUTED_VALUE"""),"11-72")</f>
        <v>11-72</v>
      </c>
      <c r="D904" s="3">
        <f>IFERROR(__xludf.DUMMYFUNCTION("SPLIT(B904, ""-"")"),12.0)</f>
        <v>12</v>
      </c>
      <c r="E904" s="3">
        <f>IFERROR(__xludf.DUMMYFUNCTION("""COMPUTED_VALUE"""),12.0)</f>
        <v>12</v>
      </c>
      <c r="F904" s="3">
        <f>IFERROR(__xludf.DUMMYFUNCTION("SPLIT(C904, ""-"")"),11.0)</f>
        <v>11</v>
      </c>
      <c r="G904" s="3">
        <f>IFERROR(__xludf.DUMMYFUNCTION("""COMPUTED_VALUE"""),72.0)</f>
        <v>72</v>
      </c>
      <c r="I904" s="3" t="str">
        <f t="shared" si="1"/>
        <v/>
      </c>
      <c r="J904" s="3" t="str">
        <f t="shared" si="2"/>
        <v/>
      </c>
      <c r="K904" s="3" t="str">
        <f t="shared" si="3"/>
        <v>y</v>
      </c>
      <c r="L904" s="3" t="str">
        <f t="shared" si="4"/>
        <v>y</v>
      </c>
      <c r="N904" s="3" t="str">
        <f t="shared" si="5"/>
        <v/>
      </c>
      <c r="O904" s="3">
        <f t="shared" si="6"/>
        <v>1</v>
      </c>
      <c r="Q904" s="3">
        <f t="shared" si="7"/>
        <v>1</v>
      </c>
      <c r="U904" s="3">
        <f t="shared" si="8"/>
        <v>1</v>
      </c>
      <c r="V904" s="3" t="str">
        <f t="shared" si="9"/>
        <v>Överlapp</v>
      </c>
      <c r="W904" s="3" t="str">
        <f t="shared" si="10"/>
        <v>Överlapp</v>
      </c>
      <c r="X904" s="3" t="str">
        <f t="shared" si="11"/>
        <v/>
      </c>
    </row>
    <row r="905">
      <c r="A905" s="1" t="s">
        <v>906</v>
      </c>
      <c r="B905" s="4">
        <f>IFERROR(__xludf.DUMMYFUNCTION("SPLIT(A905, "","")"),44686.0)</f>
        <v>44686</v>
      </c>
      <c r="C905" s="3" t="str">
        <f>IFERROR(__xludf.DUMMYFUNCTION("""COMPUTED_VALUE"""),"4-60")</f>
        <v>4-60</v>
      </c>
      <c r="D905" s="3">
        <f>IFERROR(__xludf.DUMMYFUNCTION("SPLIT(B905, ""-"")"),5.0)</f>
        <v>5</v>
      </c>
      <c r="E905" s="3">
        <f>IFERROR(__xludf.DUMMYFUNCTION("""COMPUTED_VALUE"""),5.0)</f>
        <v>5</v>
      </c>
      <c r="F905" s="3">
        <f>IFERROR(__xludf.DUMMYFUNCTION("SPLIT(C905, ""-"")"),4.0)</f>
        <v>4</v>
      </c>
      <c r="G905" s="3">
        <f>IFERROR(__xludf.DUMMYFUNCTION("""COMPUTED_VALUE"""),60.0)</f>
        <v>60</v>
      </c>
      <c r="I905" s="3" t="str">
        <f t="shared" si="1"/>
        <v/>
      </c>
      <c r="J905" s="3" t="str">
        <f t="shared" si="2"/>
        <v/>
      </c>
      <c r="K905" s="3" t="str">
        <f t="shared" si="3"/>
        <v>y</v>
      </c>
      <c r="L905" s="3" t="str">
        <f t="shared" si="4"/>
        <v>y</v>
      </c>
      <c r="N905" s="3" t="str">
        <f t="shared" si="5"/>
        <v/>
      </c>
      <c r="O905" s="3">
        <f t="shared" si="6"/>
        <v>1</v>
      </c>
      <c r="Q905" s="3">
        <f t="shared" si="7"/>
        <v>1</v>
      </c>
      <c r="U905" s="3">
        <f t="shared" si="8"/>
        <v>1</v>
      </c>
      <c r="V905" s="3" t="str">
        <f t="shared" si="9"/>
        <v>Överlapp</v>
      </c>
      <c r="W905" s="3" t="str">
        <f t="shared" si="10"/>
        <v>Överlapp</v>
      </c>
      <c r="X905" s="3" t="str">
        <f t="shared" si="11"/>
        <v/>
      </c>
    </row>
    <row r="906">
      <c r="A906" s="1" t="s">
        <v>907</v>
      </c>
      <c r="B906" s="3" t="str">
        <f>IFERROR(__xludf.DUMMYFUNCTION("SPLIT(A906, "","")"),"9-91")</f>
        <v>9-91</v>
      </c>
      <c r="C906" s="3" t="str">
        <f>IFERROR(__xludf.DUMMYFUNCTION("""COMPUTED_VALUE"""),"83-93")</f>
        <v>83-93</v>
      </c>
      <c r="D906" s="3">
        <f>IFERROR(__xludf.DUMMYFUNCTION("SPLIT(B906, ""-"")"),9.0)</f>
        <v>9</v>
      </c>
      <c r="E906" s="3">
        <f>IFERROR(__xludf.DUMMYFUNCTION("""COMPUTED_VALUE"""),91.0)</f>
        <v>91</v>
      </c>
      <c r="F906" s="3">
        <f>IFERROR(__xludf.DUMMYFUNCTION("SPLIT(C906, ""-"")"),83.0)</f>
        <v>83</v>
      </c>
      <c r="G906" s="3">
        <f>IFERROR(__xludf.DUMMYFUNCTION("""COMPUTED_VALUE"""),93.0)</f>
        <v>93</v>
      </c>
      <c r="I906" s="3" t="str">
        <f t="shared" si="1"/>
        <v>y</v>
      </c>
      <c r="J906" s="3" t="str">
        <f t="shared" si="2"/>
        <v/>
      </c>
      <c r="K906" s="3" t="str">
        <f t="shared" si="3"/>
        <v/>
      </c>
      <c r="L906" s="3" t="str">
        <f t="shared" si="4"/>
        <v>y</v>
      </c>
      <c r="N906" s="3" t="str">
        <f t="shared" si="5"/>
        <v/>
      </c>
      <c r="O906" s="3" t="str">
        <f t="shared" si="6"/>
        <v/>
      </c>
      <c r="Q906" s="3" t="str">
        <f t="shared" si="7"/>
        <v/>
      </c>
      <c r="U906" s="3">
        <f t="shared" si="8"/>
        <v>1</v>
      </c>
      <c r="V906" s="3" t="str">
        <f t="shared" si="9"/>
        <v>Överlapp</v>
      </c>
      <c r="W906" s="3" t="str">
        <f t="shared" si="10"/>
        <v>Överlapp</v>
      </c>
      <c r="X906" s="3" t="str">
        <f t="shared" si="11"/>
        <v/>
      </c>
    </row>
    <row r="907">
      <c r="A907" s="1" t="s">
        <v>908</v>
      </c>
      <c r="B907" s="3" t="str">
        <f>IFERROR(__xludf.DUMMYFUNCTION("SPLIT(A907, "","")"),"30-94")</f>
        <v>30-94</v>
      </c>
      <c r="C907" s="3" t="str">
        <f>IFERROR(__xludf.DUMMYFUNCTION("""COMPUTED_VALUE"""),"30-94")</f>
        <v>30-94</v>
      </c>
      <c r="D907" s="3">
        <f>IFERROR(__xludf.DUMMYFUNCTION("SPLIT(B907, ""-"")"),30.0)</f>
        <v>30</v>
      </c>
      <c r="E907" s="3">
        <f>IFERROR(__xludf.DUMMYFUNCTION("""COMPUTED_VALUE"""),94.0)</f>
        <v>94</v>
      </c>
      <c r="F907" s="3">
        <f>IFERROR(__xludf.DUMMYFUNCTION("SPLIT(C907, ""-"")"),30.0)</f>
        <v>30</v>
      </c>
      <c r="G907" s="3">
        <f>IFERROR(__xludf.DUMMYFUNCTION("""COMPUTED_VALUE"""),94.0)</f>
        <v>94</v>
      </c>
      <c r="I907" s="3" t="str">
        <f t="shared" si="1"/>
        <v>y</v>
      </c>
      <c r="J907" s="3" t="str">
        <f t="shared" si="2"/>
        <v>y</v>
      </c>
      <c r="K907" s="3" t="str">
        <f t="shared" si="3"/>
        <v>y</v>
      </c>
      <c r="L907" s="3" t="str">
        <f t="shared" si="4"/>
        <v>y</v>
      </c>
      <c r="N907" s="3">
        <f t="shared" si="5"/>
        <v>1</v>
      </c>
      <c r="O907" s="3">
        <f t="shared" si="6"/>
        <v>1</v>
      </c>
      <c r="Q907" s="3">
        <f t="shared" si="7"/>
        <v>1</v>
      </c>
      <c r="U907" s="3" t="str">
        <f t="shared" si="8"/>
        <v>Överlapp</v>
      </c>
      <c r="V907" s="3" t="str">
        <f t="shared" si="9"/>
        <v>Överlapp</v>
      </c>
      <c r="W907" s="3" t="str">
        <f t="shared" si="10"/>
        <v>Överlapp</v>
      </c>
      <c r="X907" s="3" t="str">
        <f t="shared" si="11"/>
        <v/>
      </c>
    </row>
    <row r="908">
      <c r="A908" s="1" t="s">
        <v>909</v>
      </c>
      <c r="B908" s="3" t="str">
        <f>IFERROR(__xludf.DUMMYFUNCTION("SPLIT(A908, "","")"),"35-41")</f>
        <v>35-41</v>
      </c>
      <c r="C908" s="3" t="str">
        <f>IFERROR(__xludf.DUMMYFUNCTION("""COMPUTED_VALUE"""),"41-98")</f>
        <v>41-98</v>
      </c>
      <c r="D908" s="3">
        <f>IFERROR(__xludf.DUMMYFUNCTION("SPLIT(B908, ""-"")"),35.0)</f>
        <v>35</v>
      </c>
      <c r="E908" s="3">
        <f>IFERROR(__xludf.DUMMYFUNCTION("""COMPUTED_VALUE"""),41.0)</f>
        <v>41</v>
      </c>
      <c r="F908" s="3">
        <f>IFERROR(__xludf.DUMMYFUNCTION("SPLIT(C908, ""-"")"),41.0)</f>
        <v>41</v>
      </c>
      <c r="G908" s="3">
        <f>IFERROR(__xludf.DUMMYFUNCTION("""COMPUTED_VALUE"""),98.0)</f>
        <v>98</v>
      </c>
      <c r="I908" s="3" t="str">
        <f t="shared" si="1"/>
        <v>y</v>
      </c>
      <c r="J908" s="3" t="str">
        <f t="shared" si="2"/>
        <v/>
      </c>
      <c r="K908" s="3" t="str">
        <f t="shared" si="3"/>
        <v/>
      </c>
      <c r="L908" s="3" t="str">
        <f t="shared" si="4"/>
        <v>y</v>
      </c>
      <c r="N908" s="3" t="str">
        <f t="shared" si="5"/>
        <v/>
      </c>
      <c r="O908" s="3" t="str">
        <f t="shared" si="6"/>
        <v/>
      </c>
      <c r="Q908" s="3" t="str">
        <f t="shared" si="7"/>
        <v/>
      </c>
      <c r="U908" s="3" t="str">
        <f t="shared" si="8"/>
        <v>Överlapp</v>
      </c>
      <c r="V908" s="3" t="str">
        <f t="shared" si="9"/>
        <v>Överlapp</v>
      </c>
      <c r="W908" s="3" t="str">
        <f t="shared" si="10"/>
        <v>Överlapp</v>
      </c>
      <c r="X908" s="3" t="str">
        <f t="shared" si="11"/>
        <v/>
      </c>
    </row>
    <row r="909">
      <c r="A909" s="1" t="s">
        <v>910</v>
      </c>
      <c r="B909" s="3" t="str">
        <f>IFERROR(__xludf.DUMMYFUNCTION("SPLIT(A909, "","")"),"54-54")</f>
        <v>54-54</v>
      </c>
      <c r="C909" s="3" t="str">
        <f>IFERROR(__xludf.DUMMYFUNCTION("""COMPUTED_VALUE"""),"53-95")</f>
        <v>53-95</v>
      </c>
      <c r="D909" s="3">
        <f>IFERROR(__xludf.DUMMYFUNCTION("SPLIT(B909, ""-"")"),54.0)</f>
        <v>54</v>
      </c>
      <c r="E909" s="3">
        <f>IFERROR(__xludf.DUMMYFUNCTION("""COMPUTED_VALUE"""),54.0)</f>
        <v>54</v>
      </c>
      <c r="F909" s="3">
        <f>IFERROR(__xludf.DUMMYFUNCTION("SPLIT(C909, ""-"")"),53.0)</f>
        <v>53</v>
      </c>
      <c r="G909" s="3">
        <f>IFERROR(__xludf.DUMMYFUNCTION("""COMPUTED_VALUE"""),95.0)</f>
        <v>95</v>
      </c>
      <c r="I909" s="3" t="str">
        <f t="shared" si="1"/>
        <v/>
      </c>
      <c r="J909" s="3" t="str">
        <f t="shared" si="2"/>
        <v/>
      </c>
      <c r="K909" s="3" t="str">
        <f t="shared" si="3"/>
        <v>y</v>
      </c>
      <c r="L909" s="3" t="str">
        <f t="shared" si="4"/>
        <v>y</v>
      </c>
      <c r="N909" s="3" t="str">
        <f t="shared" si="5"/>
        <v/>
      </c>
      <c r="O909" s="3">
        <f t="shared" si="6"/>
        <v>1</v>
      </c>
      <c r="Q909" s="3">
        <f t="shared" si="7"/>
        <v>1</v>
      </c>
      <c r="U909" s="3">
        <f t="shared" si="8"/>
        <v>1</v>
      </c>
      <c r="V909" s="3" t="str">
        <f t="shared" si="9"/>
        <v>Överlapp</v>
      </c>
      <c r="W909" s="3" t="str">
        <f t="shared" si="10"/>
        <v>Överlapp</v>
      </c>
      <c r="X909" s="3" t="str">
        <f t="shared" si="11"/>
        <v/>
      </c>
    </row>
    <row r="910">
      <c r="A910" s="1" t="s">
        <v>911</v>
      </c>
      <c r="B910" s="3" t="str">
        <f>IFERROR(__xludf.DUMMYFUNCTION("SPLIT(A910, "","")"),"76-77")</f>
        <v>76-77</v>
      </c>
      <c r="C910" s="3" t="str">
        <f>IFERROR(__xludf.DUMMYFUNCTION("""COMPUTED_VALUE"""),"62-76")</f>
        <v>62-76</v>
      </c>
      <c r="D910" s="3">
        <f>IFERROR(__xludf.DUMMYFUNCTION("SPLIT(B910, ""-"")"),76.0)</f>
        <v>76</v>
      </c>
      <c r="E910" s="3">
        <f>IFERROR(__xludf.DUMMYFUNCTION("""COMPUTED_VALUE"""),77.0)</f>
        <v>77</v>
      </c>
      <c r="F910" s="3">
        <f>IFERROR(__xludf.DUMMYFUNCTION("SPLIT(C910, ""-"")"),62.0)</f>
        <v>62</v>
      </c>
      <c r="G910" s="3">
        <f>IFERROR(__xludf.DUMMYFUNCTION("""COMPUTED_VALUE"""),76.0)</f>
        <v>76</v>
      </c>
      <c r="I910" s="3" t="str">
        <f t="shared" si="1"/>
        <v/>
      </c>
      <c r="J910" s="3" t="str">
        <f t="shared" si="2"/>
        <v>y</v>
      </c>
      <c r="K910" s="3" t="str">
        <f t="shared" si="3"/>
        <v>y</v>
      </c>
      <c r="L910" s="3" t="str">
        <f t="shared" si="4"/>
        <v/>
      </c>
      <c r="N910" s="3" t="str">
        <f t="shared" si="5"/>
        <v/>
      </c>
      <c r="O910" s="3" t="str">
        <f t="shared" si="6"/>
        <v/>
      </c>
      <c r="Q910" s="3" t="str">
        <f t="shared" si="7"/>
        <v/>
      </c>
      <c r="U910" s="3" t="str">
        <f t="shared" si="8"/>
        <v>Överlapp</v>
      </c>
      <c r="V910" s="3" t="str">
        <f t="shared" si="9"/>
        <v>Överlapp</v>
      </c>
      <c r="W910" s="3" t="str">
        <f t="shared" si="10"/>
        <v>Överlapp</v>
      </c>
      <c r="X910" s="3" t="str">
        <f t="shared" si="11"/>
        <v/>
      </c>
    </row>
    <row r="911">
      <c r="A911" s="1" t="s">
        <v>912</v>
      </c>
      <c r="B911" s="3" t="str">
        <f>IFERROR(__xludf.DUMMYFUNCTION("SPLIT(A911, "","")"),"43-62")</f>
        <v>43-62</v>
      </c>
      <c r="C911" s="3" t="str">
        <f>IFERROR(__xludf.DUMMYFUNCTION("""COMPUTED_VALUE"""),"42-62")</f>
        <v>42-62</v>
      </c>
      <c r="D911" s="3">
        <f>IFERROR(__xludf.DUMMYFUNCTION("SPLIT(B911, ""-"")"),43.0)</f>
        <v>43</v>
      </c>
      <c r="E911" s="3">
        <f>IFERROR(__xludf.DUMMYFUNCTION("""COMPUTED_VALUE"""),62.0)</f>
        <v>62</v>
      </c>
      <c r="F911" s="3">
        <f>IFERROR(__xludf.DUMMYFUNCTION("SPLIT(C911, ""-"")"),42.0)</f>
        <v>42</v>
      </c>
      <c r="G911" s="3">
        <f>IFERROR(__xludf.DUMMYFUNCTION("""COMPUTED_VALUE"""),62.0)</f>
        <v>62</v>
      </c>
      <c r="I911" s="3" t="str">
        <f t="shared" si="1"/>
        <v/>
      </c>
      <c r="J911" s="3" t="str">
        <f t="shared" si="2"/>
        <v>y</v>
      </c>
      <c r="K911" s="3" t="str">
        <f t="shared" si="3"/>
        <v>y</v>
      </c>
      <c r="L911" s="3" t="str">
        <f t="shared" si="4"/>
        <v>y</v>
      </c>
      <c r="N911" s="3" t="str">
        <f t="shared" si="5"/>
        <v/>
      </c>
      <c r="O911" s="3">
        <f t="shared" si="6"/>
        <v>1</v>
      </c>
      <c r="Q911" s="3">
        <f t="shared" si="7"/>
        <v>1</v>
      </c>
      <c r="U911" s="3" t="str">
        <f t="shared" si="8"/>
        <v>Överlapp</v>
      </c>
      <c r="V911" s="3" t="str">
        <f t="shared" si="9"/>
        <v>Överlapp</v>
      </c>
      <c r="W911" s="3" t="str">
        <f t="shared" si="10"/>
        <v>Överlapp</v>
      </c>
      <c r="X911" s="3" t="str">
        <f t="shared" si="11"/>
        <v/>
      </c>
    </row>
    <row r="912">
      <c r="A912" s="1" t="s">
        <v>913</v>
      </c>
      <c r="B912" s="3" t="str">
        <f>IFERROR(__xludf.DUMMYFUNCTION("SPLIT(A912, "","")"),"66-79")</f>
        <v>66-79</v>
      </c>
      <c r="C912" s="3" t="str">
        <f>IFERROR(__xludf.DUMMYFUNCTION("""COMPUTED_VALUE"""),"51-93")</f>
        <v>51-93</v>
      </c>
      <c r="D912" s="3">
        <f>IFERROR(__xludf.DUMMYFUNCTION("SPLIT(B912, ""-"")"),66.0)</f>
        <v>66</v>
      </c>
      <c r="E912" s="3">
        <f>IFERROR(__xludf.DUMMYFUNCTION("""COMPUTED_VALUE"""),79.0)</f>
        <v>79</v>
      </c>
      <c r="F912" s="3">
        <f>IFERROR(__xludf.DUMMYFUNCTION("SPLIT(C912, ""-"")"),51.0)</f>
        <v>51</v>
      </c>
      <c r="G912" s="3">
        <f>IFERROR(__xludf.DUMMYFUNCTION("""COMPUTED_VALUE"""),93.0)</f>
        <v>93</v>
      </c>
      <c r="I912" s="3" t="str">
        <f t="shared" si="1"/>
        <v/>
      </c>
      <c r="J912" s="3" t="str">
        <f t="shared" si="2"/>
        <v/>
      </c>
      <c r="K912" s="3" t="str">
        <f t="shared" si="3"/>
        <v>y</v>
      </c>
      <c r="L912" s="3" t="str">
        <f t="shared" si="4"/>
        <v>y</v>
      </c>
      <c r="N912" s="3" t="str">
        <f t="shared" si="5"/>
        <v/>
      </c>
      <c r="O912" s="3">
        <f t="shared" si="6"/>
        <v>1</v>
      </c>
      <c r="Q912" s="3">
        <f t="shared" si="7"/>
        <v>1</v>
      </c>
      <c r="U912" s="3">
        <f t="shared" si="8"/>
        <v>1</v>
      </c>
      <c r="V912" s="3" t="str">
        <f t="shared" si="9"/>
        <v>Överlapp</v>
      </c>
      <c r="W912" s="3" t="str">
        <f t="shared" si="10"/>
        <v>Överlapp</v>
      </c>
      <c r="X912" s="3" t="str">
        <f t="shared" si="11"/>
        <v/>
      </c>
    </row>
    <row r="913">
      <c r="A913" s="1" t="s">
        <v>914</v>
      </c>
      <c r="B913" s="3" t="str">
        <f>IFERROR(__xludf.DUMMYFUNCTION("SPLIT(A913, "","")"),"67-91")</f>
        <v>67-91</v>
      </c>
      <c r="C913" s="3" t="str">
        <f>IFERROR(__xludf.DUMMYFUNCTION("""COMPUTED_VALUE"""),"27-67")</f>
        <v>27-67</v>
      </c>
      <c r="D913" s="3">
        <f>IFERROR(__xludf.DUMMYFUNCTION("SPLIT(B913, ""-"")"),67.0)</f>
        <v>67</v>
      </c>
      <c r="E913" s="3">
        <f>IFERROR(__xludf.DUMMYFUNCTION("""COMPUTED_VALUE"""),91.0)</f>
        <v>91</v>
      </c>
      <c r="F913" s="3">
        <f>IFERROR(__xludf.DUMMYFUNCTION("SPLIT(C913, ""-"")"),27.0)</f>
        <v>27</v>
      </c>
      <c r="G913" s="3">
        <f>IFERROR(__xludf.DUMMYFUNCTION("""COMPUTED_VALUE"""),67.0)</f>
        <v>67</v>
      </c>
      <c r="I913" s="3" t="str">
        <f t="shared" si="1"/>
        <v/>
      </c>
      <c r="J913" s="3" t="str">
        <f t="shared" si="2"/>
        <v>y</v>
      </c>
      <c r="K913" s="3" t="str">
        <f t="shared" si="3"/>
        <v>y</v>
      </c>
      <c r="L913" s="3" t="str">
        <f t="shared" si="4"/>
        <v/>
      </c>
      <c r="N913" s="3" t="str">
        <f t="shared" si="5"/>
        <v/>
      </c>
      <c r="O913" s="3" t="str">
        <f t="shared" si="6"/>
        <v/>
      </c>
      <c r="Q913" s="3" t="str">
        <f t="shared" si="7"/>
        <v/>
      </c>
      <c r="U913" s="3" t="str">
        <f t="shared" si="8"/>
        <v>Överlapp</v>
      </c>
      <c r="V913" s="3" t="str">
        <f t="shared" si="9"/>
        <v>Överlapp</v>
      </c>
      <c r="W913" s="3" t="str">
        <f t="shared" si="10"/>
        <v>Överlapp</v>
      </c>
      <c r="X913" s="3" t="str">
        <f t="shared" si="11"/>
        <v/>
      </c>
    </row>
    <row r="914">
      <c r="A914" s="1" t="s">
        <v>915</v>
      </c>
      <c r="B914" s="3" t="str">
        <f>IFERROR(__xludf.DUMMYFUNCTION("SPLIT(A914, "","")"),"3-43")</f>
        <v>3-43</v>
      </c>
      <c r="C914" s="3" t="str">
        <f>IFERROR(__xludf.DUMMYFUNCTION("""COMPUTED_VALUE"""),"3-57")</f>
        <v>3-57</v>
      </c>
      <c r="D914" s="3">
        <f>IFERROR(__xludf.DUMMYFUNCTION("SPLIT(B914, ""-"")"),3.0)</f>
        <v>3</v>
      </c>
      <c r="E914" s="3">
        <f>IFERROR(__xludf.DUMMYFUNCTION("""COMPUTED_VALUE"""),43.0)</f>
        <v>43</v>
      </c>
      <c r="F914" s="3">
        <f>IFERROR(__xludf.DUMMYFUNCTION("SPLIT(C914, ""-"")"),3.0)</f>
        <v>3</v>
      </c>
      <c r="G914" s="3">
        <f>IFERROR(__xludf.DUMMYFUNCTION("""COMPUTED_VALUE"""),57.0)</f>
        <v>57</v>
      </c>
      <c r="I914" s="3" t="str">
        <f t="shared" si="1"/>
        <v>y</v>
      </c>
      <c r="J914" s="3" t="str">
        <f t="shared" si="2"/>
        <v/>
      </c>
      <c r="K914" s="3" t="str">
        <f t="shared" si="3"/>
        <v>y</v>
      </c>
      <c r="L914" s="3" t="str">
        <f t="shared" si="4"/>
        <v>y</v>
      </c>
      <c r="N914" s="3" t="str">
        <f t="shared" si="5"/>
        <v/>
      </c>
      <c r="O914" s="3">
        <f t="shared" si="6"/>
        <v>1</v>
      </c>
      <c r="Q914" s="3">
        <f t="shared" si="7"/>
        <v>1</v>
      </c>
      <c r="U914" s="3" t="str">
        <f t="shared" si="8"/>
        <v>Överlapp</v>
      </c>
      <c r="V914" s="3" t="str">
        <f t="shared" si="9"/>
        <v>Överlapp</v>
      </c>
      <c r="W914" s="3" t="str">
        <f t="shared" si="10"/>
        <v>Överlapp</v>
      </c>
      <c r="X914" s="3" t="str">
        <f t="shared" si="11"/>
        <v/>
      </c>
    </row>
    <row r="915">
      <c r="A915" s="1" t="s">
        <v>916</v>
      </c>
      <c r="B915" s="3" t="str">
        <f>IFERROR(__xludf.DUMMYFUNCTION("SPLIT(A915, "","")"),"5-67")</f>
        <v>5-67</v>
      </c>
      <c r="C915" s="3" t="str">
        <f>IFERROR(__xludf.DUMMYFUNCTION("""COMPUTED_VALUE"""),"5-96")</f>
        <v>5-96</v>
      </c>
      <c r="D915" s="3">
        <f>IFERROR(__xludf.DUMMYFUNCTION("SPLIT(B915, ""-"")"),5.0)</f>
        <v>5</v>
      </c>
      <c r="E915" s="3">
        <f>IFERROR(__xludf.DUMMYFUNCTION("""COMPUTED_VALUE"""),67.0)</f>
        <v>67</v>
      </c>
      <c r="F915" s="3">
        <f>IFERROR(__xludf.DUMMYFUNCTION("SPLIT(C915, ""-"")"),5.0)</f>
        <v>5</v>
      </c>
      <c r="G915" s="3">
        <f>IFERROR(__xludf.DUMMYFUNCTION("""COMPUTED_VALUE"""),96.0)</f>
        <v>96</v>
      </c>
      <c r="I915" s="3" t="str">
        <f t="shared" si="1"/>
        <v>y</v>
      </c>
      <c r="J915" s="3" t="str">
        <f t="shared" si="2"/>
        <v/>
      </c>
      <c r="K915" s="3" t="str">
        <f t="shared" si="3"/>
        <v>y</v>
      </c>
      <c r="L915" s="3" t="str">
        <f t="shared" si="4"/>
        <v>y</v>
      </c>
      <c r="N915" s="3" t="str">
        <f t="shared" si="5"/>
        <v/>
      </c>
      <c r="O915" s="3">
        <f t="shared" si="6"/>
        <v>1</v>
      </c>
      <c r="Q915" s="3">
        <f t="shared" si="7"/>
        <v>1</v>
      </c>
      <c r="U915" s="3" t="str">
        <f t="shared" si="8"/>
        <v>Överlapp</v>
      </c>
      <c r="V915" s="3" t="str">
        <f t="shared" si="9"/>
        <v>Överlapp</v>
      </c>
      <c r="W915" s="3" t="str">
        <f t="shared" si="10"/>
        <v>Överlapp</v>
      </c>
      <c r="X915" s="3" t="str">
        <f t="shared" si="11"/>
        <v/>
      </c>
    </row>
    <row r="916">
      <c r="A916" s="1" t="s">
        <v>917</v>
      </c>
      <c r="B916" s="3" t="str">
        <f>IFERROR(__xludf.DUMMYFUNCTION("SPLIT(A916, "","")"),"53-88")</f>
        <v>53-88</v>
      </c>
      <c r="C916" s="3" t="str">
        <f>IFERROR(__xludf.DUMMYFUNCTION("""COMPUTED_VALUE"""),"54-88")</f>
        <v>54-88</v>
      </c>
      <c r="D916" s="3">
        <f>IFERROR(__xludf.DUMMYFUNCTION("SPLIT(B916, ""-"")"),53.0)</f>
        <v>53</v>
      </c>
      <c r="E916" s="3">
        <f>IFERROR(__xludf.DUMMYFUNCTION("""COMPUTED_VALUE"""),88.0)</f>
        <v>88</v>
      </c>
      <c r="F916" s="3">
        <f>IFERROR(__xludf.DUMMYFUNCTION("SPLIT(C916, ""-"")"),54.0)</f>
        <v>54</v>
      </c>
      <c r="G916" s="3">
        <f>IFERROR(__xludf.DUMMYFUNCTION("""COMPUTED_VALUE"""),88.0)</f>
        <v>88</v>
      </c>
      <c r="I916" s="3" t="str">
        <f t="shared" si="1"/>
        <v>y</v>
      </c>
      <c r="J916" s="3" t="str">
        <f t="shared" si="2"/>
        <v>y</v>
      </c>
      <c r="K916" s="3" t="str">
        <f t="shared" si="3"/>
        <v/>
      </c>
      <c r="L916" s="3" t="str">
        <f t="shared" si="4"/>
        <v>y</v>
      </c>
      <c r="N916" s="3">
        <f t="shared" si="5"/>
        <v>1</v>
      </c>
      <c r="O916" s="3" t="str">
        <f t="shared" si="6"/>
        <v/>
      </c>
      <c r="Q916" s="3">
        <f t="shared" si="7"/>
        <v>1</v>
      </c>
      <c r="U916" s="3" t="str">
        <f t="shared" si="8"/>
        <v>Överlapp</v>
      </c>
      <c r="V916" s="3" t="str">
        <f t="shared" si="9"/>
        <v>Överlapp</v>
      </c>
      <c r="W916" s="3" t="str">
        <f t="shared" si="10"/>
        <v>Överlapp</v>
      </c>
      <c r="X916" s="3" t="str">
        <f t="shared" si="11"/>
        <v/>
      </c>
    </row>
    <row r="917">
      <c r="A917" s="1" t="s">
        <v>918</v>
      </c>
      <c r="B917" s="3" t="str">
        <f>IFERROR(__xludf.DUMMYFUNCTION("SPLIT(A917, "","")"),"64-74")</f>
        <v>64-74</v>
      </c>
      <c r="C917" s="3" t="str">
        <f>IFERROR(__xludf.DUMMYFUNCTION("""COMPUTED_VALUE"""),"72-72")</f>
        <v>72-72</v>
      </c>
      <c r="D917" s="3">
        <f>IFERROR(__xludf.DUMMYFUNCTION("SPLIT(B917, ""-"")"),64.0)</f>
        <v>64</v>
      </c>
      <c r="E917" s="3">
        <f>IFERROR(__xludf.DUMMYFUNCTION("""COMPUTED_VALUE"""),74.0)</f>
        <v>74</v>
      </c>
      <c r="F917" s="3">
        <f>IFERROR(__xludf.DUMMYFUNCTION("SPLIT(C917, ""-"")"),72.0)</f>
        <v>72</v>
      </c>
      <c r="G917" s="3">
        <f>IFERROR(__xludf.DUMMYFUNCTION("""COMPUTED_VALUE"""),72.0)</f>
        <v>72</v>
      </c>
      <c r="I917" s="3" t="str">
        <f t="shared" si="1"/>
        <v>y</v>
      </c>
      <c r="J917" s="3" t="str">
        <f t="shared" si="2"/>
        <v>y</v>
      </c>
      <c r="K917" s="3" t="str">
        <f t="shared" si="3"/>
        <v/>
      </c>
      <c r="L917" s="3" t="str">
        <f t="shared" si="4"/>
        <v/>
      </c>
      <c r="N917" s="3">
        <f t="shared" si="5"/>
        <v>1</v>
      </c>
      <c r="O917" s="3" t="str">
        <f t="shared" si="6"/>
        <v/>
      </c>
      <c r="Q917" s="3">
        <f t="shared" si="7"/>
        <v>1</v>
      </c>
      <c r="U917" s="3">
        <f t="shared" si="8"/>
        <v>1</v>
      </c>
      <c r="V917" s="3" t="str">
        <f t="shared" si="9"/>
        <v>Överlapp</v>
      </c>
      <c r="W917" s="3" t="str">
        <f t="shared" si="10"/>
        <v>Överlapp</v>
      </c>
      <c r="X917" s="3" t="str">
        <f t="shared" si="11"/>
        <v/>
      </c>
    </row>
    <row r="918">
      <c r="A918" s="1" t="s">
        <v>919</v>
      </c>
      <c r="B918" s="3" t="str">
        <f>IFERROR(__xludf.DUMMYFUNCTION("SPLIT(A918, "","")"),"34-63")</f>
        <v>34-63</v>
      </c>
      <c r="C918" s="3" t="str">
        <f>IFERROR(__xludf.DUMMYFUNCTION("""COMPUTED_VALUE"""),"35-88")</f>
        <v>35-88</v>
      </c>
      <c r="D918" s="3">
        <f>IFERROR(__xludf.DUMMYFUNCTION("SPLIT(B918, ""-"")"),34.0)</f>
        <v>34</v>
      </c>
      <c r="E918" s="3">
        <f>IFERROR(__xludf.DUMMYFUNCTION("""COMPUTED_VALUE"""),63.0)</f>
        <v>63</v>
      </c>
      <c r="F918" s="3">
        <f>IFERROR(__xludf.DUMMYFUNCTION("SPLIT(C918, ""-"")"),35.0)</f>
        <v>35</v>
      </c>
      <c r="G918" s="3">
        <f>IFERROR(__xludf.DUMMYFUNCTION("""COMPUTED_VALUE"""),88.0)</f>
        <v>88</v>
      </c>
      <c r="I918" s="3" t="str">
        <f t="shared" si="1"/>
        <v>y</v>
      </c>
      <c r="J918" s="3" t="str">
        <f t="shared" si="2"/>
        <v/>
      </c>
      <c r="K918" s="3" t="str">
        <f t="shared" si="3"/>
        <v/>
      </c>
      <c r="L918" s="3" t="str">
        <f t="shared" si="4"/>
        <v>y</v>
      </c>
      <c r="N918" s="3" t="str">
        <f t="shared" si="5"/>
        <v/>
      </c>
      <c r="O918" s="3" t="str">
        <f t="shared" si="6"/>
        <v/>
      </c>
      <c r="Q918" s="3" t="str">
        <f t="shared" si="7"/>
        <v/>
      </c>
      <c r="U918" s="3">
        <f t="shared" si="8"/>
        <v>1</v>
      </c>
      <c r="V918" s="3" t="str">
        <f t="shared" si="9"/>
        <v>Överlapp</v>
      </c>
      <c r="W918" s="3" t="str">
        <f t="shared" si="10"/>
        <v>Överlapp</v>
      </c>
      <c r="X918" s="3" t="str">
        <f t="shared" si="11"/>
        <v/>
      </c>
    </row>
    <row r="919">
      <c r="A919" s="1" t="s">
        <v>920</v>
      </c>
      <c r="B919" s="3" t="str">
        <f>IFERROR(__xludf.DUMMYFUNCTION("SPLIT(A919, "","")"),"57-77")</f>
        <v>57-77</v>
      </c>
      <c r="C919" s="3" t="str">
        <f>IFERROR(__xludf.DUMMYFUNCTION("""COMPUTED_VALUE"""),"57-75")</f>
        <v>57-75</v>
      </c>
      <c r="D919" s="3">
        <f>IFERROR(__xludf.DUMMYFUNCTION("SPLIT(B919, ""-"")"),57.0)</f>
        <v>57</v>
      </c>
      <c r="E919" s="3">
        <f>IFERROR(__xludf.DUMMYFUNCTION("""COMPUTED_VALUE"""),77.0)</f>
        <v>77</v>
      </c>
      <c r="F919" s="3">
        <f>IFERROR(__xludf.DUMMYFUNCTION("SPLIT(C919, ""-"")"),57.0)</f>
        <v>57</v>
      </c>
      <c r="G919" s="3">
        <f>IFERROR(__xludf.DUMMYFUNCTION("""COMPUTED_VALUE"""),75.0)</f>
        <v>75</v>
      </c>
      <c r="I919" s="3" t="str">
        <f t="shared" si="1"/>
        <v>y</v>
      </c>
      <c r="J919" s="3" t="str">
        <f t="shared" si="2"/>
        <v>y</v>
      </c>
      <c r="K919" s="3" t="str">
        <f t="shared" si="3"/>
        <v>y</v>
      </c>
      <c r="L919" s="3" t="str">
        <f t="shared" si="4"/>
        <v/>
      </c>
      <c r="N919" s="3">
        <f t="shared" si="5"/>
        <v>1</v>
      </c>
      <c r="O919" s="3" t="str">
        <f t="shared" si="6"/>
        <v/>
      </c>
      <c r="Q919" s="3">
        <f t="shared" si="7"/>
        <v>1</v>
      </c>
      <c r="U919" s="3" t="str">
        <f t="shared" si="8"/>
        <v>Överlapp</v>
      </c>
      <c r="V919" s="3" t="str">
        <f t="shared" si="9"/>
        <v>Överlapp</v>
      </c>
      <c r="W919" s="3" t="str">
        <f t="shared" si="10"/>
        <v>Överlapp</v>
      </c>
      <c r="X919" s="3" t="str">
        <f t="shared" si="11"/>
        <v/>
      </c>
    </row>
    <row r="920">
      <c r="A920" s="1" t="s">
        <v>921</v>
      </c>
      <c r="B920" s="3" t="str">
        <f>IFERROR(__xludf.DUMMYFUNCTION("SPLIT(A920, "","")"),"43-53")</f>
        <v>43-53</v>
      </c>
      <c r="C920" s="3" t="str">
        <f>IFERROR(__xludf.DUMMYFUNCTION("""COMPUTED_VALUE"""),"42-53")</f>
        <v>42-53</v>
      </c>
      <c r="D920" s="3">
        <f>IFERROR(__xludf.DUMMYFUNCTION("SPLIT(B920, ""-"")"),43.0)</f>
        <v>43</v>
      </c>
      <c r="E920" s="3">
        <f>IFERROR(__xludf.DUMMYFUNCTION("""COMPUTED_VALUE"""),53.0)</f>
        <v>53</v>
      </c>
      <c r="F920" s="3">
        <f>IFERROR(__xludf.DUMMYFUNCTION("SPLIT(C920, ""-"")"),42.0)</f>
        <v>42</v>
      </c>
      <c r="G920" s="3">
        <f>IFERROR(__xludf.DUMMYFUNCTION("""COMPUTED_VALUE"""),53.0)</f>
        <v>53</v>
      </c>
      <c r="I920" s="3" t="str">
        <f t="shared" si="1"/>
        <v/>
      </c>
      <c r="J920" s="3" t="str">
        <f t="shared" si="2"/>
        <v>y</v>
      </c>
      <c r="K920" s="3" t="str">
        <f t="shared" si="3"/>
        <v>y</v>
      </c>
      <c r="L920" s="3" t="str">
        <f t="shared" si="4"/>
        <v>y</v>
      </c>
      <c r="N920" s="3" t="str">
        <f t="shared" si="5"/>
        <v/>
      </c>
      <c r="O920" s="3">
        <f t="shared" si="6"/>
        <v>1</v>
      </c>
      <c r="Q920" s="3">
        <f t="shared" si="7"/>
        <v>1</v>
      </c>
      <c r="U920" s="3" t="str">
        <f t="shared" si="8"/>
        <v>Överlapp</v>
      </c>
      <c r="V920" s="3" t="str">
        <f t="shared" si="9"/>
        <v>Överlapp</v>
      </c>
      <c r="W920" s="3" t="str">
        <f t="shared" si="10"/>
        <v>Överlapp</v>
      </c>
      <c r="X920" s="3" t="str">
        <f t="shared" si="11"/>
        <v/>
      </c>
    </row>
    <row r="921">
      <c r="A921" s="1" t="s">
        <v>922</v>
      </c>
      <c r="B921" s="3" t="str">
        <f>IFERROR(__xludf.DUMMYFUNCTION("SPLIT(A921, "","")"),"14-26")</f>
        <v>14-26</v>
      </c>
      <c r="C921" s="3" t="str">
        <f>IFERROR(__xludf.DUMMYFUNCTION("""COMPUTED_VALUE"""),"21-27")</f>
        <v>21-27</v>
      </c>
      <c r="D921" s="3">
        <f>IFERROR(__xludf.DUMMYFUNCTION("SPLIT(B921, ""-"")"),14.0)</f>
        <v>14</v>
      </c>
      <c r="E921" s="3">
        <f>IFERROR(__xludf.DUMMYFUNCTION("""COMPUTED_VALUE"""),26.0)</f>
        <v>26</v>
      </c>
      <c r="F921" s="3">
        <f>IFERROR(__xludf.DUMMYFUNCTION("SPLIT(C921, ""-"")"),21.0)</f>
        <v>21</v>
      </c>
      <c r="G921" s="3">
        <f>IFERROR(__xludf.DUMMYFUNCTION("""COMPUTED_VALUE"""),27.0)</f>
        <v>27</v>
      </c>
      <c r="I921" s="3" t="str">
        <f t="shared" si="1"/>
        <v>y</v>
      </c>
      <c r="J921" s="3" t="str">
        <f t="shared" si="2"/>
        <v/>
      </c>
      <c r="K921" s="3" t="str">
        <f t="shared" si="3"/>
        <v/>
      </c>
      <c r="L921" s="3" t="str">
        <f t="shared" si="4"/>
        <v>y</v>
      </c>
      <c r="N921" s="3" t="str">
        <f t="shared" si="5"/>
        <v/>
      </c>
      <c r="O921" s="3" t="str">
        <f t="shared" si="6"/>
        <v/>
      </c>
      <c r="Q921" s="3" t="str">
        <f t="shared" si="7"/>
        <v/>
      </c>
      <c r="U921" s="3">
        <f t="shared" si="8"/>
        <v>1</v>
      </c>
      <c r="V921" s="3" t="str">
        <f t="shared" si="9"/>
        <v>Överlapp</v>
      </c>
      <c r="W921" s="3" t="str">
        <f t="shared" si="10"/>
        <v>Överlapp</v>
      </c>
      <c r="X921" s="3" t="str">
        <f t="shared" si="11"/>
        <v/>
      </c>
    </row>
    <row r="922">
      <c r="A922" s="1" t="s">
        <v>923</v>
      </c>
      <c r="B922" s="3" t="str">
        <f>IFERROR(__xludf.DUMMYFUNCTION("SPLIT(A922, "","")"),"8-75")</f>
        <v>8-75</v>
      </c>
      <c r="C922" s="3" t="str">
        <f>IFERROR(__xludf.DUMMYFUNCTION("""COMPUTED_VALUE"""),"65-69")</f>
        <v>65-69</v>
      </c>
      <c r="D922" s="3">
        <f>IFERROR(__xludf.DUMMYFUNCTION("SPLIT(B922, ""-"")"),8.0)</f>
        <v>8</v>
      </c>
      <c r="E922" s="3">
        <f>IFERROR(__xludf.DUMMYFUNCTION("""COMPUTED_VALUE"""),75.0)</f>
        <v>75</v>
      </c>
      <c r="F922" s="3">
        <f>IFERROR(__xludf.DUMMYFUNCTION("SPLIT(C922, ""-"")"),65.0)</f>
        <v>65</v>
      </c>
      <c r="G922" s="3">
        <f>IFERROR(__xludf.DUMMYFUNCTION("""COMPUTED_VALUE"""),69.0)</f>
        <v>69</v>
      </c>
      <c r="I922" s="3" t="str">
        <f t="shared" si="1"/>
        <v>y</v>
      </c>
      <c r="J922" s="3" t="str">
        <f t="shared" si="2"/>
        <v>y</v>
      </c>
      <c r="K922" s="3" t="str">
        <f t="shared" si="3"/>
        <v/>
      </c>
      <c r="L922" s="3" t="str">
        <f t="shared" si="4"/>
        <v/>
      </c>
      <c r="N922" s="3">
        <f t="shared" si="5"/>
        <v>1</v>
      </c>
      <c r="O922" s="3" t="str">
        <f t="shared" si="6"/>
        <v/>
      </c>
      <c r="Q922" s="3">
        <f t="shared" si="7"/>
        <v>1</v>
      </c>
      <c r="U922" s="3">
        <f t="shared" si="8"/>
        <v>1</v>
      </c>
      <c r="V922" s="3" t="str">
        <f t="shared" si="9"/>
        <v>Överlapp</v>
      </c>
      <c r="W922" s="3" t="str">
        <f t="shared" si="10"/>
        <v>Överlapp</v>
      </c>
      <c r="X922" s="3" t="str">
        <f t="shared" si="11"/>
        <v/>
      </c>
    </row>
    <row r="923">
      <c r="A923" s="1" t="s">
        <v>924</v>
      </c>
      <c r="B923" s="3" t="str">
        <f>IFERROR(__xludf.DUMMYFUNCTION("SPLIT(A923, "","")"),"15-42")</f>
        <v>15-42</v>
      </c>
      <c r="C923" s="3" t="str">
        <f>IFERROR(__xludf.DUMMYFUNCTION("""COMPUTED_VALUE"""),"41-90")</f>
        <v>41-90</v>
      </c>
      <c r="D923" s="3">
        <f>IFERROR(__xludf.DUMMYFUNCTION("SPLIT(B923, ""-"")"),15.0)</f>
        <v>15</v>
      </c>
      <c r="E923" s="3">
        <f>IFERROR(__xludf.DUMMYFUNCTION("""COMPUTED_VALUE"""),42.0)</f>
        <v>42</v>
      </c>
      <c r="F923" s="3">
        <f>IFERROR(__xludf.DUMMYFUNCTION("SPLIT(C923, ""-"")"),41.0)</f>
        <v>41</v>
      </c>
      <c r="G923" s="3">
        <f>IFERROR(__xludf.DUMMYFUNCTION("""COMPUTED_VALUE"""),90.0)</f>
        <v>90</v>
      </c>
      <c r="I923" s="3" t="str">
        <f t="shared" si="1"/>
        <v>y</v>
      </c>
      <c r="J923" s="3" t="str">
        <f t="shared" si="2"/>
        <v/>
      </c>
      <c r="K923" s="3" t="str">
        <f t="shared" si="3"/>
        <v/>
      </c>
      <c r="L923" s="3" t="str">
        <f t="shared" si="4"/>
        <v>y</v>
      </c>
      <c r="N923" s="3" t="str">
        <f t="shared" si="5"/>
        <v/>
      </c>
      <c r="O923" s="3" t="str">
        <f t="shared" si="6"/>
        <v/>
      </c>
      <c r="Q923" s="3" t="str">
        <f t="shared" si="7"/>
        <v/>
      </c>
      <c r="U923" s="3">
        <f t="shared" si="8"/>
        <v>1</v>
      </c>
      <c r="V923" s="3" t="str">
        <f t="shared" si="9"/>
        <v>Överlapp</v>
      </c>
      <c r="W923" s="3" t="str">
        <f t="shared" si="10"/>
        <v>Överlapp</v>
      </c>
      <c r="X923" s="3" t="str">
        <f t="shared" si="11"/>
        <v/>
      </c>
    </row>
    <row r="924">
      <c r="A924" s="1" t="s">
        <v>925</v>
      </c>
      <c r="B924" s="3" t="str">
        <f>IFERROR(__xludf.DUMMYFUNCTION("SPLIT(A924, "","")"),"15-87")</f>
        <v>15-87</v>
      </c>
      <c r="C924" s="3" t="str">
        <f>IFERROR(__xludf.DUMMYFUNCTION("""COMPUTED_VALUE"""),"89-93")</f>
        <v>89-93</v>
      </c>
      <c r="D924" s="3">
        <f>IFERROR(__xludf.DUMMYFUNCTION("SPLIT(B924, ""-"")"),15.0)</f>
        <v>15</v>
      </c>
      <c r="E924" s="3">
        <f>IFERROR(__xludf.DUMMYFUNCTION("""COMPUTED_VALUE"""),87.0)</f>
        <v>87</v>
      </c>
      <c r="F924" s="3">
        <f>IFERROR(__xludf.DUMMYFUNCTION("SPLIT(C924, ""-"")"),89.0)</f>
        <v>89</v>
      </c>
      <c r="G924" s="3">
        <f>IFERROR(__xludf.DUMMYFUNCTION("""COMPUTED_VALUE"""),93.0)</f>
        <v>93</v>
      </c>
      <c r="I924" s="3" t="str">
        <f t="shared" si="1"/>
        <v>y</v>
      </c>
      <c r="J924" s="3" t="str">
        <f t="shared" si="2"/>
        <v/>
      </c>
      <c r="K924" s="3" t="str">
        <f t="shared" si="3"/>
        <v/>
      </c>
      <c r="L924" s="3" t="str">
        <f t="shared" si="4"/>
        <v>y</v>
      </c>
      <c r="N924" s="3" t="str">
        <f t="shared" si="5"/>
        <v/>
      </c>
      <c r="O924" s="3" t="str">
        <f t="shared" si="6"/>
        <v/>
      </c>
      <c r="Q924" s="3" t="str">
        <f t="shared" si="7"/>
        <v/>
      </c>
      <c r="U924" s="3">
        <f t="shared" si="8"/>
        <v>1</v>
      </c>
      <c r="V924" s="3">
        <f t="shared" si="9"/>
        <v>1</v>
      </c>
      <c r="W924" s="3" t="str">
        <f t="shared" si="10"/>
        <v>Överlapp</v>
      </c>
      <c r="X924" s="3">
        <f t="shared" si="11"/>
        <v>1</v>
      </c>
    </row>
    <row r="925">
      <c r="A925" s="1" t="s">
        <v>926</v>
      </c>
      <c r="B925" s="3" t="str">
        <f>IFERROR(__xludf.DUMMYFUNCTION("SPLIT(A925, "","")"),"83-83")</f>
        <v>83-83</v>
      </c>
      <c r="C925" s="3" t="str">
        <f>IFERROR(__xludf.DUMMYFUNCTION("""COMPUTED_VALUE"""),"18-84")</f>
        <v>18-84</v>
      </c>
      <c r="D925" s="3">
        <f>IFERROR(__xludf.DUMMYFUNCTION("SPLIT(B925, ""-"")"),83.0)</f>
        <v>83</v>
      </c>
      <c r="E925" s="3">
        <f>IFERROR(__xludf.DUMMYFUNCTION("""COMPUTED_VALUE"""),83.0)</f>
        <v>83</v>
      </c>
      <c r="F925" s="3">
        <f>IFERROR(__xludf.DUMMYFUNCTION("SPLIT(C925, ""-"")"),18.0)</f>
        <v>18</v>
      </c>
      <c r="G925" s="3">
        <f>IFERROR(__xludf.DUMMYFUNCTION("""COMPUTED_VALUE"""),84.0)</f>
        <v>84</v>
      </c>
      <c r="I925" s="3" t="str">
        <f t="shared" si="1"/>
        <v/>
      </c>
      <c r="J925" s="3" t="str">
        <f t="shared" si="2"/>
        <v/>
      </c>
      <c r="K925" s="3" t="str">
        <f t="shared" si="3"/>
        <v>y</v>
      </c>
      <c r="L925" s="3" t="str">
        <f t="shared" si="4"/>
        <v>y</v>
      </c>
      <c r="N925" s="3" t="str">
        <f t="shared" si="5"/>
        <v/>
      </c>
      <c r="O925" s="3">
        <f t="shared" si="6"/>
        <v>1</v>
      </c>
      <c r="Q925" s="3">
        <f t="shared" si="7"/>
        <v>1</v>
      </c>
      <c r="U925" s="3">
        <f t="shared" si="8"/>
        <v>1</v>
      </c>
      <c r="V925" s="3" t="str">
        <f t="shared" si="9"/>
        <v>Överlapp</v>
      </c>
      <c r="W925" s="3" t="str">
        <f t="shared" si="10"/>
        <v>Överlapp</v>
      </c>
      <c r="X925" s="3" t="str">
        <f t="shared" si="11"/>
        <v/>
      </c>
    </row>
    <row r="926">
      <c r="A926" s="1" t="s">
        <v>927</v>
      </c>
      <c r="B926" s="3" t="str">
        <f>IFERROR(__xludf.DUMMYFUNCTION("SPLIT(A926, "","")"),"13-43")</f>
        <v>13-43</v>
      </c>
      <c r="C926" s="3" t="str">
        <f>IFERROR(__xludf.DUMMYFUNCTION("""COMPUTED_VALUE"""),"43-44")</f>
        <v>43-44</v>
      </c>
      <c r="D926" s="3">
        <f>IFERROR(__xludf.DUMMYFUNCTION("SPLIT(B926, ""-"")"),13.0)</f>
        <v>13</v>
      </c>
      <c r="E926" s="3">
        <f>IFERROR(__xludf.DUMMYFUNCTION("""COMPUTED_VALUE"""),43.0)</f>
        <v>43</v>
      </c>
      <c r="F926" s="3">
        <f>IFERROR(__xludf.DUMMYFUNCTION("SPLIT(C926, ""-"")"),43.0)</f>
        <v>43</v>
      </c>
      <c r="G926" s="3">
        <f>IFERROR(__xludf.DUMMYFUNCTION("""COMPUTED_VALUE"""),44.0)</f>
        <v>44</v>
      </c>
      <c r="I926" s="3" t="str">
        <f t="shared" si="1"/>
        <v>y</v>
      </c>
      <c r="J926" s="3" t="str">
        <f t="shared" si="2"/>
        <v/>
      </c>
      <c r="K926" s="3" t="str">
        <f t="shared" si="3"/>
        <v/>
      </c>
      <c r="L926" s="3" t="str">
        <f t="shared" si="4"/>
        <v>y</v>
      </c>
      <c r="N926" s="3" t="str">
        <f t="shared" si="5"/>
        <v/>
      </c>
      <c r="O926" s="3" t="str">
        <f t="shared" si="6"/>
        <v/>
      </c>
      <c r="Q926" s="3" t="str">
        <f t="shared" si="7"/>
        <v/>
      </c>
      <c r="U926" s="3" t="str">
        <f t="shared" si="8"/>
        <v>Överlapp</v>
      </c>
      <c r="V926" s="3" t="str">
        <f t="shared" si="9"/>
        <v>Överlapp</v>
      </c>
      <c r="W926" s="3" t="str">
        <f t="shared" si="10"/>
        <v>Överlapp</v>
      </c>
      <c r="X926" s="3" t="str">
        <f t="shared" si="11"/>
        <v/>
      </c>
    </row>
    <row r="927">
      <c r="A927" s="1" t="s">
        <v>928</v>
      </c>
      <c r="B927" s="3" t="str">
        <f>IFERROR(__xludf.DUMMYFUNCTION("SPLIT(A927, "","")"),"69-71")</f>
        <v>69-71</v>
      </c>
      <c r="C927" s="3" t="str">
        <f>IFERROR(__xludf.DUMMYFUNCTION("""COMPUTED_VALUE"""),"69-76")</f>
        <v>69-76</v>
      </c>
      <c r="D927" s="3">
        <f>IFERROR(__xludf.DUMMYFUNCTION("SPLIT(B927, ""-"")"),69.0)</f>
        <v>69</v>
      </c>
      <c r="E927" s="3">
        <f>IFERROR(__xludf.DUMMYFUNCTION("""COMPUTED_VALUE"""),71.0)</f>
        <v>71</v>
      </c>
      <c r="F927" s="3">
        <f>IFERROR(__xludf.DUMMYFUNCTION("SPLIT(C927, ""-"")"),69.0)</f>
        <v>69</v>
      </c>
      <c r="G927" s="3">
        <f>IFERROR(__xludf.DUMMYFUNCTION("""COMPUTED_VALUE"""),76.0)</f>
        <v>76</v>
      </c>
      <c r="I927" s="3" t="str">
        <f t="shared" si="1"/>
        <v>y</v>
      </c>
      <c r="J927" s="3" t="str">
        <f t="shared" si="2"/>
        <v/>
      </c>
      <c r="K927" s="3" t="str">
        <f t="shared" si="3"/>
        <v>y</v>
      </c>
      <c r="L927" s="3" t="str">
        <f t="shared" si="4"/>
        <v>y</v>
      </c>
      <c r="N927" s="3" t="str">
        <f t="shared" si="5"/>
        <v/>
      </c>
      <c r="O927" s="3">
        <f t="shared" si="6"/>
        <v>1</v>
      </c>
      <c r="Q927" s="3">
        <f t="shared" si="7"/>
        <v>1</v>
      </c>
      <c r="U927" s="3" t="str">
        <f t="shared" si="8"/>
        <v>Överlapp</v>
      </c>
      <c r="V927" s="3" t="str">
        <f t="shared" si="9"/>
        <v>Överlapp</v>
      </c>
      <c r="W927" s="3" t="str">
        <f t="shared" si="10"/>
        <v>Överlapp</v>
      </c>
      <c r="X927" s="3" t="str">
        <f t="shared" si="11"/>
        <v/>
      </c>
    </row>
    <row r="928">
      <c r="A928" s="1" t="s">
        <v>929</v>
      </c>
      <c r="B928" s="4">
        <f>IFERROR(__xludf.DUMMYFUNCTION("SPLIT(A928, "","")"),44779.0)</f>
        <v>44779</v>
      </c>
      <c r="C928" s="3" t="str">
        <f>IFERROR(__xludf.DUMMYFUNCTION("""COMPUTED_VALUE"""),"9-89")</f>
        <v>9-89</v>
      </c>
      <c r="D928" s="3">
        <f>IFERROR(__xludf.DUMMYFUNCTION("SPLIT(B928, ""-"")"),6.0)</f>
        <v>6</v>
      </c>
      <c r="E928" s="3">
        <f>IFERROR(__xludf.DUMMYFUNCTION("""COMPUTED_VALUE"""),8.0)</f>
        <v>8</v>
      </c>
      <c r="F928" s="3">
        <f>IFERROR(__xludf.DUMMYFUNCTION("SPLIT(C928, ""-"")"),9.0)</f>
        <v>9</v>
      </c>
      <c r="G928" s="3">
        <f>IFERROR(__xludf.DUMMYFUNCTION("""COMPUTED_VALUE"""),89.0)</f>
        <v>89</v>
      </c>
      <c r="I928" s="3" t="str">
        <f t="shared" si="1"/>
        <v>y</v>
      </c>
      <c r="J928" s="3" t="str">
        <f t="shared" si="2"/>
        <v/>
      </c>
      <c r="K928" s="3" t="str">
        <f t="shared" si="3"/>
        <v/>
      </c>
      <c r="L928" s="3" t="str">
        <f t="shared" si="4"/>
        <v>y</v>
      </c>
      <c r="N928" s="3" t="str">
        <f t="shared" si="5"/>
        <v/>
      </c>
      <c r="O928" s="3" t="str">
        <f t="shared" si="6"/>
        <v/>
      </c>
      <c r="Q928" s="3" t="str">
        <f t="shared" si="7"/>
        <v/>
      </c>
      <c r="U928" s="3">
        <f t="shared" si="8"/>
        <v>1</v>
      </c>
      <c r="V928" s="3">
        <f t="shared" si="9"/>
        <v>1</v>
      </c>
      <c r="W928" s="3" t="str">
        <f t="shared" si="10"/>
        <v>Överlapp</v>
      </c>
      <c r="X928" s="3">
        <f t="shared" si="11"/>
        <v>1</v>
      </c>
    </row>
    <row r="929">
      <c r="A929" s="1" t="s">
        <v>930</v>
      </c>
      <c r="B929" s="3" t="str">
        <f>IFERROR(__xludf.DUMMYFUNCTION("SPLIT(A929, "","")"),"17-75")</f>
        <v>17-75</v>
      </c>
      <c r="C929" s="3" t="str">
        <f>IFERROR(__xludf.DUMMYFUNCTION("""COMPUTED_VALUE"""),"18-18")</f>
        <v>18-18</v>
      </c>
      <c r="D929" s="3">
        <f>IFERROR(__xludf.DUMMYFUNCTION("SPLIT(B929, ""-"")"),17.0)</f>
        <v>17</v>
      </c>
      <c r="E929" s="3">
        <f>IFERROR(__xludf.DUMMYFUNCTION("""COMPUTED_VALUE"""),75.0)</f>
        <v>75</v>
      </c>
      <c r="F929" s="3">
        <f>IFERROR(__xludf.DUMMYFUNCTION("SPLIT(C929, ""-"")"),18.0)</f>
        <v>18</v>
      </c>
      <c r="G929" s="3">
        <f>IFERROR(__xludf.DUMMYFUNCTION("""COMPUTED_VALUE"""),18.0)</f>
        <v>18</v>
      </c>
      <c r="I929" s="3" t="str">
        <f t="shared" si="1"/>
        <v>y</v>
      </c>
      <c r="J929" s="3" t="str">
        <f t="shared" si="2"/>
        <v>y</v>
      </c>
      <c r="K929" s="3" t="str">
        <f t="shared" si="3"/>
        <v/>
      </c>
      <c r="L929" s="3" t="str">
        <f t="shared" si="4"/>
        <v/>
      </c>
      <c r="N929" s="3">
        <f t="shared" si="5"/>
        <v>1</v>
      </c>
      <c r="O929" s="3" t="str">
        <f t="shared" si="6"/>
        <v/>
      </c>
      <c r="Q929" s="3">
        <f t="shared" si="7"/>
        <v>1</v>
      </c>
      <c r="U929" s="3">
        <f t="shared" si="8"/>
        <v>1</v>
      </c>
      <c r="V929" s="3" t="str">
        <f t="shared" si="9"/>
        <v>Överlapp</v>
      </c>
      <c r="W929" s="3" t="str">
        <f t="shared" si="10"/>
        <v>Överlapp</v>
      </c>
      <c r="X929" s="3" t="str">
        <f t="shared" si="11"/>
        <v/>
      </c>
    </row>
    <row r="930">
      <c r="A930" s="1" t="s">
        <v>931</v>
      </c>
      <c r="B930" s="3" t="str">
        <f>IFERROR(__xludf.DUMMYFUNCTION("SPLIT(A930, "","")"),"75-83")</f>
        <v>75-83</v>
      </c>
      <c r="C930" s="3" t="str">
        <f>IFERROR(__xludf.DUMMYFUNCTION("""COMPUTED_VALUE"""),"44-76")</f>
        <v>44-76</v>
      </c>
      <c r="D930" s="3">
        <f>IFERROR(__xludf.DUMMYFUNCTION("SPLIT(B930, ""-"")"),75.0)</f>
        <v>75</v>
      </c>
      <c r="E930" s="3">
        <f>IFERROR(__xludf.DUMMYFUNCTION("""COMPUTED_VALUE"""),83.0)</f>
        <v>83</v>
      </c>
      <c r="F930" s="3">
        <f>IFERROR(__xludf.DUMMYFUNCTION("SPLIT(C930, ""-"")"),44.0)</f>
        <v>44</v>
      </c>
      <c r="G930" s="3">
        <f>IFERROR(__xludf.DUMMYFUNCTION("""COMPUTED_VALUE"""),76.0)</f>
        <v>76</v>
      </c>
      <c r="I930" s="3" t="str">
        <f t="shared" si="1"/>
        <v/>
      </c>
      <c r="J930" s="3" t="str">
        <f t="shared" si="2"/>
        <v>y</v>
      </c>
      <c r="K930" s="3" t="str">
        <f t="shared" si="3"/>
        <v>y</v>
      </c>
      <c r="L930" s="3" t="str">
        <f t="shared" si="4"/>
        <v/>
      </c>
      <c r="N930" s="3" t="str">
        <f t="shared" si="5"/>
        <v/>
      </c>
      <c r="O930" s="3" t="str">
        <f t="shared" si="6"/>
        <v/>
      </c>
      <c r="Q930" s="3" t="str">
        <f t="shared" si="7"/>
        <v/>
      </c>
      <c r="U930" s="3">
        <f t="shared" si="8"/>
        <v>1</v>
      </c>
      <c r="V930" s="3" t="str">
        <f t="shared" si="9"/>
        <v>Överlapp</v>
      </c>
      <c r="W930" s="3" t="str">
        <f t="shared" si="10"/>
        <v>Överlapp</v>
      </c>
      <c r="X930" s="3" t="str">
        <f t="shared" si="11"/>
        <v/>
      </c>
    </row>
    <row r="931">
      <c r="A931" s="1" t="s">
        <v>932</v>
      </c>
      <c r="B931" s="3" t="str">
        <f>IFERROR(__xludf.DUMMYFUNCTION("SPLIT(A931, "","")"),"18-96")</f>
        <v>18-96</v>
      </c>
      <c r="C931" s="3" t="str">
        <f>IFERROR(__xludf.DUMMYFUNCTION("""COMPUTED_VALUE"""),"19-62")</f>
        <v>19-62</v>
      </c>
      <c r="D931" s="3">
        <f>IFERROR(__xludf.DUMMYFUNCTION("SPLIT(B931, ""-"")"),18.0)</f>
        <v>18</v>
      </c>
      <c r="E931" s="3">
        <f>IFERROR(__xludf.DUMMYFUNCTION("""COMPUTED_VALUE"""),96.0)</f>
        <v>96</v>
      </c>
      <c r="F931" s="3">
        <f>IFERROR(__xludf.DUMMYFUNCTION("SPLIT(C931, ""-"")"),19.0)</f>
        <v>19</v>
      </c>
      <c r="G931" s="3">
        <f>IFERROR(__xludf.DUMMYFUNCTION("""COMPUTED_VALUE"""),62.0)</f>
        <v>62</v>
      </c>
      <c r="I931" s="3" t="str">
        <f t="shared" si="1"/>
        <v>y</v>
      </c>
      <c r="J931" s="3" t="str">
        <f t="shared" si="2"/>
        <v>y</v>
      </c>
      <c r="K931" s="3" t="str">
        <f t="shared" si="3"/>
        <v/>
      </c>
      <c r="L931" s="3" t="str">
        <f t="shared" si="4"/>
        <v/>
      </c>
      <c r="N931" s="3">
        <f t="shared" si="5"/>
        <v>1</v>
      </c>
      <c r="O931" s="3" t="str">
        <f t="shared" si="6"/>
        <v/>
      </c>
      <c r="Q931" s="3">
        <f t="shared" si="7"/>
        <v>1</v>
      </c>
      <c r="U931" s="3">
        <f t="shared" si="8"/>
        <v>1</v>
      </c>
      <c r="V931" s="3" t="str">
        <f t="shared" si="9"/>
        <v>Överlapp</v>
      </c>
      <c r="W931" s="3" t="str">
        <f t="shared" si="10"/>
        <v>Överlapp</v>
      </c>
      <c r="X931" s="3" t="str">
        <f t="shared" si="11"/>
        <v/>
      </c>
    </row>
    <row r="932">
      <c r="A932" s="1" t="s">
        <v>933</v>
      </c>
      <c r="B932" s="3" t="str">
        <f>IFERROR(__xludf.DUMMYFUNCTION("SPLIT(A932, "","")"),"11-54")</f>
        <v>11-54</v>
      </c>
      <c r="C932" s="3" t="str">
        <f>IFERROR(__xludf.DUMMYFUNCTION("""COMPUTED_VALUE"""),"12-88")</f>
        <v>12-88</v>
      </c>
      <c r="D932" s="3">
        <f>IFERROR(__xludf.DUMMYFUNCTION("SPLIT(B932, ""-"")"),11.0)</f>
        <v>11</v>
      </c>
      <c r="E932" s="3">
        <f>IFERROR(__xludf.DUMMYFUNCTION("""COMPUTED_VALUE"""),54.0)</f>
        <v>54</v>
      </c>
      <c r="F932" s="3">
        <f>IFERROR(__xludf.DUMMYFUNCTION("SPLIT(C932, ""-"")"),12.0)</f>
        <v>12</v>
      </c>
      <c r="G932" s="3">
        <f>IFERROR(__xludf.DUMMYFUNCTION("""COMPUTED_VALUE"""),88.0)</f>
        <v>88</v>
      </c>
      <c r="I932" s="3" t="str">
        <f t="shared" si="1"/>
        <v>y</v>
      </c>
      <c r="J932" s="3" t="str">
        <f t="shared" si="2"/>
        <v/>
      </c>
      <c r="K932" s="3" t="str">
        <f t="shared" si="3"/>
        <v/>
      </c>
      <c r="L932" s="3" t="str">
        <f t="shared" si="4"/>
        <v>y</v>
      </c>
      <c r="N932" s="3" t="str">
        <f t="shared" si="5"/>
        <v/>
      </c>
      <c r="O932" s="3" t="str">
        <f t="shared" si="6"/>
        <v/>
      </c>
      <c r="Q932" s="3" t="str">
        <f t="shared" si="7"/>
        <v/>
      </c>
      <c r="U932" s="3">
        <f t="shared" si="8"/>
        <v>1</v>
      </c>
      <c r="V932" s="3" t="str">
        <f t="shared" si="9"/>
        <v>Överlapp</v>
      </c>
      <c r="W932" s="3" t="str">
        <f t="shared" si="10"/>
        <v>Överlapp</v>
      </c>
      <c r="X932" s="3" t="str">
        <f t="shared" si="11"/>
        <v/>
      </c>
    </row>
    <row r="933">
      <c r="A933" s="1" t="s">
        <v>934</v>
      </c>
      <c r="B933" s="3" t="str">
        <f>IFERROR(__xludf.DUMMYFUNCTION("SPLIT(A933, "","")"),"90-90")</f>
        <v>90-90</v>
      </c>
      <c r="C933" s="3" t="str">
        <f>IFERROR(__xludf.DUMMYFUNCTION("""COMPUTED_VALUE"""),"80-90")</f>
        <v>80-90</v>
      </c>
      <c r="D933" s="3">
        <f>IFERROR(__xludf.DUMMYFUNCTION("SPLIT(B933, ""-"")"),90.0)</f>
        <v>90</v>
      </c>
      <c r="E933" s="3">
        <f>IFERROR(__xludf.DUMMYFUNCTION("""COMPUTED_VALUE"""),90.0)</f>
        <v>90</v>
      </c>
      <c r="F933" s="3">
        <f>IFERROR(__xludf.DUMMYFUNCTION("SPLIT(C933, ""-"")"),80.0)</f>
        <v>80</v>
      </c>
      <c r="G933" s="3">
        <f>IFERROR(__xludf.DUMMYFUNCTION("""COMPUTED_VALUE"""),90.0)</f>
        <v>90</v>
      </c>
      <c r="I933" s="3" t="str">
        <f t="shared" si="1"/>
        <v/>
      </c>
      <c r="J933" s="3" t="str">
        <f t="shared" si="2"/>
        <v>y</v>
      </c>
      <c r="K933" s="3" t="str">
        <f t="shared" si="3"/>
        <v>y</v>
      </c>
      <c r="L933" s="3" t="str">
        <f t="shared" si="4"/>
        <v>y</v>
      </c>
      <c r="N933" s="3" t="str">
        <f t="shared" si="5"/>
        <v/>
      </c>
      <c r="O933" s="3">
        <f t="shared" si="6"/>
        <v>1</v>
      </c>
      <c r="Q933" s="3">
        <f t="shared" si="7"/>
        <v>1</v>
      </c>
      <c r="U933" s="3" t="str">
        <f t="shared" si="8"/>
        <v>Överlapp</v>
      </c>
      <c r="V933" s="3" t="str">
        <f t="shared" si="9"/>
        <v>Överlapp</v>
      </c>
      <c r="W933" s="3" t="str">
        <f t="shared" si="10"/>
        <v>Överlapp</v>
      </c>
      <c r="X933" s="3" t="str">
        <f t="shared" si="11"/>
        <v/>
      </c>
    </row>
    <row r="934">
      <c r="A934" s="1" t="s">
        <v>935</v>
      </c>
      <c r="B934" s="3" t="str">
        <f>IFERROR(__xludf.DUMMYFUNCTION("SPLIT(A934, "","")"),"10-79")</f>
        <v>10-79</v>
      </c>
      <c r="C934" s="4">
        <f>IFERROR(__xludf.DUMMYFUNCTION("""COMPUTED_VALUE"""),44813.0)</f>
        <v>44813</v>
      </c>
      <c r="D934" s="3">
        <f>IFERROR(__xludf.DUMMYFUNCTION("SPLIT(B934, ""-"")"),10.0)</f>
        <v>10</v>
      </c>
      <c r="E934" s="3">
        <f>IFERROR(__xludf.DUMMYFUNCTION("""COMPUTED_VALUE"""),79.0)</f>
        <v>79</v>
      </c>
      <c r="F934" s="3">
        <f>IFERROR(__xludf.DUMMYFUNCTION("SPLIT(C934, ""-"")"),9.0)</f>
        <v>9</v>
      </c>
      <c r="G934" s="3">
        <f>IFERROR(__xludf.DUMMYFUNCTION("""COMPUTED_VALUE"""),9.0)</f>
        <v>9</v>
      </c>
      <c r="I934" s="3" t="str">
        <f t="shared" si="1"/>
        <v/>
      </c>
      <c r="J934" s="3" t="str">
        <f t="shared" si="2"/>
        <v>y</v>
      </c>
      <c r="K934" s="3" t="str">
        <f t="shared" si="3"/>
        <v>y</v>
      </c>
      <c r="L934" s="3" t="str">
        <f t="shared" si="4"/>
        <v/>
      </c>
      <c r="N934" s="3" t="str">
        <f t="shared" si="5"/>
        <v/>
      </c>
      <c r="O934" s="3" t="str">
        <f t="shared" si="6"/>
        <v/>
      </c>
      <c r="Q934" s="3" t="str">
        <f t="shared" si="7"/>
        <v/>
      </c>
      <c r="U934" s="3">
        <f t="shared" si="8"/>
        <v>1</v>
      </c>
      <c r="V934" s="3" t="str">
        <f t="shared" si="9"/>
        <v>Överlapp</v>
      </c>
      <c r="W934" s="3">
        <f t="shared" si="10"/>
        <v>1</v>
      </c>
      <c r="X934" s="3">
        <f t="shared" si="11"/>
        <v>1</v>
      </c>
    </row>
    <row r="935">
      <c r="A935" s="1" t="s">
        <v>936</v>
      </c>
      <c r="B935" s="3" t="str">
        <f>IFERROR(__xludf.DUMMYFUNCTION("SPLIT(A935, "","")"),"30-97")</f>
        <v>30-97</v>
      </c>
      <c r="C935" s="3" t="str">
        <f>IFERROR(__xludf.DUMMYFUNCTION("""COMPUTED_VALUE"""),"30-97")</f>
        <v>30-97</v>
      </c>
      <c r="D935" s="3">
        <f>IFERROR(__xludf.DUMMYFUNCTION("SPLIT(B935, ""-"")"),30.0)</f>
        <v>30</v>
      </c>
      <c r="E935" s="3">
        <f>IFERROR(__xludf.DUMMYFUNCTION("""COMPUTED_VALUE"""),97.0)</f>
        <v>97</v>
      </c>
      <c r="F935" s="3">
        <f>IFERROR(__xludf.DUMMYFUNCTION("SPLIT(C935, ""-"")"),30.0)</f>
        <v>30</v>
      </c>
      <c r="G935" s="3">
        <f>IFERROR(__xludf.DUMMYFUNCTION("""COMPUTED_VALUE"""),97.0)</f>
        <v>97</v>
      </c>
      <c r="I935" s="3" t="str">
        <f t="shared" si="1"/>
        <v>y</v>
      </c>
      <c r="J935" s="3" t="str">
        <f t="shared" si="2"/>
        <v>y</v>
      </c>
      <c r="K935" s="3" t="str">
        <f t="shared" si="3"/>
        <v>y</v>
      </c>
      <c r="L935" s="3" t="str">
        <f t="shared" si="4"/>
        <v>y</v>
      </c>
      <c r="N935" s="3">
        <f t="shared" si="5"/>
        <v>1</v>
      </c>
      <c r="O935" s="3">
        <f t="shared" si="6"/>
        <v>1</v>
      </c>
      <c r="Q935" s="3">
        <f t="shared" si="7"/>
        <v>1</v>
      </c>
      <c r="U935" s="3" t="str">
        <f t="shared" si="8"/>
        <v>Överlapp</v>
      </c>
      <c r="V935" s="3" t="str">
        <f t="shared" si="9"/>
        <v>Överlapp</v>
      </c>
      <c r="W935" s="3" t="str">
        <f t="shared" si="10"/>
        <v>Överlapp</v>
      </c>
      <c r="X935" s="3" t="str">
        <f t="shared" si="11"/>
        <v/>
      </c>
    </row>
    <row r="936">
      <c r="A936" s="1" t="s">
        <v>937</v>
      </c>
      <c r="B936" s="3" t="str">
        <f>IFERROR(__xludf.DUMMYFUNCTION("SPLIT(A936, "","")"),"3-87")</f>
        <v>3-87</v>
      </c>
      <c r="C936" s="4">
        <f>IFERROR(__xludf.DUMMYFUNCTION("""COMPUTED_VALUE"""),44594.0)</f>
        <v>44594</v>
      </c>
      <c r="D936" s="3">
        <f>IFERROR(__xludf.DUMMYFUNCTION("SPLIT(B936, ""-"")"),3.0)</f>
        <v>3</v>
      </c>
      <c r="E936" s="3">
        <f>IFERROR(__xludf.DUMMYFUNCTION("""COMPUTED_VALUE"""),87.0)</f>
        <v>87</v>
      </c>
      <c r="F936" s="3">
        <f>IFERROR(__xludf.DUMMYFUNCTION("SPLIT(C936, ""-"")"),2.0)</f>
        <v>2</v>
      </c>
      <c r="G936" s="3">
        <f>IFERROR(__xludf.DUMMYFUNCTION("""COMPUTED_VALUE"""),2.0)</f>
        <v>2</v>
      </c>
      <c r="I936" s="3" t="str">
        <f t="shared" si="1"/>
        <v/>
      </c>
      <c r="J936" s="3" t="str">
        <f t="shared" si="2"/>
        <v>y</v>
      </c>
      <c r="K936" s="3" t="str">
        <f t="shared" si="3"/>
        <v>y</v>
      </c>
      <c r="L936" s="3" t="str">
        <f t="shared" si="4"/>
        <v/>
      </c>
      <c r="N936" s="3" t="str">
        <f t="shared" si="5"/>
        <v/>
      </c>
      <c r="O936" s="3" t="str">
        <f t="shared" si="6"/>
        <v/>
      </c>
      <c r="Q936" s="3" t="str">
        <f t="shared" si="7"/>
        <v/>
      </c>
      <c r="U936" s="3">
        <f t="shared" si="8"/>
        <v>1</v>
      </c>
      <c r="V936" s="3" t="str">
        <f t="shared" si="9"/>
        <v>Överlapp</v>
      </c>
      <c r="W936" s="3">
        <f t="shared" si="10"/>
        <v>1</v>
      </c>
      <c r="X936" s="3">
        <f t="shared" si="11"/>
        <v>1</v>
      </c>
    </row>
    <row r="937">
      <c r="A937" s="1" t="s">
        <v>938</v>
      </c>
      <c r="B937" s="3" t="str">
        <f>IFERROR(__xludf.DUMMYFUNCTION("SPLIT(A937, "","")"),"4-33")</f>
        <v>4-33</v>
      </c>
      <c r="C937" s="3" t="str">
        <f>IFERROR(__xludf.DUMMYFUNCTION("""COMPUTED_VALUE"""),"8-96")</f>
        <v>8-96</v>
      </c>
      <c r="D937" s="3">
        <f>IFERROR(__xludf.DUMMYFUNCTION("SPLIT(B937, ""-"")"),4.0)</f>
        <v>4</v>
      </c>
      <c r="E937" s="3">
        <f>IFERROR(__xludf.DUMMYFUNCTION("""COMPUTED_VALUE"""),33.0)</f>
        <v>33</v>
      </c>
      <c r="F937" s="3">
        <f>IFERROR(__xludf.DUMMYFUNCTION("SPLIT(C937, ""-"")"),8.0)</f>
        <v>8</v>
      </c>
      <c r="G937" s="3">
        <f>IFERROR(__xludf.DUMMYFUNCTION("""COMPUTED_VALUE"""),96.0)</f>
        <v>96</v>
      </c>
      <c r="I937" s="3" t="str">
        <f t="shared" si="1"/>
        <v>y</v>
      </c>
      <c r="J937" s="3" t="str">
        <f t="shared" si="2"/>
        <v/>
      </c>
      <c r="K937" s="3" t="str">
        <f t="shared" si="3"/>
        <v/>
      </c>
      <c r="L937" s="3" t="str">
        <f t="shared" si="4"/>
        <v>y</v>
      </c>
      <c r="N937" s="3" t="str">
        <f t="shared" si="5"/>
        <v/>
      </c>
      <c r="O937" s="3" t="str">
        <f t="shared" si="6"/>
        <v/>
      </c>
      <c r="Q937" s="3" t="str">
        <f t="shared" si="7"/>
        <v/>
      </c>
      <c r="U937" s="3">
        <f t="shared" si="8"/>
        <v>1</v>
      </c>
      <c r="V937" s="3" t="str">
        <f t="shared" si="9"/>
        <v>Överlapp</v>
      </c>
      <c r="W937" s="3" t="str">
        <f t="shared" si="10"/>
        <v>Överlapp</v>
      </c>
      <c r="X937" s="3" t="str">
        <f t="shared" si="11"/>
        <v/>
      </c>
    </row>
    <row r="938">
      <c r="A938" s="1" t="s">
        <v>939</v>
      </c>
      <c r="B938" s="3" t="str">
        <f>IFERROR(__xludf.DUMMYFUNCTION("SPLIT(A938, "","")"),"54-97")</f>
        <v>54-97</v>
      </c>
      <c r="C938" s="3" t="str">
        <f>IFERROR(__xludf.DUMMYFUNCTION("""COMPUTED_VALUE"""),"53-98")</f>
        <v>53-98</v>
      </c>
      <c r="D938" s="3">
        <f>IFERROR(__xludf.DUMMYFUNCTION("SPLIT(B938, ""-"")"),54.0)</f>
        <v>54</v>
      </c>
      <c r="E938" s="3">
        <f>IFERROR(__xludf.DUMMYFUNCTION("""COMPUTED_VALUE"""),97.0)</f>
        <v>97</v>
      </c>
      <c r="F938" s="3">
        <f>IFERROR(__xludf.DUMMYFUNCTION("SPLIT(C938, ""-"")"),53.0)</f>
        <v>53</v>
      </c>
      <c r="G938" s="3">
        <f>IFERROR(__xludf.DUMMYFUNCTION("""COMPUTED_VALUE"""),98.0)</f>
        <v>98</v>
      </c>
      <c r="I938" s="3" t="str">
        <f t="shared" si="1"/>
        <v/>
      </c>
      <c r="J938" s="3" t="str">
        <f t="shared" si="2"/>
        <v/>
      </c>
      <c r="K938" s="3" t="str">
        <f t="shared" si="3"/>
        <v>y</v>
      </c>
      <c r="L938" s="3" t="str">
        <f t="shared" si="4"/>
        <v>y</v>
      </c>
      <c r="N938" s="3" t="str">
        <f t="shared" si="5"/>
        <v/>
      </c>
      <c r="O938" s="3">
        <f t="shared" si="6"/>
        <v>1</v>
      </c>
      <c r="Q938" s="3">
        <f t="shared" si="7"/>
        <v>1</v>
      </c>
      <c r="U938" s="3">
        <f t="shared" si="8"/>
        <v>1</v>
      </c>
      <c r="V938" s="3" t="str">
        <f t="shared" si="9"/>
        <v>Överlapp</v>
      </c>
      <c r="W938" s="3" t="str">
        <f t="shared" si="10"/>
        <v>Överlapp</v>
      </c>
      <c r="X938" s="3" t="str">
        <f t="shared" si="11"/>
        <v/>
      </c>
    </row>
    <row r="939">
      <c r="A939" s="1" t="s">
        <v>940</v>
      </c>
      <c r="B939" s="3" t="str">
        <f>IFERROR(__xludf.DUMMYFUNCTION("SPLIT(A939, "","")"),"21-21")</f>
        <v>21-21</v>
      </c>
      <c r="C939" s="3" t="str">
        <f>IFERROR(__xludf.DUMMYFUNCTION("""COMPUTED_VALUE"""),"20-90")</f>
        <v>20-90</v>
      </c>
      <c r="D939" s="3">
        <f>IFERROR(__xludf.DUMMYFUNCTION("SPLIT(B939, ""-"")"),21.0)</f>
        <v>21</v>
      </c>
      <c r="E939" s="3">
        <f>IFERROR(__xludf.DUMMYFUNCTION("""COMPUTED_VALUE"""),21.0)</f>
        <v>21</v>
      </c>
      <c r="F939" s="3">
        <f>IFERROR(__xludf.DUMMYFUNCTION("SPLIT(C939, ""-"")"),20.0)</f>
        <v>20</v>
      </c>
      <c r="G939" s="3">
        <f>IFERROR(__xludf.DUMMYFUNCTION("""COMPUTED_VALUE"""),90.0)</f>
        <v>90</v>
      </c>
      <c r="I939" s="3" t="str">
        <f t="shared" si="1"/>
        <v/>
      </c>
      <c r="J939" s="3" t="str">
        <f t="shared" si="2"/>
        <v/>
      </c>
      <c r="K939" s="3" t="str">
        <f t="shared" si="3"/>
        <v>y</v>
      </c>
      <c r="L939" s="3" t="str">
        <f t="shared" si="4"/>
        <v>y</v>
      </c>
      <c r="N939" s="3" t="str">
        <f t="shared" si="5"/>
        <v/>
      </c>
      <c r="O939" s="3">
        <f t="shared" si="6"/>
        <v>1</v>
      </c>
      <c r="Q939" s="3">
        <f t="shared" si="7"/>
        <v>1</v>
      </c>
      <c r="U939" s="3">
        <f t="shared" si="8"/>
        <v>1</v>
      </c>
      <c r="V939" s="3" t="str">
        <f t="shared" si="9"/>
        <v>Överlapp</v>
      </c>
      <c r="W939" s="3" t="str">
        <f t="shared" si="10"/>
        <v>Överlapp</v>
      </c>
      <c r="X939" s="3" t="str">
        <f t="shared" si="11"/>
        <v/>
      </c>
    </row>
    <row r="940">
      <c r="A940" s="1" t="s">
        <v>941</v>
      </c>
      <c r="B940" s="3" t="str">
        <f>IFERROR(__xludf.DUMMYFUNCTION("SPLIT(A940, "","")"),"31-96")</f>
        <v>31-96</v>
      </c>
      <c r="C940" s="3" t="str">
        <f>IFERROR(__xludf.DUMMYFUNCTION("""COMPUTED_VALUE"""),"1-95")</f>
        <v>1-95</v>
      </c>
      <c r="D940" s="3">
        <f>IFERROR(__xludf.DUMMYFUNCTION("SPLIT(B940, ""-"")"),31.0)</f>
        <v>31</v>
      </c>
      <c r="E940" s="3">
        <f>IFERROR(__xludf.DUMMYFUNCTION("""COMPUTED_VALUE"""),96.0)</f>
        <v>96</v>
      </c>
      <c r="F940" s="3">
        <f>IFERROR(__xludf.DUMMYFUNCTION("SPLIT(C940, ""-"")"),1.0)</f>
        <v>1</v>
      </c>
      <c r="G940" s="3">
        <f>IFERROR(__xludf.DUMMYFUNCTION("""COMPUTED_VALUE"""),95.0)</f>
        <v>95</v>
      </c>
      <c r="I940" s="3" t="str">
        <f t="shared" si="1"/>
        <v/>
      </c>
      <c r="J940" s="3" t="str">
        <f t="shared" si="2"/>
        <v>y</v>
      </c>
      <c r="K940" s="3" t="str">
        <f t="shared" si="3"/>
        <v>y</v>
      </c>
      <c r="L940" s="3" t="str">
        <f t="shared" si="4"/>
        <v/>
      </c>
      <c r="N940" s="3" t="str">
        <f t="shared" si="5"/>
        <v/>
      </c>
      <c r="O940" s="3" t="str">
        <f t="shared" si="6"/>
        <v/>
      </c>
      <c r="Q940" s="3" t="str">
        <f t="shared" si="7"/>
        <v/>
      </c>
      <c r="U940" s="3">
        <f t="shared" si="8"/>
        <v>1</v>
      </c>
      <c r="V940" s="3" t="str">
        <f t="shared" si="9"/>
        <v>Överlapp</v>
      </c>
      <c r="W940" s="3" t="str">
        <f t="shared" si="10"/>
        <v>Överlapp</v>
      </c>
      <c r="X940" s="3" t="str">
        <f t="shared" si="11"/>
        <v/>
      </c>
    </row>
    <row r="941">
      <c r="A941" s="1" t="s">
        <v>942</v>
      </c>
      <c r="B941" s="3" t="str">
        <f>IFERROR(__xludf.DUMMYFUNCTION("SPLIT(A941, "","")"),"4-99")</f>
        <v>4-99</v>
      </c>
      <c r="C941" s="3" t="str">
        <f>IFERROR(__xludf.DUMMYFUNCTION("""COMPUTED_VALUE"""),"60-99")</f>
        <v>60-99</v>
      </c>
      <c r="D941" s="3">
        <f>IFERROR(__xludf.DUMMYFUNCTION("SPLIT(B941, ""-"")"),4.0)</f>
        <v>4</v>
      </c>
      <c r="E941" s="3">
        <f>IFERROR(__xludf.DUMMYFUNCTION("""COMPUTED_VALUE"""),99.0)</f>
        <v>99</v>
      </c>
      <c r="F941" s="3">
        <f>IFERROR(__xludf.DUMMYFUNCTION("SPLIT(C941, ""-"")"),60.0)</f>
        <v>60</v>
      </c>
      <c r="G941" s="3">
        <f>IFERROR(__xludf.DUMMYFUNCTION("""COMPUTED_VALUE"""),99.0)</f>
        <v>99</v>
      </c>
      <c r="I941" s="3" t="str">
        <f t="shared" si="1"/>
        <v>y</v>
      </c>
      <c r="J941" s="3" t="str">
        <f t="shared" si="2"/>
        <v>y</v>
      </c>
      <c r="K941" s="3" t="str">
        <f t="shared" si="3"/>
        <v/>
      </c>
      <c r="L941" s="3" t="str">
        <f t="shared" si="4"/>
        <v>y</v>
      </c>
      <c r="N941" s="3">
        <f t="shared" si="5"/>
        <v>1</v>
      </c>
      <c r="O941" s="3" t="str">
        <f t="shared" si="6"/>
        <v/>
      </c>
      <c r="Q941" s="3">
        <f t="shared" si="7"/>
        <v>1</v>
      </c>
      <c r="U941" s="3" t="str">
        <f t="shared" si="8"/>
        <v>Överlapp</v>
      </c>
      <c r="V941" s="3" t="str">
        <f t="shared" si="9"/>
        <v>Överlapp</v>
      </c>
      <c r="W941" s="3" t="str">
        <f t="shared" si="10"/>
        <v>Överlapp</v>
      </c>
      <c r="X941" s="3" t="str">
        <f t="shared" si="11"/>
        <v/>
      </c>
    </row>
    <row r="942">
      <c r="A942" s="1" t="s">
        <v>943</v>
      </c>
      <c r="B942" s="3" t="str">
        <f>IFERROR(__xludf.DUMMYFUNCTION("SPLIT(A942, "","")"),"32-42")</f>
        <v>32-42</v>
      </c>
      <c r="C942" s="3" t="str">
        <f>IFERROR(__xludf.DUMMYFUNCTION("""COMPUTED_VALUE"""),"31-47")</f>
        <v>31-47</v>
      </c>
      <c r="D942" s="3">
        <f>IFERROR(__xludf.DUMMYFUNCTION("SPLIT(B942, ""-"")"),32.0)</f>
        <v>32</v>
      </c>
      <c r="E942" s="3">
        <f>IFERROR(__xludf.DUMMYFUNCTION("""COMPUTED_VALUE"""),42.0)</f>
        <v>42</v>
      </c>
      <c r="F942" s="3">
        <f>IFERROR(__xludf.DUMMYFUNCTION("SPLIT(C942, ""-"")"),31.0)</f>
        <v>31</v>
      </c>
      <c r="G942" s="3">
        <f>IFERROR(__xludf.DUMMYFUNCTION("""COMPUTED_VALUE"""),47.0)</f>
        <v>47</v>
      </c>
      <c r="I942" s="3" t="str">
        <f t="shared" si="1"/>
        <v/>
      </c>
      <c r="J942" s="3" t="str">
        <f t="shared" si="2"/>
        <v/>
      </c>
      <c r="K942" s="3" t="str">
        <f t="shared" si="3"/>
        <v>y</v>
      </c>
      <c r="L942" s="3" t="str">
        <f t="shared" si="4"/>
        <v>y</v>
      </c>
      <c r="N942" s="3" t="str">
        <f t="shared" si="5"/>
        <v/>
      </c>
      <c r="O942" s="3">
        <f t="shared" si="6"/>
        <v>1</v>
      </c>
      <c r="Q942" s="3">
        <f t="shared" si="7"/>
        <v>1</v>
      </c>
      <c r="U942" s="3">
        <f t="shared" si="8"/>
        <v>1</v>
      </c>
      <c r="V942" s="3" t="str">
        <f t="shared" si="9"/>
        <v>Överlapp</v>
      </c>
      <c r="W942" s="3" t="str">
        <f t="shared" si="10"/>
        <v>Överlapp</v>
      </c>
      <c r="X942" s="3" t="str">
        <f t="shared" si="11"/>
        <v/>
      </c>
    </row>
    <row r="943">
      <c r="A943" s="1" t="s">
        <v>944</v>
      </c>
      <c r="B943" s="3" t="str">
        <f>IFERROR(__xludf.DUMMYFUNCTION("SPLIT(A943, "","")"),"23-65")</f>
        <v>23-65</v>
      </c>
      <c r="C943" s="3" t="str">
        <f>IFERROR(__xludf.DUMMYFUNCTION("""COMPUTED_VALUE"""),"23-66")</f>
        <v>23-66</v>
      </c>
      <c r="D943" s="3">
        <f>IFERROR(__xludf.DUMMYFUNCTION("SPLIT(B943, ""-"")"),23.0)</f>
        <v>23</v>
      </c>
      <c r="E943" s="3">
        <f>IFERROR(__xludf.DUMMYFUNCTION("""COMPUTED_VALUE"""),65.0)</f>
        <v>65</v>
      </c>
      <c r="F943" s="3">
        <f>IFERROR(__xludf.DUMMYFUNCTION("SPLIT(C943, ""-"")"),23.0)</f>
        <v>23</v>
      </c>
      <c r="G943" s="3">
        <f>IFERROR(__xludf.DUMMYFUNCTION("""COMPUTED_VALUE"""),66.0)</f>
        <v>66</v>
      </c>
      <c r="I943" s="3" t="str">
        <f t="shared" si="1"/>
        <v>y</v>
      </c>
      <c r="J943" s="3" t="str">
        <f t="shared" si="2"/>
        <v/>
      </c>
      <c r="K943" s="3" t="str">
        <f t="shared" si="3"/>
        <v>y</v>
      </c>
      <c r="L943" s="3" t="str">
        <f t="shared" si="4"/>
        <v>y</v>
      </c>
      <c r="N943" s="3" t="str">
        <f t="shared" si="5"/>
        <v/>
      </c>
      <c r="O943" s="3">
        <f t="shared" si="6"/>
        <v>1</v>
      </c>
      <c r="Q943" s="3">
        <f t="shared" si="7"/>
        <v>1</v>
      </c>
      <c r="U943" s="3" t="str">
        <f t="shared" si="8"/>
        <v>Överlapp</v>
      </c>
      <c r="V943" s="3" t="str">
        <f t="shared" si="9"/>
        <v>Överlapp</v>
      </c>
      <c r="W943" s="3" t="str">
        <f t="shared" si="10"/>
        <v>Överlapp</v>
      </c>
      <c r="X943" s="3" t="str">
        <f t="shared" si="11"/>
        <v/>
      </c>
    </row>
    <row r="944">
      <c r="A944" s="1" t="s">
        <v>945</v>
      </c>
      <c r="B944" s="3" t="str">
        <f>IFERROR(__xludf.DUMMYFUNCTION("SPLIT(A944, "","")"),"41-64")</f>
        <v>41-64</v>
      </c>
      <c r="C944" s="3" t="str">
        <f>IFERROR(__xludf.DUMMYFUNCTION("""COMPUTED_VALUE"""),"3-64")</f>
        <v>3-64</v>
      </c>
      <c r="D944" s="3">
        <f>IFERROR(__xludf.DUMMYFUNCTION("SPLIT(B944, ""-"")"),41.0)</f>
        <v>41</v>
      </c>
      <c r="E944" s="3">
        <f>IFERROR(__xludf.DUMMYFUNCTION("""COMPUTED_VALUE"""),64.0)</f>
        <v>64</v>
      </c>
      <c r="F944" s="3">
        <f>IFERROR(__xludf.DUMMYFUNCTION("SPLIT(C944, ""-"")"),3.0)</f>
        <v>3</v>
      </c>
      <c r="G944" s="3">
        <f>IFERROR(__xludf.DUMMYFUNCTION("""COMPUTED_VALUE"""),64.0)</f>
        <v>64</v>
      </c>
      <c r="I944" s="3" t="str">
        <f t="shared" si="1"/>
        <v/>
      </c>
      <c r="J944" s="3" t="str">
        <f t="shared" si="2"/>
        <v>y</v>
      </c>
      <c r="K944" s="3" t="str">
        <f t="shared" si="3"/>
        <v>y</v>
      </c>
      <c r="L944" s="3" t="str">
        <f t="shared" si="4"/>
        <v>y</v>
      </c>
      <c r="N944" s="3" t="str">
        <f t="shared" si="5"/>
        <v/>
      </c>
      <c r="O944" s="3">
        <f t="shared" si="6"/>
        <v>1</v>
      </c>
      <c r="Q944" s="3">
        <f t="shared" si="7"/>
        <v>1</v>
      </c>
      <c r="U944" s="3" t="str">
        <f t="shared" si="8"/>
        <v>Överlapp</v>
      </c>
      <c r="V944" s="3" t="str">
        <f t="shared" si="9"/>
        <v>Överlapp</v>
      </c>
      <c r="W944" s="3" t="str">
        <f t="shared" si="10"/>
        <v>Överlapp</v>
      </c>
      <c r="X944" s="3" t="str">
        <f t="shared" si="11"/>
        <v/>
      </c>
    </row>
    <row r="945">
      <c r="A945" s="1" t="s">
        <v>946</v>
      </c>
      <c r="B945" s="3" t="str">
        <f>IFERROR(__xludf.DUMMYFUNCTION("SPLIT(A945, "","")"),"22-65")</f>
        <v>22-65</v>
      </c>
      <c r="C945" s="3" t="str">
        <f>IFERROR(__xludf.DUMMYFUNCTION("""COMPUTED_VALUE"""),"15-46")</f>
        <v>15-46</v>
      </c>
      <c r="D945" s="3">
        <f>IFERROR(__xludf.DUMMYFUNCTION("SPLIT(B945, ""-"")"),22.0)</f>
        <v>22</v>
      </c>
      <c r="E945" s="3">
        <f>IFERROR(__xludf.DUMMYFUNCTION("""COMPUTED_VALUE"""),65.0)</f>
        <v>65</v>
      </c>
      <c r="F945" s="3">
        <f>IFERROR(__xludf.DUMMYFUNCTION("SPLIT(C945, ""-"")"),15.0)</f>
        <v>15</v>
      </c>
      <c r="G945" s="3">
        <f>IFERROR(__xludf.DUMMYFUNCTION("""COMPUTED_VALUE"""),46.0)</f>
        <v>46</v>
      </c>
      <c r="I945" s="3" t="str">
        <f t="shared" si="1"/>
        <v/>
      </c>
      <c r="J945" s="3" t="str">
        <f t="shared" si="2"/>
        <v>y</v>
      </c>
      <c r="K945" s="3" t="str">
        <f t="shared" si="3"/>
        <v>y</v>
      </c>
      <c r="L945" s="3" t="str">
        <f t="shared" si="4"/>
        <v/>
      </c>
      <c r="N945" s="3" t="str">
        <f t="shared" si="5"/>
        <v/>
      </c>
      <c r="O945" s="3" t="str">
        <f t="shared" si="6"/>
        <v/>
      </c>
      <c r="Q945" s="3" t="str">
        <f t="shared" si="7"/>
        <v/>
      </c>
      <c r="U945" s="3">
        <f t="shared" si="8"/>
        <v>1</v>
      </c>
      <c r="V945" s="3" t="str">
        <f t="shared" si="9"/>
        <v>Överlapp</v>
      </c>
      <c r="W945" s="3" t="str">
        <f t="shared" si="10"/>
        <v>Överlapp</v>
      </c>
      <c r="X945" s="3" t="str">
        <f t="shared" si="11"/>
        <v/>
      </c>
    </row>
    <row r="946">
      <c r="A946" s="1" t="s">
        <v>947</v>
      </c>
      <c r="B946" s="3" t="str">
        <f>IFERROR(__xludf.DUMMYFUNCTION("SPLIT(A946, "","")"),"86-93")</f>
        <v>86-93</v>
      </c>
      <c r="C946" s="3" t="str">
        <f>IFERROR(__xludf.DUMMYFUNCTION("""COMPUTED_VALUE"""),"85-86")</f>
        <v>85-86</v>
      </c>
      <c r="D946" s="3">
        <f>IFERROR(__xludf.DUMMYFUNCTION("SPLIT(B946, ""-"")"),86.0)</f>
        <v>86</v>
      </c>
      <c r="E946" s="3">
        <f>IFERROR(__xludf.DUMMYFUNCTION("""COMPUTED_VALUE"""),93.0)</f>
        <v>93</v>
      </c>
      <c r="F946" s="3">
        <f>IFERROR(__xludf.DUMMYFUNCTION("SPLIT(C946, ""-"")"),85.0)</f>
        <v>85</v>
      </c>
      <c r="G946" s="3">
        <f>IFERROR(__xludf.DUMMYFUNCTION("""COMPUTED_VALUE"""),86.0)</f>
        <v>86</v>
      </c>
      <c r="I946" s="3" t="str">
        <f t="shared" si="1"/>
        <v/>
      </c>
      <c r="J946" s="3" t="str">
        <f t="shared" si="2"/>
        <v>y</v>
      </c>
      <c r="K946" s="3" t="str">
        <f t="shared" si="3"/>
        <v>y</v>
      </c>
      <c r="L946" s="3" t="str">
        <f t="shared" si="4"/>
        <v/>
      </c>
      <c r="N946" s="3" t="str">
        <f t="shared" si="5"/>
        <v/>
      </c>
      <c r="O946" s="3" t="str">
        <f t="shared" si="6"/>
        <v/>
      </c>
      <c r="Q946" s="3" t="str">
        <f t="shared" si="7"/>
        <v/>
      </c>
      <c r="U946" s="3" t="str">
        <f t="shared" si="8"/>
        <v>Överlapp</v>
      </c>
      <c r="V946" s="3" t="str">
        <f t="shared" si="9"/>
        <v>Överlapp</v>
      </c>
      <c r="W946" s="3" t="str">
        <f t="shared" si="10"/>
        <v>Överlapp</v>
      </c>
      <c r="X946" s="3" t="str">
        <f t="shared" si="11"/>
        <v/>
      </c>
    </row>
    <row r="947">
      <c r="A947" s="1" t="s">
        <v>948</v>
      </c>
      <c r="B947" s="3" t="str">
        <f>IFERROR(__xludf.DUMMYFUNCTION("SPLIT(A947, "","")"),"10-77")</f>
        <v>10-77</v>
      </c>
      <c r="C947" s="3" t="str">
        <f>IFERROR(__xludf.DUMMYFUNCTION("""COMPUTED_VALUE"""),"9-77")</f>
        <v>9-77</v>
      </c>
      <c r="D947" s="3">
        <f>IFERROR(__xludf.DUMMYFUNCTION("SPLIT(B947, ""-"")"),10.0)</f>
        <v>10</v>
      </c>
      <c r="E947" s="3">
        <f>IFERROR(__xludf.DUMMYFUNCTION("""COMPUTED_VALUE"""),77.0)</f>
        <v>77</v>
      </c>
      <c r="F947" s="3">
        <f>IFERROR(__xludf.DUMMYFUNCTION("SPLIT(C947, ""-"")"),9.0)</f>
        <v>9</v>
      </c>
      <c r="G947" s="3">
        <f>IFERROR(__xludf.DUMMYFUNCTION("""COMPUTED_VALUE"""),77.0)</f>
        <v>77</v>
      </c>
      <c r="I947" s="3" t="str">
        <f t="shared" si="1"/>
        <v/>
      </c>
      <c r="J947" s="3" t="str">
        <f t="shared" si="2"/>
        <v>y</v>
      </c>
      <c r="K947" s="3" t="str">
        <f t="shared" si="3"/>
        <v>y</v>
      </c>
      <c r="L947" s="3" t="str">
        <f t="shared" si="4"/>
        <v>y</v>
      </c>
      <c r="N947" s="3" t="str">
        <f t="shared" si="5"/>
        <v/>
      </c>
      <c r="O947" s="3">
        <f t="shared" si="6"/>
        <v>1</v>
      </c>
      <c r="Q947" s="3">
        <f t="shared" si="7"/>
        <v>1</v>
      </c>
      <c r="U947" s="3" t="str">
        <f t="shared" si="8"/>
        <v>Överlapp</v>
      </c>
      <c r="V947" s="3" t="str">
        <f t="shared" si="9"/>
        <v>Överlapp</v>
      </c>
      <c r="W947" s="3" t="str">
        <f t="shared" si="10"/>
        <v>Överlapp</v>
      </c>
      <c r="X947" s="3" t="str">
        <f t="shared" si="11"/>
        <v/>
      </c>
    </row>
    <row r="948">
      <c r="A948" s="1" t="s">
        <v>949</v>
      </c>
      <c r="B948" s="3" t="str">
        <f>IFERROR(__xludf.DUMMYFUNCTION("SPLIT(A948, "","")"),"20-25")</f>
        <v>20-25</v>
      </c>
      <c r="C948" s="3" t="str">
        <f>IFERROR(__xludf.DUMMYFUNCTION("""COMPUTED_VALUE"""),"21-24")</f>
        <v>21-24</v>
      </c>
      <c r="D948" s="3">
        <f>IFERROR(__xludf.DUMMYFUNCTION("SPLIT(B948, ""-"")"),20.0)</f>
        <v>20</v>
      </c>
      <c r="E948" s="3">
        <f>IFERROR(__xludf.DUMMYFUNCTION("""COMPUTED_VALUE"""),25.0)</f>
        <v>25</v>
      </c>
      <c r="F948" s="3">
        <f>IFERROR(__xludf.DUMMYFUNCTION("SPLIT(C948, ""-"")"),21.0)</f>
        <v>21</v>
      </c>
      <c r="G948" s="3">
        <f>IFERROR(__xludf.DUMMYFUNCTION("""COMPUTED_VALUE"""),24.0)</f>
        <v>24</v>
      </c>
      <c r="I948" s="3" t="str">
        <f t="shared" si="1"/>
        <v>y</v>
      </c>
      <c r="J948" s="3" t="str">
        <f t="shared" si="2"/>
        <v>y</v>
      </c>
      <c r="K948" s="3" t="str">
        <f t="shared" si="3"/>
        <v/>
      </c>
      <c r="L948" s="3" t="str">
        <f t="shared" si="4"/>
        <v/>
      </c>
      <c r="N948" s="3">
        <f t="shared" si="5"/>
        <v>1</v>
      </c>
      <c r="O948" s="3" t="str">
        <f t="shared" si="6"/>
        <v/>
      </c>
      <c r="Q948" s="3">
        <f t="shared" si="7"/>
        <v>1</v>
      </c>
      <c r="U948" s="3">
        <f t="shared" si="8"/>
        <v>1</v>
      </c>
      <c r="V948" s="3" t="str">
        <f t="shared" si="9"/>
        <v>Överlapp</v>
      </c>
      <c r="W948" s="3" t="str">
        <f t="shared" si="10"/>
        <v>Överlapp</v>
      </c>
      <c r="X948" s="3" t="str">
        <f t="shared" si="11"/>
        <v/>
      </c>
    </row>
    <row r="949">
      <c r="A949" s="1" t="s">
        <v>950</v>
      </c>
      <c r="B949" s="3" t="str">
        <f>IFERROR(__xludf.DUMMYFUNCTION("SPLIT(A949, "","")"),"2-86")</f>
        <v>2-86</v>
      </c>
      <c r="C949" s="3" t="str">
        <f>IFERROR(__xludf.DUMMYFUNCTION("""COMPUTED_VALUE"""),"85-88")</f>
        <v>85-88</v>
      </c>
      <c r="D949" s="3">
        <f>IFERROR(__xludf.DUMMYFUNCTION("SPLIT(B949, ""-"")"),2.0)</f>
        <v>2</v>
      </c>
      <c r="E949" s="3">
        <f>IFERROR(__xludf.DUMMYFUNCTION("""COMPUTED_VALUE"""),86.0)</f>
        <v>86</v>
      </c>
      <c r="F949" s="3">
        <f>IFERROR(__xludf.DUMMYFUNCTION("SPLIT(C949, ""-"")"),85.0)</f>
        <v>85</v>
      </c>
      <c r="G949" s="3">
        <f>IFERROR(__xludf.DUMMYFUNCTION("""COMPUTED_VALUE"""),88.0)</f>
        <v>88</v>
      </c>
      <c r="I949" s="3" t="str">
        <f t="shared" si="1"/>
        <v>y</v>
      </c>
      <c r="J949" s="3" t="str">
        <f t="shared" si="2"/>
        <v/>
      </c>
      <c r="K949" s="3" t="str">
        <f t="shared" si="3"/>
        <v/>
      </c>
      <c r="L949" s="3" t="str">
        <f t="shared" si="4"/>
        <v>y</v>
      </c>
      <c r="N949" s="3" t="str">
        <f t="shared" si="5"/>
        <v/>
      </c>
      <c r="O949" s="3" t="str">
        <f t="shared" si="6"/>
        <v/>
      </c>
      <c r="Q949" s="3" t="str">
        <f t="shared" si="7"/>
        <v/>
      </c>
      <c r="U949" s="3">
        <f t="shared" si="8"/>
        <v>1</v>
      </c>
      <c r="V949" s="3" t="str">
        <f t="shared" si="9"/>
        <v>Överlapp</v>
      </c>
      <c r="W949" s="3" t="str">
        <f t="shared" si="10"/>
        <v>Överlapp</v>
      </c>
      <c r="X949" s="3" t="str">
        <f t="shared" si="11"/>
        <v/>
      </c>
    </row>
    <row r="950">
      <c r="A950" s="1" t="s">
        <v>951</v>
      </c>
      <c r="B950" s="3" t="str">
        <f>IFERROR(__xludf.DUMMYFUNCTION("SPLIT(A950, "","")"),"46-46")</f>
        <v>46-46</v>
      </c>
      <c r="C950" s="3" t="str">
        <f>IFERROR(__xludf.DUMMYFUNCTION("""COMPUTED_VALUE"""),"47-55")</f>
        <v>47-55</v>
      </c>
      <c r="D950" s="3">
        <f>IFERROR(__xludf.DUMMYFUNCTION("SPLIT(B950, ""-"")"),46.0)</f>
        <v>46</v>
      </c>
      <c r="E950" s="3">
        <f>IFERROR(__xludf.DUMMYFUNCTION("""COMPUTED_VALUE"""),46.0)</f>
        <v>46</v>
      </c>
      <c r="F950" s="3">
        <f>IFERROR(__xludf.DUMMYFUNCTION("SPLIT(C950, ""-"")"),47.0)</f>
        <v>47</v>
      </c>
      <c r="G950" s="3">
        <f>IFERROR(__xludf.DUMMYFUNCTION("""COMPUTED_VALUE"""),55.0)</f>
        <v>55</v>
      </c>
      <c r="I950" s="3" t="str">
        <f t="shared" si="1"/>
        <v>y</v>
      </c>
      <c r="J950" s="3" t="str">
        <f t="shared" si="2"/>
        <v/>
      </c>
      <c r="K950" s="3" t="str">
        <f t="shared" si="3"/>
        <v/>
      </c>
      <c r="L950" s="3" t="str">
        <f t="shared" si="4"/>
        <v>y</v>
      </c>
      <c r="N950" s="3" t="str">
        <f t="shared" si="5"/>
        <v/>
      </c>
      <c r="O950" s="3" t="str">
        <f t="shared" si="6"/>
        <v/>
      </c>
      <c r="Q950" s="3" t="str">
        <f t="shared" si="7"/>
        <v/>
      </c>
      <c r="U950" s="3">
        <f t="shared" si="8"/>
        <v>1</v>
      </c>
      <c r="V950" s="3">
        <f t="shared" si="9"/>
        <v>1</v>
      </c>
      <c r="W950" s="3" t="str">
        <f t="shared" si="10"/>
        <v>Överlapp</v>
      </c>
      <c r="X950" s="3">
        <f t="shared" si="11"/>
        <v>1</v>
      </c>
    </row>
    <row r="951">
      <c r="A951" s="1" t="s">
        <v>952</v>
      </c>
      <c r="B951" s="3" t="str">
        <f>IFERROR(__xludf.DUMMYFUNCTION("SPLIT(A951, "","")"),"2-14")</f>
        <v>2-14</v>
      </c>
      <c r="C951" s="3" t="str">
        <f>IFERROR(__xludf.DUMMYFUNCTION("""COMPUTED_VALUE"""),"2-82")</f>
        <v>2-82</v>
      </c>
      <c r="D951" s="3">
        <f>IFERROR(__xludf.DUMMYFUNCTION("SPLIT(B951, ""-"")"),2.0)</f>
        <v>2</v>
      </c>
      <c r="E951" s="3">
        <f>IFERROR(__xludf.DUMMYFUNCTION("""COMPUTED_VALUE"""),14.0)</f>
        <v>14</v>
      </c>
      <c r="F951" s="3">
        <f>IFERROR(__xludf.DUMMYFUNCTION("SPLIT(C951, ""-"")"),2.0)</f>
        <v>2</v>
      </c>
      <c r="G951" s="3">
        <f>IFERROR(__xludf.DUMMYFUNCTION("""COMPUTED_VALUE"""),82.0)</f>
        <v>82</v>
      </c>
      <c r="I951" s="3" t="str">
        <f t="shared" si="1"/>
        <v>y</v>
      </c>
      <c r="J951" s="3" t="str">
        <f t="shared" si="2"/>
        <v/>
      </c>
      <c r="K951" s="3" t="str">
        <f t="shared" si="3"/>
        <v>y</v>
      </c>
      <c r="L951" s="3" t="str">
        <f t="shared" si="4"/>
        <v>y</v>
      </c>
      <c r="N951" s="3" t="str">
        <f t="shared" si="5"/>
        <v/>
      </c>
      <c r="O951" s="3">
        <f t="shared" si="6"/>
        <v>1</v>
      </c>
      <c r="Q951" s="3">
        <f t="shared" si="7"/>
        <v>1</v>
      </c>
      <c r="U951" s="3" t="str">
        <f t="shared" si="8"/>
        <v>Överlapp</v>
      </c>
      <c r="V951" s="3" t="str">
        <f t="shared" si="9"/>
        <v>Överlapp</v>
      </c>
      <c r="W951" s="3" t="str">
        <f t="shared" si="10"/>
        <v>Överlapp</v>
      </c>
      <c r="X951" s="3" t="str">
        <f t="shared" si="11"/>
        <v/>
      </c>
    </row>
    <row r="952">
      <c r="A952" s="1" t="s">
        <v>953</v>
      </c>
      <c r="B952" s="3" t="str">
        <f>IFERROR(__xludf.DUMMYFUNCTION("SPLIT(A952, "","")"),"29-38")</f>
        <v>29-38</v>
      </c>
      <c r="C952" s="3" t="str">
        <f>IFERROR(__xludf.DUMMYFUNCTION("""COMPUTED_VALUE"""),"33-37")</f>
        <v>33-37</v>
      </c>
      <c r="D952" s="3">
        <f>IFERROR(__xludf.DUMMYFUNCTION("SPLIT(B952, ""-"")"),29.0)</f>
        <v>29</v>
      </c>
      <c r="E952" s="3">
        <f>IFERROR(__xludf.DUMMYFUNCTION("""COMPUTED_VALUE"""),38.0)</f>
        <v>38</v>
      </c>
      <c r="F952" s="3">
        <f>IFERROR(__xludf.DUMMYFUNCTION("SPLIT(C952, ""-"")"),33.0)</f>
        <v>33</v>
      </c>
      <c r="G952" s="3">
        <f>IFERROR(__xludf.DUMMYFUNCTION("""COMPUTED_VALUE"""),37.0)</f>
        <v>37</v>
      </c>
      <c r="I952" s="3" t="str">
        <f t="shared" si="1"/>
        <v>y</v>
      </c>
      <c r="J952" s="3" t="str">
        <f t="shared" si="2"/>
        <v>y</v>
      </c>
      <c r="K952" s="3" t="str">
        <f t="shared" si="3"/>
        <v/>
      </c>
      <c r="L952" s="3" t="str">
        <f t="shared" si="4"/>
        <v/>
      </c>
      <c r="N952" s="3">
        <f t="shared" si="5"/>
        <v>1</v>
      </c>
      <c r="O952" s="3" t="str">
        <f t="shared" si="6"/>
        <v/>
      </c>
      <c r="Q952" s="3">
        <f t="shared" si="7"/>
        <v>1</v>
      </c>
      <c r="U952" s="3">
        <f t="shared" si="8"/>
        <v>1</v>
      </c>
      <c r="V952" s="3" t="str">
        <f t="shared" si="9"/>
        <v>Överlapp</v>
      </c>
      <c r="W952" s="3" t="str">
        <f t="shared" si="10"/>
        <v>Överlapp</v>
      </c>
      <c r="X952" s="3" t="str">
        <f t="shared" si="11"/>
        <v/>
      </c>
    </row>
    <row r="953">
      <c r="A953" s="1" t="s">
        <v>954</v>
      </c>
      <c r="B953" s="3" t="str">
        <f>IFERROR(__xludf.DUMMYFUNCTION("SPLIT(A953, "","")"),"77-81")</f>
        <v>77-81</v>
      </c>
      <c r="C953" s="3" t="str">
        <f>IFERROR(__xludf.DUMMYFUNCTION("""COMPUTED_VALUE"""),"78-97")</f>
        <v>78-97</v>
      </c>
      <c r="D953" s="3">
        <f>IFERROR(__xludf.DUMMYFUNCTION("SPLIT(B953, ""-"")"),77.0)</f>
        <v>77</v>
      </c>
      <c r="E953" s="3">
        <f>IFERROR(__xludf.DUMMYFUNCTION("""COMPUTED_VALUE"""),81.0)</f>
        <v>81</v>
      </c>
      <c r="F953" s="3">
        <f>IFERROR(__xludf.DUMMYFUNCTION("SPLIT(C953, ""-"")"),78.0)</f>
        <v>78</v>
      </c>
      <c r="G953" s="3">
        <f>IFERROR(__xludf.DUMMYFUNCTION("""COMPUTED_VALUE"""),97.0)</f>
        <v>97</v>
      </c>
      <c r="I953" s="3" t="str">
        <f t="shared" si="1"/>
        <v>y</v>
      </c>
      <c r="J953" s="3" t="str">
        <f t="shared" si="2"/>
        <v/>
      </c>
      <c r="K953" s="3" t="str">
        <f t="shared" si="3"/>
        <v/>
      </c>
      <c r="L953" s="3" t="str">
        <f t="shared" si="4"/>
        <v>y</v>
      </c>
      <c r="N953" s="3" t="str">
        <f t="shared" si="5"/>
        <v/>
      </c>
      <c r="O953" s="3" t="str">
        <f t="shared" si="6"/>
        <v/>
      </c>
      <c r="Q953" s="3" t="str">
        <f t="shared" si="7"/>
        <v/>
      </c>
      <c r="U953" s="3">
        <f t="shared" si="8"/>
        <v>1</v>
      </c>
      <c r="V953" s="3" t="str">
        <f t="shared" si="9"/>
        <v>Överlapp</v>
      </c>
      <c r="W953" s="3" t="str">
        <f t="shared" si="10"/>
        <v>Överlapp</v>
      </c>
      <c r="X953" s="3" t="str">
        <f t="shared" si="11"/>
        <v/>
      </c>
    </row>
    <row r="954">
      <c r="A954" s="1" t="s">
        <v>955</v>
      </c>
      <c r="B954" s="3" t="str">
        <f>IFERROR(__xludf.DUMMYFUNCTION("SPLIT(A954, "","")"),"1-89")</f>
        <v>1-89</v>
      </c>
      <c r="C954" s="3" t="str">
        <f>IFERROR(__xludf.DUMMYFUNCTION("""COMPUTED_VALUE"""),"88-98")</f>
        <v>88-98</v>
      </c>
      <c r="D954" s="3">
        <f>IFERROR(__xludf.DUMMYFUNCTION("SPLIT(B954, ""-"")"),1.0)</f>
        <v>1</v>
      </c>
      <c r="E954" s="3">
        <f>IFERROR(__xludf.DUMMYFUNCTION("""COMPUTED_VALUE"""),89.0)</f>
        <v>89</v>
      </c>
      <c r="F954" s="3">
        <f>IFERROR(__xludf.DUMMYFUNCTION("SPLIT(C954, ""-"")"),88.0)</f>
        <v>88</v>
      </c>
      <c r="G954" s="3">
        <f>IFERROR(__xludf.DUMMYFUNCTION("""COMPUTED_VALUE"""),98.0)</f>
        <v>98</v>
      </c>
      <c r="I954" s="3" t="str">
        <f t="shared" si="1"/>
        <v>y</v>
      </c>
      <c r="J954" s="3" t="str">
        <f t="shared" si="2"/>
        <v/>
      </c>
      <c r="K954" s="3" t="str">
        <f t="shared" si="3"/>
        <v/>
      </c>
      <c r="L954" s="3" t="str">
        <f t="shared" si="4"/>
        <v>y</v>
      </c>
      <c r="N954" s="3" t="str">
        <f t="shared" si="5"/>
        <v/>
      </c>
      <c r="O954" s="3" t="str">
        <f t="shared" si="6"/>
        <v/>
      </c>
      <c r="Q954" s="3" t="str">
        <f t="shared" si="7"/>
        <v/>
      </c>
      <c r="U954" s="3">
        <f t="shared" si="8"/>
        <v>1</v>
      </c>
      <c r="V954" s="3" t="str">
        <f t="shared" si="9"/>
        <v>Överlapp</v>
      </c>
      <c r="W954" s="3" t="str">
        <f t="shared" si="10"/>
        <v>Överlapp</v>
      </c>
      <c r="X954" s="3" t="str">
        <f t="shared" si="11"/>
        <v/>
      </c>
    </row>
    <row r="955">
      <c r="A955" s="1" t="s">
        <v>956</v>
      </c>
      <c r="B955" s="3" t="str">
        <f>IFERROR(__xludf.DUMMYFUNCTION("SPLIT(A955, "","")"),"95-99")</f>
        <v>95-99</v>
      </c>
      <c r="C955" s="3" t="str">
        <f>IFERROR(__xludf.DUMMYFUNCTION("""COMPUTED_VALUE"""),"65-96")</f>
        <v>65-96</v>
      </c>
      <c r="D955" s="3">
        <f>IFERROR(__xludf.DUMMYFUNCTION("SPLIT(B955, ""-"")"),95.0)</f>
        <v>95</v>
      </c>
      <c r="E955" s="3">
        <f>IFERROR(__xludf.DUMMYFUNCTION("""COMPUTED_VALUE"""),99.0)</f>
        <v>99</v>
      </c>
      <c r="F955" s="3">
        <f>IFERROR(__xludf.DUMMYFUNCTION("SPLIT(C955, ""-"")"),65.0)</f>
        <v>65</v>
      </c>
      <c r="G955" s="3">
        <f>IFERROR(__xludf.DUMMYFUNCTION("""COMPUTED_VALUE"""),96.0)</f>
        <v>96</v>
      </c>
      <c r="I955" s="3" t="str">
        <f t="shared" si="1"/>
        <v/>
      </c>
      <c r="J955" s="3" t="str">
        <f t="shared" si="2"/>
        <v>y</v>
      </c>
      <c r="K955" s="3" t="str">
        <f t="shared" si="3"/>
        <v>y</v>
      </c>
      <c r="L955" s="3" t="str">
        <f t="shared" si="4"/>
        <v/>
      </c>
      <c r="N955" s="3" t="str">
        <f t="shared" si="5"/>
        <v/>
      </c>
      <c r="O955" s="3" t="str">
        <f t="shared" si="6"/>
        <v/>
      </c>
      <c r="Q955" s="3" t="str">
        <f t="shared" si="7"/>
        <v/>
      </c>
      <c r="U955" s="3">
        <f t="shared" si="8"/>
        <v>1</v>
      </c>
      <c r="V955" s="3" t="str">
        <f t="shared" si="9"/>
        <v>Överlapp</v>
      </c>
      <c r="W955" s="3" t="str">
        <f t="shared" si="10"/>
        <v>Överlapp</v>
      </c>
      <c r="X955" s="3" t="str">
        <f t="shared" si="11"/>
        <v/>
      </c>
    </row>
    <row r="956">
      <c r="A956" s="1" t="s">
        <v>957</v>
      </c>
      <c r="B956" s="4">
        <f>IFERROR(__xludf.DUMMYFUNCTION("SPLIT(A956, "","")"),44907.0)</f>
        <v>44907</v>
      </c>
      <c r="C956" s="3" t="str">
        <f>IFERROR(__xludf.DUMMYFUNCTION("""COMPUTED_VALUE"""),"8-13")</f>
        <v>8-13</v>
      </c>
      <c r="D956" s="3">
        <f>IFERROR(__xludf.DUMMYFUNCTION("SPLIT(B956, ""-"")"),12.0)</f>
        <v>12</v>
      </c>
      <c r="E956" s="3">
        <f>IFERROR(__xludf.DUMMYFUNCTION("""COMPUTED_VALUE"""),12.0)</f>
        <v>12</v>
      </c>
      <c r="F956" s="3">
        <f>IFERROR(__xludf.DUMMYFUNCTION("SPLIT(C956, ""-"")"),8.0)</f>
        <v>8</v>
      </c>
      <c r="G956" s="3">
        <f>IFERROR(__xludf.DUMMYFUNCTION("""COMPUTED_VALUE"""),13.0)</f>
        <v>13</v>
      </c>
      <c r="I956" s="3" t="str">
        <f t="shared" si="1"/>
        <v/>
      </c>
      <c r="J956" s="3" t="str">
        <f t="shared" si="2"/>
        <v/>
      </c>
      <c r="K956" s="3" t="str">
        <f t="shared" si="3"/>
        <v>y</v>
      </c>
      <c r="L956" s="3" t="str">
        <f t="shared" si="4"/>
        <v>y</v>
      </c>
      <c r="N956" s="3" t="str">
        <f t="shared" si="5"/>
        <v/>
      </c>
      <c r="O956" s="3">
        <f t="shared" si="6"/>
        <v>1</v>
      </c>
      <c r="Q956" s="3">
        <f t="shared" si="7"/>
        <v>1</v>
      </c>
      <c r="U956" s="3">
        <f t="shared" si="8"/>
        <v>1</v>
      </c>
      <c r="V956" s="3" t="str">
        <f t="shared" si="9"/>
        <v>Överlapp</v>
      </c>
      <c r="W956" s="3" t="str">
        <f t="shared" si="10"/>
        <v>Överlapp</v>
      </c>
      <c r="X956" s="3" t="str">
        <f t="shared" si="11"/>
        <v/>
      </c>
    </row>
    <row r="957">
      <c r="A957" s="1" t="s">
        <v>958</v>
      </c>
      <c r="B957" s="3" t="str">
        <f>IFERROR(__xludf.DUMMYFUNCTION("SPLIT(A957, "","")"),"2-59")</f>
        <v>2-59</v>
      </c>
      <c r="C957" s="3" t="str">
        <f>IFERROR(__xludf.DUMMYFUNCTION("""COMPUTED_VALUE"""),"1-59")</f>
        <v>1-59</v>
      </c>
      <c r="D957" s="3">
        <f>IFERROR(__xludf.DUMMYFUNCTION("SPLIT(B957, ""-"")"),2.0)</f>
        <v>2</v>
      </c>
      <c r="E957" s="3">
        <f>IFERROR(__xludf.DUMMYFUNCTION("""COMPUTED_VALUE"""),59.0)</f>
        <v>59</v>
      </c>
      <c r="F957" s="3">
        <f>IFERROR(__xludf.DUMMYFUNCTION("SPLIT(C957, ""-"")"),1.0)</f>
        <v>1</v>
      </c>
      <c r="G957" s="3">
        <f>IFERROR(__xludf.DUMMYFUNCTION("""COMPUTED_VALUE"""),59.0)</f>
        <v>59</v>
      </c>
      <c r="I957" s="3" t="str">
        <f t="shared" si="1"/>
        <v/>
      </c>
      <c r="J957" s="3" t="str">
        <f t="shared" si="2"/>
        <v>y</v>
      </c>
      <c r="K957" s="3" t="str">
        <f t="shared" si="3"/>
        <v>y</v>
      </c>
      <c r="L957" s="3" t="str">
        <f t="shared" si="4"/>
        <v>y</v>
      </c>
      <c r="N957" s="3" t="str">
        <f t="shared" si="5"/>
        <v/>
      </c>
      <c r="O957" s="3">
        <f t="shared" si="6"/>
        <v>1</v>
      </c>
      <c r="Q957" s="3">
        <f t="shared" si="7"/>
        <v>1</v>
      </c>
      <c r="U957" s="3" t="str">
        <f t="shared" si="8"/>
        <v>Överlapp</v>
      </c>
      <c r="V957" s="3" t="str">
        <f t="shared" si="9"/>
        <v>Överlapp</v>
      </c>
      <c r="W957" s="3" t="str">
        <f t="shared" si="10"/>
        <v>Överlapp</v>
      </c>
      <c r="X957" s="3" t="str">
        <f t="shared" si="11"/>
        <v/>
      </c>
    </row>
    <row r="958">
      <c r="A958" s="1" t="s">
        <v>959</v>
      </c>
      <c r="B958" s="3" t="str">
        <f>IFERROR(__xludf.DUMMYFUNCTION("SPLIT(A958, "","")"),"54-54")</f>
        <v>54-54</v>
      </c>
      <c r="C958" s="3" t="str">
        <f>IFERROR(__xludf.DUMMYFUNCTION("""COMPUTED_VALUE"""),"55-68")</f>
        <v>55-68</v>
      </c>
      <c r="D958" s="3">
        <f>IFERROR(__xludf.DUMMYFUNCTION("SPLIT(B958, ""-"")"),54.0)</f>
        <v>54</v>
      </c>
      <c r="E958" s="3">
        <f>IFERROR(__xludf.DUMMYFUNCTION("""COMPUTED_VALUE"""),54.0)</f>
        <v>54</v>
      </c>
      <c r="F958" s="3">
        <f>IFERROR(__xludf.DUMMYFUNCTION("SPLIT(C958, ""-"")"),55.0)</f>
        <v>55</v>
      </c>
      <c r="G958" s="3">
        <f>IFERROR(__xludf.DUMMYFUNCTION("""COMPUTED_VALUE"""),68.0)</f>
        <v>68</v>
      </c>
      <c r="I958" s="3" t="str">
        <f t="shared" si="1"/>
        <v>y</v>
      </c>
      <c r="J958" s="3" t="str">
        <f t="shared" si="2"/>
        <v/>
      </c>
      <c r="K958" s="3" t="str">
        <f t="shared" si="3"/>
        <v/>
      </c>
      <c r="L958" s="3" t="str">
        <f t="shared" si="4"/>
        <v>y</v>
      </c>
      <c r="N958" s="3" t="str">
        <f t="shared" si="5"/>
        <v/>
      </c>
      <c r="O958" s="3" t="str">
        <f t="shared" si="6"/>
        <v/>
      </c>
      <c r="Q958" s="3" t="str">
        <f t="shared" si="7"/>
        <v/>
      </c>
      <c r="U958" s="3">
        <f t="shared" si="8"/>
        <v>1</v>
      </c>
      <c r="V958" s="3">
        <f t="shared" si="9"/>
        <v>1</v>
      </c>
      <c r="W958" s="3" t="str">
        <f t="shared" si="10"/>
        <v>Överlapp</v>
      </c>
      <c r="X958" s="3">
        <f t="shared" si="11"/>
        <v>1</v>
      </c>
    </row>
    <row r="959">
      <c r="A959" s="1" t="s">
        <v>960</v>
      </c>
      <c r="B959" s="3" t="str">
        <f>IFERROR(__xludf.DUMMYFUNCTION("SPLIT(A959, "","")"),"4-97")</f>
        <v>4-97</v>
      </c>
      <c r="C959" s="3" t="str">
        <f>IFERROR(__xludf.DUMMYFUNCTION("""COMPUTED_VALUE"""),"53-98")</f>
        <v>53-98</v>
      </c>
      <c r="D959" s="3">
        <f>IFERROR(__xludf.DUMMYFUNCTION("SPLIT(B959, ""-"")"),4.0)</f>
        <v>4</v>
      </c>
      <c r="E959" s="3">
        <f>IFERROR(__xludf.DUMMYFUNCTION("""COMPUTED_VALUE"""),97.0)</f>
        <v>97</v>
      </c>
      <c r="F959" s="3">
        <f>IFERROR(__xludf.DUMMYFUNCTION("SPLIT(C959, ""-"")"),53.0)</f>
        <v>53</v>
      </c>
      <c r="G959" s="3">
        <f>IFERROR(__xludf.DUMMYFUNCTION("""COMPUTED_VALUE"""),98.0)</f>
        <v>98</v>
      </c>
      <c r="I959" s="3" t="str">
        <f t="shared" si="1"/>
        <v>y</v>
      </c>
      <c r="J959" s="3" t="str">
        <f t="shared" si="2"/>
        <v/>
      </c>
      <c r="K959" s="3" t="str">
        <f t="shared" si="3"/>
        <v/>
      </c>
      <c r="L959" s="3" t="str">
        <f t="shared" si="4"/>
        <v>y</v>
      </c>
      <c r="N959" s="3" t="str">
        <f t="shared" si="5"/>
        <v/>
      </c>
      <c r="O959" s="3" t="str">
        <f t="shared" si="6"/>
        <v/>
      </c>
      <c r="Q959" s="3" t="str">
        <f t="shared" si="7"/>
        <v/>
      </c>
      <c r="U959" s="3">
        <f t="shared" si="8"/>
        <v>1</v>
      </c>
      <c r="V959" s="3" t="str">
        <f t="shared" si="9"/>
        <v>Överlapp</v>
      </c>
      <c r="W959" s="3" t="str">
        <f t="shared" si="10"/>
        <v>Överlapp</v>
      </c>
      <c r="X959" s="3" t="str">
        <f t="shared" si="11"/>
        <v/>
      </c>
    </row>
    <row r="960">
      <c r="A960" s="1" t="s">
        <v>961</v>
      </c>
      <c r="B960" s="3" t="str">
        <f>IFERROR(__xludf.DUMMYFUNCTION("SPLIT(A960, "","")"),"5-96")</f>
        <v>5-96</v>
      </c>
      <c r="C960" s="3" t="str">
        <f>IFERROR(__xludf.DUMMYFUNCTION("""COMPUTED_VALUE"""),"54-96")</f>
        <v>54-96</v>
      </c>
      <c r="D960" s="3">
        <f>IFERROR(__xludf.DUMMYFUNCTION("SPLIT(B960, ""-"")"),5.0)</f>
        <v>5</v>
      </c>
      <c r="E960" s="3">
        <f>IFERROR(__xludf.DUMMYFUNCTION("""COMPUTED_VALUE"""),96.0)</f>
        <v>96</v>
      </c>
      <c r="F960" s="3">
        <f>IFERROR(__xludf.DUMMYFUNCTION("SPLIT(C960, ""-"")"),54.0)</f>
        <v>54</v>
      </c>
      <c r="G960" s="3">
        <f>IFERROR(__xludf.DUMMYFUNCTION("""COMPUTED_VALUE"""),96.0)</f>
        <v>96</v>
      </c>
      <c r="I960" s="3" t="str">
        <f t="shared" si="1"/>
        <v>y</v>
      </c>
      <c r="J960" s="3" t="str">
        <f t="shared" si="2"/>
        <v>y</v>
      </c>
      <c r="K960" s="3" t="str">
        <f t="shared" si="3"/>
        <v/>
      </c>
      <c r="L960" s="3" t="str">
        <f t="shared" si="4"/>
        <v>y</v>
      </c>
      <c r="N960" s="3">
        <f t="shared" si="5"/>
        <v>1</v>
      </c>
      <c r="O960" s="3" t="str">
        <f t="shared" si="6"/>
        <v/>
      </c>
      <c r="Q960" s="3">
        <f t="shared" si="7"/>
        <v>1</v>
      </c>
      <c r="U960" s="3" t="str">
        <f t="shared" si="8"/>
        <v>Överlapp</v>
      </c>
      <c r="V960" s="3" t="str">
        <f t="shared" si="9"/>
        <v>Överlapp</v>
      </c>
      <c r="W960" s="3" t="str">
        <f t="shared" si="10"/>
        <v>Överlapp</v>
      </c>
      <c r="X960" s="3" t="str">
        <f t="shared" si="11"/>
        <v/>
      </c>
    </row>
    <row r="961">
      <c r="A961" s="1" t="s">
        <v>962</v>
      </c>
      <c r="B961" s="3" t="str">
        <f>IFERROR(__xludf.DUMMYFUNCTION("SPLIT(A961, "","")"),"11-93")</f>
        <v>11-93</v>
      </c>
      <c r="C961" s="3" t="str">
        <f>IFERROR(__xludf.DUMMYFUNCTION("""COMPUTED_VALUE"""),"11-43")</f>
        <v>11-43</v>
      </c>
      <c r="D961" s="3">
        <f>IFERROR(__xludf.DUMMYFUNCTION("SPLIT(B961, ""-"")"),11.0)</f>
        <v>11</v>
      </c>
      <c r="E961" s="3">
        <f>IFERROR(__xludf.DUMMYFUNCTION("""COMPUTED_VALUE"""),93.0)</f>
        <v>93</v>
      </c>
      <c r="F961" s="3">
        <f>IFERROR(__xludf.DUMMYFUNCTION("SPLIT(C961, ""-"")"),11.0)</f>
        <v>11</v>
      </c>
      <c r="G961" s="3">
        <f>IFERROR(__xludf.DUMMYFUNCTION("""COMPUTED_VALUE"""),43.0)</f>
        <v>43</v>
      </c>
      <c r="I961" s="3" t="str">
        <f t="shared" si="1"/>
        <v>y</v>
      </c>
      <c r="J961" s="3" t="str">
        <f t="shared" si="2"/>
        <v>y</v>
      </c>
      <c r="K961" s="3" t="str">
        <f t="shared" si="3"/>
        <v>y</v>
      </c>
      <c r="L961" s="3" t="str">
        <f t="shared" si="4"/>
        <v/>
      </c>
      <c r="N961" s="3">
        <f t="shared" si="5"/>
        <v>1</v>
      </c>
      <c r="O961" s="3" t="str">
        <f t="shared" si="6"/>
        <v/>
      </c>
      <c r="Q961" s="3">
        <f t="shared" si="7"/>
        <v>1</v>
      </c>
      <c r="U961" s="3" t="str">
        <f t="shared" si="8"/>
        <v>Överlapp</v>
      </c>
      <c r="V961" s="3" t="str">
        <f t="shared" si="9"/>
        <v>Överlapp</v>
      </c>
      <c r="W961" s="3" t="str">
        <f t="shared" si="10"/>
        <v>Överlapp</v>
      </c>
      <c r="X961" s="3" t="str">
        <f t="shared" si="11"/>
        <v/>
      </c>
    </row>
    <row r="962">
      <c r="A962" s="1" t="s">
        <v>963</v>
      </c>
      <c r="B962" s="3" t="str">
        <f>IFERROR(__xludf.DUMMYFUNCTION("SPLIT(A962, "","")"),"65-87")</f>
        <v>65-87</v>
      </c>
      <c r="C962" s="3" t="str">
        <f>IFERROR(__xludf.DUMMYFUNCTION("""COMPUTED_VALUE"""),"64-64")</f>
        <v>64-64</v>
      </c>
      <c r="D962" s="3">
        <f>IFERROR(__xludf.DUMMYFUNCTION("SPLIT(B962, ""-"")"),65.0)</f>
        <v>65</v>
      </c>
      <c r="E962" s="3">
        <f>IFERROR(__xludf.DUMMYFUNCTION("""COMPUTED_VALUE"""),87.0)</f>
        <v>87</v>
      </c>
      <c r="F962" s="3">
        <f>IFERROR(__xludf.DUMMYFUNCTION("SPLIT(C962, ""-"")"),64.0)</f>
        <v>64</v>
      </c>
      <c r="G962" s="3">
        <f>IFERROR(__xludf.DUMMYFUNCTION("""COMPUTED_VALUE"""),64.0)</f>
        <v>64</v>
      </c>
      <c r="I962" s="3" t="str">
        <f t="shared" si="1"/>
        <v/>
      </c>
      <c r="J962" s="3" t="str">
        <f t="shared" si="2"/>
        <v>y</v>
      </c>
      <c r="K962" s="3" t="str">
        <f t="shared" si="3"/>
        <v>y</v>
      </c>
      <c r="L962" s="3" t="str">
        <f t="shared" si="4"/>
        <v/>
      </c>
      <c r="N962" s="3" t="str">
        <f t="shared" si="5"/>
        <v/>
      </c>
      <c r="O962" s="3" t="str">
        <f t="shared" si="6"/>
        <v/>
      </c>
      <c r="Q962" s="3" t="str">
        <f t="shared" si="7"/>
        <v/>
      </c>
      <c r="U962" s="3">
        <f t="shared" si="8"/>
        <v>1</v>
      </c>
      <c r="V962" s="3" t="str">
        <f t="shared" si="9"/>
        <v>Överlapp</v>
      </c>
      <c r="W962" s="3">
        <f t="shared" si="10"/>
        <v>1</v>
      </c>
      <c r="X962" s="3">
        <f t="shared" si="11"/>
        <v>1</v>
      </c>
    </row>
    <row r="963">
      <c r="A963" s="1" t="s">
        <v>964</v>
      </c>
      <c r="B963" s="3" t="str">
        <f>IFERROR(__xludf.DUMMYFUNCTION("SPLIT(A963, "","")"),"35-73")</f>
        <v>35-73</v>
      </c>
      <c r="C963" s="3" t="str">
        <f>IFERROR(__xludf.DUMMYFUNCTION("""COMPUTED_VALUE"""),"35-74")</f>
        <v>35-74</v>
      </c>
      <c r="D963" s="3">
        <f>IFERROR(__xludf.DUMMYFUNCTION("SPLIT(B963, ""-"")"),35.0)</f>
        <v>35</v>
      </c>
      <c r="E963" s="3">
        <f>IFERROR(__xludf.DUMMYFUNCTION("""COMPUTED_VALUE"""),73.0)</f>
        <v>73</v>
      </c>
      <c r="F963" s="3">
        <f>IFERROR(__xludf.DUMMYFUNCTION("SPLIT(C963, ""-"")"),35.0)</f>
        <v>35</v>
      </c>
      <c r="G963" s="3">
        <f>IFERROR(__xludf.DUMMYFUNCTION("""COMPUTED_VALUE"""),74.0)</f>
        <v>74</v>
      </c>
      <c r="I963" s="3" t="str">
        <f t="shared" si="1"/>
        <v>y</v>
      </c>
      <c r="J963" s="3" t="str">
        <f t="shared" si="2"/>
        <v/>
      </c>
      <c r="K963" s="3" t="str">
        <f t="shared" si="3"/>
        <v>y</v>
      </c>
      <c r="L963" s="3" t="str">
        <f t="shared" si="4"/>
        <v>y</v>
      </c>
      <c r="N963" s="3" t="str">
        <f t="shared" si="5"/>
        <v/>
      </c>
      <c r="O963" s="3">
        <f t="shared" si="6"/>
        <v>1</v>
      </c>
      <c r="Q963" s="3">
        <f t="shared" si="7"/>
        <v>1</v>
      </c>
      <c r="U963" s="3" t="str">
        <f t="shared" si="8"/>
        <v>Överlapp</v>
      </c>
      <c r="V963" s="3" t="str">
        <f t="shared" si="9"/>
        <v>Överlapp</v>
      </c>
      <c r="W963" s="3" t="str">
        <f t="shared" si="10"/>
        <v>Överlapp</v>
      </c>
      <c r="X963" s="3" t="str">
        <f t="shared" si="11"/>
        <v/>
      </c>
    </row>
    <row r="964">
      <c r="A964" s="1" t="s">
        <v>965</v>
      </c>
      <c r="B964" s="4">
        <f>IFERROR(__xludf.DUMMYFUNCTION("SPLIT(A964, "","")"),44812.0)</f>
        <v>44812</v>
      </c>
      <c r="C964" s="3" t="str">
        <f>IFERROR(__xludf.DUMMYFUNCTION("""COMPUTED_VALUE"""),"9-30")</f>
        <v>9-30</v>
      </c>
      <c r="D964" s="3">
        <f>IFERROR(__xludf.DUMMYFUNCTION("SPLIT(B964, ""-"")"),8.0)</f>
        <v>8</v>
      </c>
      <c r="E964" s="3">
        <f>IFERROR(__xludf.DUMMYFUNCTION("""COMPUTED_VALUE"""),9.0)</f>
        <v>9</v>
      </c>
      <c r="F964" s="3">
        <f>IFERROR(__xludf.DUMMYFUNCTION("SPLIT(C964, ""-"")"),9.0)</f>
        <v>9</v>
      </c>
      <c r="G964" s="3">
        <f>IFERROR(__xludf.DUMMYFUNCTION("""COMPUTED_VALUE"""),30.0)</f>
        <v>30</v>
      </c>
      <c r="I964" s="3" t="str">
        <f t="shared" si="1"/>
        <v>y</v>
      </c>
      <c r="J964" s="3" t="str">
        <f t="shared" si="2"/>
        <v/>
      </c>
      <c r="K964" s="3" t="str">
        <f t="shared" si="3"/>
        <v/>
      </c>
      <c r="L964" s="3" t="str">
        <f t="shared" si="4"/>
        <v>y</v>
      </c>
      <c r="N964" s="3" t="str">
        <f t="shared" si="5"/>
        <v/>
      </c>
      <c r="O964" s="3" t="str">
        <f t="shared" si="6"/>
        <v/>
      </c>
      <c r="Q964" s="3" t="str">
        <f t="shared" si="7"/>
        <v/>
      </c>
      <c r="U964" s="3" t="str">
        <f t="shared" si="8"/>
        <v>Överlapp</v>
      </c>
      <c r="V964" s="3" t="str">
        <f t="shared" si="9"/>
        <v>Överlapp</v>
      </c>
      <c r="W964" s="3" t="str">
        <f t="shared" si="10"/>
        <v>Överlapp</v>
      </c>
      <c r="X964" s="3" t="str">
        <f t="shared" si="11"/>
        <v/>
      </c>
    </row>
    <row r="965">
      <c r="A965" s="1" t="s">
        <v>966</v>
      </c>
      <c r="B965" s="3" t="str">
        <f>IFERROR(__xludf.DUMMYFUNCTION("SPLIT(A965, "","")"),"49-69")</f>
        <v>49-69</v>
      </c>
      <c r="C965" s="3" t="str">
        <f>IFERROR(__xludf.DUMMYFUNCTION("""COMPUTED_VALUE"""),"49-49")</f>
        <v>49-49</v>
      </c>
      <c r="D965" s="3">
        <f>IFERROR(__xludf.DUMMYFUNCTION("SPLIT(B965, ""-"")"),49.0)</f>
        <v>49</v>
      </c>
      <c r="E965" s="3">
        <f>IFERROR(__xludf.DUMMYFUNCTION("""COMPUTED_VALUE"""),69.0)</f>
        <v>69</v>
      </c>
      <c r="F965" s="3">
        <f>IFERROR(__xludf.DUMMYFUNCTION("SPLIT(C965, ""-"")"),49.0)</f>
        <v>49</v>
      </c>
      <c r="G965" s="3">
        <f>IFERROR(__xludf.DUMMYFUNCTION("""COMPUTED_VALUE"""),49.0)</f>
        <v>49</v>
      </c>
      <c r="I965" s="3" t="str">
        <f t="shared" si="1"/>
        <v>y</v>
      </c>
      <c r="J965" s="3" t="str">
        <f t="shared" si="2"/>
        <v>y</v>
      </c>
      <c r="K965" s="3" t="str">
        <f t="shared" si="3"/>
        <v>y</v>
      </c>
      <c r="L965" s="3" t="str">
        <f t="shared" si="4"/>
        <v/>
      </c>
      <c r="N965" s="3">
        <f t="shared" si="5"/>
        <v>1</v>
      </c>
      <c r="O965" s="3" t="str">
        <f t="shared" si="6"/>
        <v/>
      </c>
      <c r="Q965" s="3">
        <f t="shared" si="7"/>
        <v>1</v>
      </c>
      <c r="U965" s="3" t="str">
        <f t="shared" si="8"/>
        <v>Överlapp</v>
      </c>
      <c r="V965" s="3" t="str">
        <f t="shared" si="9"/>
        <v>Överlapp</v>
      </c>
      <c r="W965" s="3" t="str">
        <f t="shared" si="10"/>
        <v>Överlapp</v>
      </c>
      <c r="X965" s="3" t="str">
        <f t="shared" si="11"/>
        <v/>
      </c>
    </row>
    <row r="966">
      <c r="A966" s="1" t="s">
        <v>967</v>
      </c>
      <c r="B966" s="3" t="str">
        <f>IFERROR(__xludf.DUMMYFUNCTION("SPLIT(A966, "","")"),"57-64")</f>
        <v>57-64</v>
      </c>
      <c r="C966" s="3" t="str">
        <f>IFERROR(__xludf.DUMMYFUNCTION("""COMPUTED_VALUE"""),"1-58")</f>
        <v>1-58</v>
      </c>
      <c r="D966" s="3">
        <f>IFERROR(__xludf.DUMMYFUNCTION("SPLIT(B966, ""-"")"),57.0)</f>
        <v>57</v>
      </c>
      <c r="E966" s="3">
        <f>IFERROR(__xludf.DUMMYFUNCTION("""COMPUTED_VALUE"""),64.0)</f>
        <v>64</v>
      </c>
      <c r="F966" s="3">
        <f>IFERROR(__xludf.DUMMYFUNCTION("SPLIT(C966, ""-"")"),1.0)</f>
        <v>1</v>
      </c>
      <c r="G966" s="3">
        <f>IFERROR(__xludf.DUMMYFUNCTION("""COMPUTED_VALUE"""),58.0)</f>
        <v>58</v>
      </c>
      <c r="I966" s="3" t="str">
        <f t="shared" si="1"/>
        <v/>
      </c>
      <c r="J966" s="3" t="str">
        <f t="shared" si="2"/>
        <v>y</v>
      </c>
      <c r="K966" s="3" t="str">
        <f t="shared" si="3"/>
        <v>y</v>
      </c>
      <c r="L966" s="3" t="str">
        <f t="shared" si="4"/>
        <v/>
      </c>
      <c r="N966" s="3" t="str">
        <f t="shared" si="5"/>
        <v/>
      </c>
      <c r="O966" s="3" t="str">
        <f t="shared" si="6"/>
        <v/>
      </c>
      <c r="Q966" s="3" t="str">
        <f t="shared" si="7"/>
        <v/>
      </c>
      <c r="U966" s="3">
        <f t="shared" si="8"/>
        <v>1</v>
      </c>
      <c r="V966" s="3" t="str">
        <f t="shared" si="9"/>
        <v>Överlapp</v>
      </c>
      <c r="W966" s="3" t="str">
        <f t="shared" si="10"/>
        <v>Överlapp</v>
      </c>
      <c r="X966" s="3" t="str">
        <f t="shared" si="11"/>
        <v/>
      </c>
    </row>
    <row r="967">
      <c r="A967" s="1" t="s">
        <v>968</v>
      </c>
      <c r="B967" s="3" t="str">
        <f>IFERROR(__xludf.DUMMYFUNCTION("SPLIT(A967, "","")"),"46-98")</f>
        <v>46-98</v>
      </c>
      <c r="C967" s="3" t="str">
        <f>IFERROR(__xludf.DUMMYFUNCTION("""COMPUTED_VALUE"""),"47-97")</f>
        <v>47-97</v>
      </c>
      <c r="D967" s="3">
        <f>IFERROR(__xludf.DUMMYFUNCTION("SPLIT(B967, ""-"")"),46.0)</f>
        <v>46</v>
      </c>
      <c r="E967" s="3">
        <f>IFERROR(__xludf.DUMMYFUNCTION("""COMPUTED_VALUE"""),98.0)</f>
        <v>98</v>
      </c>
      <c r="F967" s="3">
        <f>IFERROR(__xludf.DUMMYFUNCTION("SPLIT(C967, ""-"")"),47.0)</f>
        <v>47</v>
      </c>
      <c r="G967" s="3">
        <f>IFERROR(__xludf.DUMMYFUNCTION("""COMPUTED_VALUE"""),97.0)</f>
        <v>97</v>
      </c>
      <c r="I967" s="3" t="str">
        <f t="shared" si="1"/>
        <v>y</v>
      </c>
      <c r="J967" s="3" t="str">
        <f t="shared" si="2"/>
        <v>y</v>
      </c>
      <c r="K967" s="3" t="str">
        <f t="shared" si="3"/>
        <v/>
      </c>
      <c r="L967" s="3" t="str">
        <f t="shared" si="4"/>
        <v/>
      </c>
      <c r="N967" s="3">
        <f t="shared" si="5"/>
        <v>1</v>
      </c>
      <c r="O967" s="3" t="str">
        <f t="shared" si="6"/>
        <v/>
      </c>
      <c r="Q967" s="3">
        <f t="shared" si="7"/>
        <v>1</v>
      </c>
      <c r="U967" s="3">
        <f t="shared" si="8"/>
        <v>1</v>
      </c>
      <c r="V967" s="3" t="str">
        <f t="shared" si="9"/>
        <v>Överlapp</v>
      </c>
      <c r="W967" s="3" t="str">
        <f t="shared" si="10"/>
        <v>Överlapp</v>
      </c>
      <c r="X967" s="3" t="str">
        <f t="shared" si="11"/>
        <v/>
      </c>
    </row>
    <row r="968">
      <c r="A968" s="1" t="s">
        <v>969</v>
      </c>
      <c r="B968" s="3" t="str">
        <f>IFERROR(__xludf.DUMMYFUNCTION("SPLIT(A968, "","")"),"5-84")</f>
        <v>5-84</v>
      </c>
      <c r="C968" s="3" t="str">
        <f>IFERROR(__xludf.DUMMYFUNCTION("""COMPUTED_VALUE"""),"92-96")</f>
        <v>92-96</v>
      </c>
      <c r="D968" s="3">
        <f>IFERROR(__xludf.DUMMYFUNCTION("SPLIT(B968, ""-"")"),5.0)</f>
        <v>5</v>
      </c>
      <c r="E968" s="3">
        <f>IFERROR(__xludf.DUMMYFUNCTION("""COMPUTED_VALUE"""),84.0)</f>
        <v>84</v>
      </c>
      <c r="F968" s="3">
        <f>IFERROR(__xludf.DUMMYFUNCTION("SPLIT(C968, ""-"")"),92.0)</f>
        <v>92</v>
      </c>
      <c r="G968" s="3">
        <f>IFERROR(__xludf.DUMMYFUNCTION("""COMPUTED_VALUE"""),96.0)</f>
        <v>96</v>
      </c>
      <c r="I968" s="3" t="str">
        <f t="shared" si="1"/>
        <v>y</v>
      </c>
      <c r="J968" s="3" t="str">
        <f t="shared" si="2"/>
        <v/>
      </c>
      <c r="K968" s="3" t="str">
        <f t="shared" si="3"/>
        <v/>
      </c>
      <c r="L968" s="3" t="str">
        <f t="shared" si="4"/>
        <v>y</v>
      </c>
      <c r="N968" s="3" t="str">
        <f t="shared" si="5"/>
        <v/>
      </c>
      <c r="O968" s="3" t="str">
        <f t="shared" si="6"/>
        <v/>
      </c>
      <c r="Q968" s="3" t="str">
        <f t="shared" si="7"/>
        <v/>
      </c>
      <c r="U968" s="3">
        <f t="shared" si="8"/>
        <v>1</v>
      </c>
      <c r="V968" s="3">
        <f t="shared" si="9"/>
        <v>1</v>
      </c>
      <c r="W968" s="3" t="str">
        <f t="shared" si="10"/>
        <v>Överlapp</v>
      </c>
      <c r="X968" s="3">
        <f t="shared" si="11"/>
        <v>1</v>
      </c>
    </row>
    <row r="969">
      <c r="A969" s="1" t="s">
        <v>970</v>
      </c>
      <c r="B969" s="3" t="str">
        <f>IFERROR(__xludf.DUMMYFUNCTION("SPLIT(A969, "","")"),"7-13")</f>
        <v>7-13</v>
      </c>
      <c r="C969" s="3" t="str">
        <f>IFERROR(__xludf.DUMMYFUNCTION("""COMPUTED_VALUE"""),"6-46")</f>
        <v>6-46</v>
      </c>
      <c r="D969" s="3">
        <f>IFERROR(__xludf.DUMMYFUNCTION("SPLIT(B969, ""-"")"),7.0)</f>
        <v>7</v>
      </c>
      <c r="E969" s="3">
        <f>IFERROR(__xludf.DUMMYFUNCTION("""COMPUTED_VALUE"""),13.0)</f>
        <v>13</v>
      </c>
      <c r="F969" s="3">
        <f>IFERROR(__xludf.DUMMYFUNCTION("SPLIT(C969, ""-"")"),6.0)</f>
        <v>6</v>
      </c>
      <c r="G969" s="3">
        <f>IFERROR(__xludf.DUMMYFUNCTION("""COMPUTED_VALUE"""),46.0)</f>
        <v>46</v>
      </c>
      <c r="I969" s="3" t="str">
        <f t="shared" si="1"/>
        <v/>
      </c>
      <c r="J969" s="3" t="str">
        <f t="shared" si="2"/>
        <v/>
      </c>
      <c r="K969" s="3" t="str">
        <f t="shared" si="3"/>
        <v>y</v>
      </c>
      <c r="L969" s="3" t="str">
        <f t="shared" si="4"/>
        <v>y</v>
      </c>
      <c r="N969" s="3" t="str">
        <f t="shared" si="5"/>
        <v/>
      </c>
      <c r="O969" s="3">
        <f t="shared" si="6"/>
        <v>1</v>
      </c>
      <c r="Q969" s="3">
        <f t="shared" si="7"/>
        <v>1</v>
      </c>
      <c r="U969" s="3">
        <f t="shared" si="8"/>
        <v>1</v>
      </c>
      <c r="V969" s="3" t="str">
        <f t="shared" si="9"/>
        <v>Överlapp</v>
      </c>
      <c r="W969" s="3" t="str">
        <f t="shared" si="10"/>
        <v>Överlapp</v>
      </c>
      <c r="X969" s="3" t="str">
        <f t="shared" si="11"/>
        <v/>
      </c>
    </row>
    <row r="970">
      <c r="A970" s="1" t="s">
        <v>971</v>
      </c>
      <c r="B970" s="3" t="str">
        <f>IFERROR(__xludf.DUMMYFUNCTION("SPLIT(A970, "","")"),"2-50")</f>
        <v>2-50</v>
      </c>
      <c r="C970" s="3" t="str">
        <f>IFERROR(__xludf.DUMMYFUNCTION("""COMPUTED_VALUE"""),"6-50")</f>
        <v>6-50</v>
      </c>
      <c r="D970" s="3">
        <f>IFERROR(__xludf.DUMMYFUNCTION("SPLIT(B970, ""-"")"),2.0)</f>
        <v>2</v>
      </c>
      <c r="E970" s="3">
        <f>IFERROR(__xludf.DUMMYFUNCTION("""COMPUTED_VALUE"""),50.0)</f>
        <v>50</v>
      </c>
      <c r="F970" s="3">
        <f>IFERROR(__xludf.DUMMYFUNCTION("SPLIT(C970, ""-"")"),6.0)</f>
        <v>6</v>
      </c>
      <c r="G970" s="3">
        <f>IFERROR(__xludf.DUMMYFUNCTION("""COMPUTED_VALUE"""),50.0)</f>
        <v>50</v>
      </c>
      <c r="I970" s="3" t="str">
        <f t="shared" si="1"/>
        <v>y</v>
      </c>
      <c r="J970" s="3" t="str">
        <f t="shared" si="2"/>
        <v>y</v>
      </c>
      <c r="K970" s="3" t="str">
        <f t="shared" si="3"/>
        <v/>
      </c>
      <c r="L970" s="3" t="str">
        <f t="shared" si="4"/>
        <v>y</v>
      </c>
      <c r="N970" s="3">
        <f t="shared" si="5"/>
        <v>1</v>
      </c>
      <c r="O970" s="3" t="str">
        <f t="shared" si="6"/>
        <v/>
      </c>
      <c r="Q970" s="3">
        <f t="shared" si="7"/>
        <v>1</v>
      </c>
      <c r="U970" s="3" t="str">
        <f t="shared" si="8"/>
        <v>Överlapp</v>
      </c>
      <c r="V970" s="3" t="str">
        <f t="shared" si="9"/>
        <v>Överlapp</v>
      </c>
      <c r="W970" s="3" t="str">
        <f t="shared" si="10"/>
        <v>Överlapp</v>
      </c>
      <c r="X970" s="3" t="str">
        <f t="shared" si="11"/>
        <v/>
      </c>
    </row>
    <row r="971">
      <c r="A971" s="1" t="s">
        <v>972</v>
      </c>
      <c r="B971" s="3" t="str">
        <f>IFERROR(__xludf.DUMMYFUNCTION("SPLIT(A971, "","")"),"66-94")</f>
        <v>66-94</v>
      </c>
      <c r="C971" s="3" t="str">
        <f>IFERROR(__xludf.DUMMYFUNCTION("""COMPUTED_VALUE"""),"72-95")</f>
        <v>72-95</v>
      </c>
      <c r="D971" s="3">
        <f>IFERROR(__xludf.DUMMYFUNCTION("SPLIT(B971, ""-"")"),66.0)</f>
        <v>66</v>
      </c>
      <c r="E971" s="3">
        <f>IFERROR(__xludf.DUMMYFUNCTION("""COMPUTED_VALUE"""),94.0)</f>
        <v>94</v>
      </c>
      <c r="F971" s="3">
        <f>IFERROR(__xludf.DUMMYFUNCTION("SPLIT(C971, ""-"")"),72.0)</f>
        <v>72</v>
      </c>
      <c r="G971" s="3">
        <f>IFERROR(__xludf.DUMMYFUNCTION("""COMPUTED_VALUE"""),95.0)</f>
        <v>95</v>
      </c>
      <c r="I971" s="3" t="str">
        <f t="shared" si="1"/>
        <v>y</v>
      </c>
      <c r="J971" s="3" t="str">
        <f t="shared" si="2"/>
        <v/>
      </c>
      <c r="K971" s="3" t="str">
        <f t="shared" si="3"/>
        <v/>
      </c>
      <c r="L971" s="3" t="str">
        <f t="shared" si="4"/>
        <v>y</v>
      </c>
      <c r="N971" s="3" t="str">
        <f t="shared" si="5"/>
        <v/>
      </c>
      <c r="O971" s="3" t="str">
        <f t="shared" si="6"/>
        <v/>
      </c>
      <c r="Q971" s="3" t="str">
        <f t="shared" si="7"/>
        <v/>
      </c>
      <c r="U971" s="3">
        <f t="shared" si="8"/>
        <v>1</v>
      </c>
      <c r="V971" s="3" t="str">
        <f t="shared" si="9"/>
        <v>Överlapp</v>
      </c>
      <c r="W971" s="3" t="str">
        <f t="shared" si="10"/>
        <v>Överlapp</v>
      </c>
      <c r="X971" s="3" t="str">
        <f t="shared" si="11"/>
        <v/>
      </c>
    </row>
    <row r="972">
      <c r="A972" s="1" t="s">
        <v>973</v>
      </c>
      <c r="B972" s="3" t="str">
        <f>IFERROR(__xludf.DUMMYFUNCTION("SPLIT(A972, "","")"),"16-16")</f>
        <v>16-16</v>
      </c>
      <c r="C972" s="3" t="str">
        <f>IFERROR(__xludf.DUMMYFUNCTION("""COMPUTED_VALUE"""),"16-84")</f>
        <v>16-84</v>
      </c>
      <c r="D972" s="3">
        <f>IFERROR(__xludf.DUMMYFUNCTION("SPLIT(B972, ""-"")"),16.0)</f>
        <v>16</v>
      </c>
      <c r="E972" s="3">
        <f>IFERROR(__xludf.DUMMYFUNCTION("""COMPUTED_VALUE"""),16.0)</f>
        <v>16</v>
      </c>
      <c r="F972" s="3">
        <f>IFERROR(__xludf.DUMMYFUNCTION("SPLIT(C972, ""-"")"),16.0)</f>
        <v>16</v>
      </c>
      <c r="G972" s="3">
        <f>IFERROR(__xludf.DUMMYFUNCTION("""COMPUTED_VALUE"""),84.0)</f>
        <v>84</v>
      </c>
      <c r="I972" s="3" t="str">
        <f t="shared" si="1"/>
        <v>y</v>
      </c>
      <c r="J972" s="3" t="str">
        <f t="shared" si="2"/>
        <v/>
      </c>
      <c r="K972" s="3" t="str">
        <f t="shared" si="3"/>
        <v>y</v>
      </c>
      <c r="L972" s="3" t="str">
        <f t="shared" si="4"/>
        <v>y</v>
      </c>
      <c r="N972" s="3" t="str">
        <f t="shared" si="5"/>
        <v/>
      </c>
      <c r="O972" s="3">
        <f t="shared" si="6"/>
        <v>1</v>
      </c>
      <c r="Q972" s="3">
        <f t="shared" si="7"/>
        <v>1</v>
      </c>
      <c r="U972" s="3" t="str">
        <f t="shared" si="8"/>
        <v>Överlapp</v>
      </c>
      <c r="V972" s="3" t="str">
        <f t="shared" si="9"/>
        <v>Överlapp</v>
      </c>
      <c r="W972" s="3" t="str">
        <f t="shared" si="10"/>
        <v>Överlapp</v>
      </c>
      <c r="X972" s="3" t="str">
        <f t="shared" si="11"/>
        <v/>
      </c>
    </row>
    <row r="973">
      <c r="A973" s="1" t="s">
        <v>974</v>
      </c>
      <c r="B973" s="3" t="str">
        <f>IFERROR(__xludf.DUMMYFUNCTION("SPLIT(A973, "","")"),"69-85")</f>
        <v>69-85</v>
      </c>
      <c r="C973" s="3" t="str">
        <f>IFERROR(__xludf.DUMMYFUNCTION("""COMPUTED_VALUE"""),"68-80")</f>
        <v>68-80</v>
      </c>
      <c r="D973" s="3">
        <f>IFERROR(__xludf.DUMMYFUNCTION("SPLIT(B973, ""-"")"),69.0)</f>
        <v>69</v>
      </c>
      <c r="E973" s="3">
        <f>IFERROR(__xludf.DUMMYFUNCTION("""COMPUTED_VALUE"""),85.0)</f>
        <v>85</v>
      </c>
      <c r="F973" s="3">
        <f>IFERROR(__xludf.DUMMYFUNCTION("SPLIT(C973, ""-"")"),68.0)</f>
        <v>68</v>
      </c>
      <c r="G973" s="3">
        <f>IFERROR(__xludf.DUMMYFUNCTION("""COMPUTED_VALUE"""),80.0)</f>
        <v>80</v>
      </c>
      <c r="I973" s="3" t="str">
        <f t="shared" si="1"/>
        <v/>
      </c>
      <c r="J973" s="3" t="str">
        <f t="shared" si="2"/>
        <v>y</v>
      </c>
      <c r="K973" s="3" t="str">
        <f t="shared" si="3"/>
        <v>y</v>
      </c>
      <c r="L973" s="3" t="str">
        <f t="shared" si="4"/>
        <v/>
      </c>
      <c r="N973" s="3" t="str">
        <f t="shared" si="5"/>
        <v/>
      </c>
      <c r="O973" s="3" t="str">
        <f t="shared" si="6"/>
        <v/>
      </c>
      <c r="Q973" s="3" t="str">
        <f t="shared" si="7"/>
        <v/>
      </c>
      <c r="U973" s="3">
        <f t="shared" si="8"/>
        <v>1</v>
      </c>
      <c r="V973" s="3" t="str">
        <f t="shared" si="9"/>
        <v>Överlapp</v>
      </c>
      <c r="W973" s="3" t="str">
        <f t="shared" si="10"/>
        <v>Överlapp</v>
      </c>
      <c r="X973" s="3" t="str">
        <f t="shared" si="11"/>
        <v/>
      </c>
    </row>
    <row r="974">
      <c r="A974" s="1" t="s">
        <v>975</v>
      </c>
      <c r="B974" s="3" t="str">
        <f>IFERROR(__xludf.DUMMYFUNCTION("SPLIT(A974, "","")"),"13-30")</f>
        <v>13-30</v>
      </c>
      <c r="C974" s="3" t="str">
        <f>IFERROR(__xludf.DUMMYFUNCTION("""COMPUTED_VALUE"""),"12-75")</f>
        <v>12-75</v>
      </c>
      <c r="D974" s="3">
        <f>IFERROR(__xludf.DUMMYFUNCTION("SPLIT(B974, ""-"")"),13.0)</f>
        <v>13</v>
      </c>
      <c r="E974" s="3">
        <f>IFERROR(__xludf.DUMMYFUNCTION("""COMPUTED_VALUE"""),30.0)</f>
        <v>30</v>
      </c>
      <c r="F974" s="3">
        <f>IFERROR(__xludf.DUMMYFUNCTION("SPLIT(C974, ""-"")"),12.0)</f>
        <v>12</v>
      </c>
      <c r="G974" s="3">
        <f>IFERROR(__xludf.DUMMYFUNCTION("""COMPUTED_VALUE"""),75.0)</f>
        <v>75</v>
      </c>
      <c r="I974" s="3" t="str">
        <f t="shared" si="1"/>
        <v/>
      </c>
      <c r="J974" s="3" t="str">
        <f t="shared" si="2"/>
        <v/>
      </c>
      <c r="K974" s="3" t="str">
        <f t="shared" si="3"/>
        <v>y</v>
      </c>
      <c r="L974" s="3" t="str">
        <f t="shared" si="4"/>
        <v>y</v>
      </c>
      <c r="N974" s="3" t="str">
        <f t="shared" si="5"/>
        <v/>
      </c>
      <c r="O974" s="3">
        <f t="shared" si="6"/>
        <v>1</v>
      </c>
      <c r="Q974" s="3">
        <f t="shared" si="7"/>
        <v>1</v>
      </c>
      <c r="U974" s="3">
        <f t="shared" si="8"/>
        <v>1</v>
      </c>
      <c r="V974" s="3" t="str">
        <f t="shared" si="9"/>
        <v>Överlapp</v>
      </c>
      <c r="W974" s="3" t="str">
        <f t="shared" si="10"/>
        <v>Överlapp</v>
      </c>
      <c r="X974" s="3" t="str">
        <f t="shared" si="11"/>
        <v/>
      </c>
    </row>
    <row r="975">
      <c r="A975" s="1" t="s">
        <v>976</v>
      </c>
      <c r="B975" s="3" t="str">
        <f>IFERROR(__xludf.DUMMYFUNCTION("SPLIT(A975, "","")"),"28-29")</f>
        <v>28-29</v>
      </c>
      <c r="C975" s="3" t="str">
        <f>IFERROR(__xludf.DUMMYFUNCTION("""COMPUTED_VALUE"""),"29-78")</f>
        <v>29-78</v>
      </c>
      <c r="D975" s="3">
        <f>IFERROR(__xludf.DUMMYFUNCTION("SPLIT(B975, ""-"")"),28.0)</f>
        <v>28</v>
      </c>
      <c r="E975" s="3">
        <f>IFERROR(__xludf.DUMMYFUNCTION("""COMPUTED_VALUE"""),29.0)</f>
        <v>29</v>
      </c>
      <c r="F975" s="3">
        <f>IFERROR(__xludf.DUMMYFUNCTION("SPLIT(C975, ""-"")"),29.0)</f>
        <v>29</v>
      </c>
      <c r="G975" s="3">
        <f>IFERROR(__xludf.DUMMYFUNCTION("""COMPUTED_VALUE"""),78.0)</f>
        <v>78</v>
      </c>
      <c r="I975" s="3" t="str">
        <f t="shared" si="1"/>
        <v>y</v>
      </c>
      <c r="J975" s="3" t="str">
        <f t="shared" si="2"/>
        <v/>
      </c>
      <c r="K975" s="3" t="str">
        <f t="shared" si="3"/>
        <v/>
      </c>
      <c r="L975" s="3" t="str">
        <f t="shared" si="4"/>
        <v>y</v>
      </c>
      <c r="N975" s="3" t="str">
        <f t="shared" si="5"/>
        <v/>
      </c>
      <c r="O975" s="3" t="str">
        <f t="shared" si="6"/>
        <v/>
      </c>
      <c r="Q975" s="3" t="str">
        <f t="shared" si="7"/>
        <v/>
      </c>
      <c r="U975" s="3" t="str">
        <f t="shared" si="8"/>
        <v>Överlapp</v>
      </c>
      <c r="V975" s="3" t="str">
        <f t="shared" si="9"/>
        <v>Överlapp</v>
      </c>
      <c r="W975" s="3" t="str">
        <f t="shared" si="10"/>
        <v>Överlapp</v>
      </c>
      <c r="X975" s="3" t="str">
        <f t="shared" si="11"/>
        <v/>
      </c>
    </row>
    <row r="976">
      <c r="A976" s="1" t="s">
        <v>977</v>
      </c>
      <c r="B976" s="3" t="str">
        <f>IFERROR(__xludf.DUMMYFUNCTION("SPLIT(A976, "","")"),"44-79")</f>
        <v>44-79</v>
      </c>
      <c r="C976" s="3" t="str">
        <f>IFERROR(__xludf.DUMMYFUNCTION("""COMPUTED_VALUE"""),"45-92")</f>
        <v>45-92</v>
      </c>
      <c r="D976" s="3">
        <f>IFERROR(__xludf.DUMMYFUNCTION("SPLIT(B976, ""-"")"),44.0)</f>
        <v>44</v>
      </c>
      <c r="E976" s="3">
        <f>IFERROR(__xludf.DUMMYFUNCTION("""COMPUTED_VALUE"""),79.0)</f>
        <v>79</v>
      </c>
      <c r="F976" s="3">
        <f>IFERROR(__xludf.DUMMYFUNCTION("SPLIT(C976, ""-"")"),45.0)</f>
        <v>45</v>
      </c>
      <c r="G976" s="3">
        <f>IFERROR(__xludf.DUMMYFUNCTION("""COMPUTED_VALUE"""),92.0)</f>
        <v>92</v>
      </c>
      <c r="I976" s="3" t="str">
        <f t="shared" si="1"/>
        <v>y</v>
      </c>
      <c r="J976" s="3" t="str">
        <f t="shared" si="2"/>
        <v/>
      </c>
      <c r="K976" s="3" t="str">
        <f t="shared" si="3"/>
        <v/>
      </c>
      <c r="L976" s="3" t="str">
        <f t="shared" si="4"/>
        <v>y</v>
      </c>
      <c r="N976" s="3" t="str">
        <f t="shared" si="5"/>
        <v/>
      </c>
      <c r="O976" s="3" t="str">
        <f t="shared" si="6"/>
        <v/>
      </c>
      <c r="Q976" s="3" t="str">
        <f t="shared" si="7"/>
        <v/>
      </c>
      <c r="U976" s="3">
        <f t="shared" si="8"/>
        <v>1</v>
      </c>
      <c r="V976" s="3" t="str">
        <f t="shared" si="9"/>
        <v>Överlapp</v>
      </c>
      <c r="W976" s="3" t="str">
        <f t="shared" si="10"/>
        <v>Överlapp</v>
      </c>
      <c r="X976" s="3" t="str">
        <f t="shared" si="11"/>
        <v/>
      </c>
    </row>
    <row r="977">
      <c r="A977" s="1" t="s">
        <v>978</v>
      </c>
      <c r="B977" s="3" t="str">
        <f>IFERROR(__xludf.DUMMYFUNCTION("SPLIT(A977, "","")"),"9-63")</f>
        <v>9-63</v>
      </c>
      <c r="C977" s="3" t="str">
        <f>IFERROR(__xludf.DUMMYFUNCTION("""COMPUTED_VALUE"""),"15-62")</f>
        <v>15-62</v>
      </c>
      <c r="D977" s="3">
        <f>IFERROR(__xludf.DUMMYFUNCTION("SPLIT(B977, ""-"")"),9.0)</f>
        <v>9</v>
      </c>
      <c r="E977" s="3">
        <f>IFERROR(__xludf.DUMMYFUNCTION("""COMPUTED_VALUE"""),63.0)</f>
        <v>63</v>
      </c>
      <c r="F977" s="3">
        <f>IFERROR(__xludf.DUMMYFUNCTION("SPLIT(C977, ""-"")"),15.0)</f>
        <v>15</v>
      </c>
      <c r="G977" s="3">
        <f>IFERROR(__xludf.DUMMYFUNCTION("""COMPUTED_VALUE"""),62.0)</f>
        <v>62</v>
      </c>
      <c r="I977" s="3" t="str">
        <f t="shared" si="1"/>
        <v>y</v>
      </c>
      <c r="J977" s="3" t="str">
        <f t="shared" si="2"/>
        <v>y</v>
      </c>
      <c r="K977" s="3" t="str">
        <f t="shared" si="3"/>
        <v/>
      </c>
      <c r="L977" s="3" t="str">
        <f t="shared" si="4"/>
        <v/>
      </c>
      <c r="N977" s="3">
        <f t="shared" si="5"/>
        <v>1</v>
      </c>
      <c r="O977" s="3" t="str">
        <f t="shared" si="6"/>
        <v/>
      </c>
      <c r="Q977" s="3">
        <f t="shared" si="7"/>
        <v>1</v>
      </c>
      <c r="U977" s="3">
        <f t="shared" si="8"/>
        <v>1</v>
      </c>
      <c r="V977" s="3" t="str">
        <f t="shared" si="9"/>
        <v>Överlapp</v>
      </c>
      <c r="W977" s="3" t="str">
        <f t="shared" si="10"/>
        <v>Överlapp</v>
      </c>
      <c r="X977" s="3" t="str">
        <f t="shared" si="11"/>
        <v/>
      </c>
    </row>
    <row r="978">
      <c r="A978" s="1" t="s">
        <v>979</v>
      </c>
      <c r="B978" s="3" t="str">
        <f>IFERROR(__xludf.DUMMYFUNCTION("SPLIT(A978, "","")"),"8-87")</f>
        <v>8-87</v>
      </c>
      <c r="C978" s="3" t="str">
        <f>IFERROR(__xludf.DUMMYFUNCTION("""COMPUTED_VALUE"""),"7-28")</f>
        <v>7-28</v>
      </c>
      <c r="D978" s="3">
        <f>IFERROR(__xludf.DUMMYFUNCTION("SPLIT(B978, ""-"")"),8.0)</f>
        <v>8</v>
      </c>
      <c r="E978" s="3">
        <f>IFERROR(__xludf.DUMMYFUNCTION("""COMPUTED_VALUE"""),87.0)</f>
        <v>87</v>
      </c>
      <c r="F978" s="3">
        <f>IFERROR(__xludf.DUMMYFUNCTION("SPLIT(C978, ""-"")"),7.0)</f>
        <v>7</v>
      </c>
      <c r="G978" s="3">
        <f>IFERROR(__xludf.DUMMYFUNCTION("""COMPUTED_VALUE"""),28.0)</f>
        <v>28</v>
      </c>
      <c r="I978" s="3" t="str">
        <f t="shared" si="1"/>
        <v/>
      </c>
      <c r="J978" s="3" t="str">
        <f t="shared" si="2"/>
        <v>y</v>
      </c>
      <c r="K978" s="3" t="str">
        <f t="shared" si="3"/>
        <v>y</v>
      </c>
      <c r="L978" s="3" t="str">
        <f t="shared" si="4"/>
        <v/>
      </c>
      <c r="N978" s="3" t="str">
        <f t="shared" si="5"/>
        <v/>
      </c>
      <c r="O978" s="3" t="str">
        <f t="shared" si="6"/>
        <v/>
      </c>
      <c r="Q978" s="3" t="str">
        <f t="shared" si="7"/>
        <v/>
      </c>
      <c r="U978" s="3">
        <f t="shared" si="8"/>
        <v>1</v>
      </c>
      <c r="V978" s="3" t="str">
        <f t="shared" si="9"/>
        <v>Överlapp</v>
      </c>
      <c r="W978" s="3" t="str">
        <f t="shared" si="10"/>
        <v>Överlapp</v>
      </c>
      <c r="X978" s="3" t="str">
        <f t="shared" si="11"/>
        <v/>
      </c>
    </row>
    <row r="979">
      <c r="A979" s="1" t="s">
        <v>980</v>
      </c>
      <c r="B979" s="3" t="str">
        <f>IFERROR(__xludf.DUMMYFUNCTION("SPLIT(A979, "","")"),"24-83")</f>
        <v>24-83</v>
      </c>
      <c r="C979" s="3" t="str">
        <f>IFERROR(__xludf.DUMMYFUNCTION("""COMPUTED_VALUE"""),"83-86")</f>
        <v>83-86</v>
      </c>
      <c r="D979" s="3">
        <f>IFERROR(__xludf.DUMMYFUNCTION("SPLIT(B979, ""-"")"),24.0)</f>
        <v>24</v>
      </c>
      <c r="E979" s="3">
        <f>IFERROR(__xludf.DUMMYFUNCTION("""COMPUTED_VALUE"""),83.0)</f>
        <v>83</v>
      </c>
      <c r="F979" s="3">
        <f>IFERROR(__xludf.DUMMYFUNCTION("SPLIT(C979, ""-"")"),83.0)</f>
        <v>83</v>
      </c>
      <c r="G979" s="3">
        <f>IFERROR(__xludf.DUMMYFUNCTION("""COMPUTED_VALUE"""),86.0)</f>
        <v>86</v>
      </c>
      <c r="I979" s="3" t="str">
        <f t="shared" si="1"/>
        <v>y</v>
      </c>
      <c r="J979" s="3" t="str">
        <f t="shared" si="2"/>
        <v/>
      </c>
      <c r="K979" s="3" t="str">
        <f t="shared" si="3"/>
        <v/>
      </c>
      <c r="L979" s="3" t="str">
        <f t="shared" si="4"/>
        <v>y</v>
      </c>
      <c r="N979" s="3" t="str">
        <f t="shared" si="5"/>
        <v/>
      </c>
      <c r="O979" s="3" t="str">
        <f t="shared" si="6"/>
        <v/>
      </c>
      <c r="Q979" s="3" t="str">
        <f t="shared" si="7"/>
        <v/>
      </c>
      <c r="U979" s="3" t="str">
        <f t="shared" si="8"/>
        <v>Överlapp</v>
      </c>
      <c r="V979" s="3" t="str">
        <f t="shared" si="9"/>
        <v>Överlapp</v>
      </c>
      <c r="W979" s="3" t="str">
        <f t="shared" si="10"/>
        <v>Överlapp</v>
      </c>
      <c r="X979" s="3" t="str">
        <f t="shared" si="11"/>
        <v/>
      </c>
    </row>
    <row r="980">
      <c r="A980" s="1" t="s">
        <v>981</v>
      </c>
      <c r="B980" s="3" t="str">
        <f>IFERROR(__xludf.DUMMYFUNCTION("SPLIT(A980, "","")"),"59-64")</f>
        <v>59-64</v>
      </c>
      <c r="C980" s="3" t="str">
        <f>IFERROR(__xludf.DUMMYFUNCTION("""COMPUTED_VALUE"""),"60-60")</f>
        <v>60-60</v>
      </c>
      <c r="D980" s="3">
        <f>IFERROR(__xludf.DUMMYFUNCTION("SPLIT(B980, ""-"")"),59.0)</f>
        <v>59</v>
      </c>
      <c r="E980" s="3">
        <f>IFERROR(__xludf.DUMMYFUNCTION("""COMPUTED_VALUE"""),64.0)</f>
        <v>64</v>
      </c>
      <c r="F980" s="3">
        <f>IFERROR(__xludf.DUMMYFUNCTION("SPLIT(C980, ""-"")"),60.0)</f>
        <v>60</v>
      </c>
      <c r="G980" s="3">
        <f>IFERROR(__xludf.DUMMYFUNCTION("""COMPUTED_VALUE"""),60.0)</f>
        <v>60</v>
      </c>
      <c r="I980" s="3" t="str">
        <f t="shared" si="1"/>
        <v>y</v>
      </c>
      <c r="J980" s="3" t="str">
        <f t="shared" si="2"/>
        <v>y</v>
      </c>
      <c r="K980" s="3" t="str">
        <f t="shared" si="3"/>
        <v/>
      </c>
      <c r="L980" s="3" t="str">
        <f t="shared" si="4"/>
        <v/>
      </c>
      <c r="N980" s="3">
        <f t="shared" si="5"/>
        <v>1</v>
      </c>
      <c r="O980" s="3" t="str">
        <f t="shared" si="6"/>
        <v/>
      </c>
      <c r="Q980" s="3">
        <f t="shared" si="7"/>
        <v>1</v>
      </c>
      <c r="U980" s="3">
        <f t="shared" si="8"/>
        <v>1</v>
      </c>
      <c r="V980" s="3" t="str">
        <f t="shared" si="9"/>
        <v>Överlapp</v>
      </c>
      <c r="W980" s="3" t="str">
        <f t="shared" si="10"/>
        <v>Överlapp</v>
      </c>
      <c r="X980" s="3" t="str">
        <f t="shared" si="11"/>
        <v/>
      </c>
    </row>
    <row r="981">
      <c r="A981" s="1" t="s">
        <v>982</v>
      </c>
      <c r="B981" s="3" t="str">
        <f>IFERROR(__xludf.DUMMYFUNCTION("SPLIT(A981, "","")"),"24-87")</f>
        <v>24-87</v>
      </c>
      <c r="C981" s="3" t="str">
        <f>IFERROR(__xludf.DUMMYFUNCTION("""COMPUTED_VALUE"""),"24-24")</f>
        <v>24-24</v>
      </c>
      <c r="D981" s="3">
        <f>IFERROR(__xludf.DUMMYFUNCTION("SPLIT(B981, ""-"")"),24.0)</f>
        <v>24</v>
      </c>
      <c r="E981" s="3">
        <f>IFERROR(__xludf.DUMMYFUNCTION("""COMPUTED_VALUE"""),87.0)</f>
        <v>87</v>
      </c>
      <c r="F981" s="3">
        <f>IFERROR(__xludf.DUMMYFUNCTION("SPLIT(C981, ""-"")"),24.0)</f>
        <v>24</v>
      </c>
      <c r="G981" s="3">
        <f>IFERROR(__xludf.DUMMYFUNCTION("""COMPUTED_VALUE"""),24.0)</f>
        <v>24</v>
      </c>
      <c r="I981" s="3" t="str">
        <f t="shared" si="1"/>
        <v>y</v>
      </c>
      <c r="J981" s="3" t="str">
        <f t="shared" si="2"/>
        <v>y</v>
      </c>
      <c r="K981" s="3" t="str">
        <f t="shared" si="3"/>
        <v>y</v>
      </c>
      <c r="L981" s="3" t="str">
        <f t="shared" si="4"/>
        <v/>
      </c>
      <c r="N981" s="3">
        <f t="shared" si="5"/>
        <v>1</v>
      </c>
      <c r="O981" s="3" t="str">
        <f t="shared" si="6"/>
        <v/>
      </c>
      <c r="Q981" s="3">
        <f t="shared" si="7"/>
        <v>1</v>
      </c>
      <c r="U981" s="3" t="str">
        <f t="shared" si="8"/>
        <v>Överlapp</v>
      </c>
      <c r="V981" s="3" t="str">
        <f t="shared" si="9"/>
        <v>Överlapp</v>
      </c>
      <c r="W981" s="3" t="str">
        <f t="shared" si="10"/>
        <v>Överlapp</v>
      </c>
      <c r="X981" s="3" t="str">
        <f t="shared" si="11"/>
        <v/>
      </c>
    </row>
    <row r="982">
      <c r="A982" s="1" t="s">
        <v>983</v>
      </c>
      <c r="B982" s="3" t="str">
        <f>IFERROR(__xludf.DUMMYFUNCTION("SPLIT(A982, "","")"),"54-58")</f>
        <v>54-58</v>
      </c>
      <c r="C982" s="3" t="str">
        <f>IFERROR(__xludf.DUMMYFUNCTION("""COMPUTED_VALUE"""),"47-57")</f>
        <v>47-57</v>
      </c>
      <c r="D982" s="3">
        <f>IFERROR(__xludf.DUMMYFUNCTION("SPLIT(B982, ""-"")"),54.0)</f>
        <v>54</v>
      </c>
      <c r="E982" s="3">
        <f>IFERROR(__xludf.DUMMYFUNCTION("""COMPUTED_VALUE"""),58.0)</f>
        <v>58</v>
      </c>
      <c r="F982" s="3">
        <f>IFERROR(__xludf.DUMMYFUNCTION("SPLIT(C982, ""-"")"),47.0)</f>
        <v>47</v>
      </c>
      <c r="G982" s="3">
        <f>IFERROR(__xludf.DUMMYFUNCTION("""COMPUTED_VALUE"""),57.0)</f>
        <v>57</v>
      </c>
      <c r="I982" s="3" t="str">
        <f t="shared" si="1"/>
        <v/>
      </c>
      <c r="J982" s="3" t="str">
        <f t="shared" si="2"/>
        <v>y</v>
      </c>
      <c r="K982" s="3" t="str">
        <f t="shared" si="3"/>
        <v>y</v>
      </c>
      <c r="L982" s="3" t="str">
        <f t="shared" si="4"/>
        <v/>
      </c>
      <c r="N982" s="3" t="str">
        <f t="shared" si="5"/>
        <v/>
      </c>
      <c r="O982" s="3" t="str">
        <f t="shared" si="6"/>
        <v/>
      </c>
      <c r="Q982" s="3" t="str">
        <f t="shared" si="7"/>
        <v/>
      </c>
      <c r="U982" s="3">
        <f t="shared" si="8"/>
        <v>1</v>
      </c>
      <c r="V982" s="3" t="str">
        <f t="shared" si="9"/>
        <v>Överlapp</v>
      </c>
      <c r="W982" s="3" t="str">
        <f t="shared" si="10"/>
        <v>Överlapp</v>
      </c>
      <c r="X982" s="3" t="str">
        <f t="shared" si="11"/>
        <v/>
      </c>
    </row>
    <row r="983">
      <c r="A983" s="1" t="s">
        <v>984</v>
      </c>
      <c r="B983" s="3" t="str">
        <f>IFERROR(__xludf.DUMMYFUNCTION("SPLIT(A983, "","")"),"27-38")</f>
        <v>27-38</v>
      </c>
      <c r="C983" s="3" t="str">
        <f>IFERROR(__xludf.DUMMYFUNCTION("""COMPUTED_VALUE"""),"13-37")</f>
        <v>13-37</v>
      </c>
      <c r="D983" s="3">
        <f>IFERROR(__xludf.DUMMYFUNCTION("SPLIT(B983, ""-"")"),27.0)</f>
        <v>27</v>
      </c>
      <c r="E983" s="3">
        <f>IFERROR(__xludf.DUMMYFUNCTION("""COMPUTED_VALUE"""),38.0)</f>
        <v>38</v>
      </c>
      <c r="F983" s="3">
        <f>IFERROR(__xludf.DUMMYFUNCTION("SPLIT(C983, ""-"")"),13.0)</f>
        <v>13</v>
      </c>
      <c r="G983" s="3">
        <f>IFERROR(__xludf.DUMMYFUNCTION("""COMPUTED_VALUE"""),37.0)</f>
        <v>37</v>
      </c>
      <c r="I983" s="3" t="str">
        <f t="shared" si="1"/>
        <v/>
      </c>
      <c r="J983" s="3" t="str">
        <f t="shared" si="2"/>
        <v>y</v>
      </c>
      <c r="K983" s="3" t="str">
        <f t="shared" si="3"/>
        <v>y</v>
      </c>
      <c r="L983" s="3" t="str">
        <f t="shared" si="4"/>
        <v/>
      </c>
      <c r="N983" s="3" t="str">
        <f t="shared" si="5"/>
        <v/>
      </c>
      <c r="O983" s="3" t="str">
        <f t="shared" si="6"/>
        <v/>
      </c>
      <c r="Q983" s="3" t="str">
        <f t="shared" si="7"/>
        <v/>
      </c>
      <c r="U983" s="3">
        <f t="shared" si="8"/>
        <v>1</v>
      </c>
      <c r="V983" s="3" t="str">
        <f t="shared" si="9"/>
        <v>Överlapp</v>
      </c>
      <c r="W983" s="3" t="str">
        <f t="shared" si="10"/>
        <v>Överlapp</v>
      </c>
      <c r="X983" s="3" t="str">
        <f t="shared" si="11"/>
        <v/>
      </c>
    </row>
    <row r="984">
      <c r="A984" s="1" t="s">
        <v>985</v>
      </c>
      <c r="B984" s="3" t="str">
        <f>IFERROR(__xludf.DUMMYFUNCTION("SPLIT(A984, "","")"),"14-15")</f>
        <v>14-15</v>
      </c>
      <c r="C984" s="3" t="str">
        <f>IFERROR(__xludf.DUMMYFUNCTION("""COMPUTED_VALUE"""),"15-71")</f>
        <v>15-71</v>
      </c>
      <c r="D984" s="3">
        <f>IFERROR(__xludf.DUMMYFUNCTION("SPLIT(B984, ""-"")"),14.0)</f>
        <v>14</v>
      </c>
      <c r="E984" s="3">
        <f>IFERROR(__xludf.DUMMYFUNCTION("""COMPUTED_VALUE"""),15.0)</f>
        <v>15</v>
      </c>
      <c r="F984" s="3">
        <f>IFERROR(__xludf.DUMMYFUNCTION("SPLIT(C984, ""-"")"),15.0)</f>
        <v>15</v>
      </c>
      <c r="G984" s="3">
        <f>IFERROR(__xludf.DUMMYFUNCTION("""COMPUTED_VALUE"""),71.0)</f>
        <v>71</v>
      </c>
      <c r="I984" s="3" t="str">
        <f t="shared" si="1"/>
        <v>y</v>
      </c>
      <c r="J984" s="3" t="str">
        <f t="shared" si="2"/>
        <v/>
      </c>
      <c r="K984" s="3" t="str">
        <f t="shared" si="3"/>
        <v/>
      </c>
      <c r="L984" s="3" t="str">
        <f t="shared" si="4"/>
        <v>y</v>
      </c>
      <c r="N984" s="3" t="str">
        <f t="shared" si="5"/>
        <v/>
      </c>
      <c r="O984" s="3" t="str">
        <f t="shared" si="6"/>
        <v/>
      </c>
      <c r="Q984" s="3" t="str">
        <f t="shared" si="7"/>
        <v/>
      </c>
      <c r="U984" s="3" t="str">
        <f t="shared" si="8"/>
        <v>Överlapp</v>
      </c>
      <c r="V984" s="3" t="str">
        <f t="shared" si="9"/>
        <v>Överlapp</v>
      </c>
      <c r="W984" s="3" t="str">
        <f t="shared" si="10"/>
        <v>Överlapp</v>
      </c>
      <c r="X984" s="3" t="str">
        <f t="shared" si="11"/>
        <v/>
      </c>
    </row>
    <row r="985">
      <c r="A985" s="1" t="s">
        <v>986</v>
      </c>
      <c r="B985" s="3" t="str">
        <f>IFERROR(__xludf.DUMMYFUNCTION("SPLIT(A985, "","")"),"76-85")</f>
        <v>76-85</v>
      </c>
      <c r="C985" s="3" t="str">
        <f>IFERROR(__xludf.DUMMYFUNCTION("""COMPUTED_VALUE"""),"73-85")</f>
        <v>73-85</v>
      </c>
      <c r="D985" s="3">
        <f>IFERROR(__xludf.DUMMYFUNCTION("SPLIT(B985, ""-"")"),76.0)</f>
        <v>76</v>
      </c>
      <c r="E985" s="3">
        <f>IFERROR(__xludf.DUMMYFUNCTION("""COMPUTED_VALUE"""),85.0)</f>
        <v>85</v>
      </c>
      <c r="F985" s="3">
        <f>IFERROR(__xludf.DUMMYFUNCTION("SPLIT(C985, ""-"")"),73.0)</f>
        <v>73</v>
      </c>
      <c r="G985" s="3">
        <f>IFERROR(__xludf.DUMMYFUNCTION("""COMPUTED_VALUE"""),85.0)</f>
        <v>85</v>
      </c>
      <c r="I985" s="3" t="str">
        <f t="shared" si="1"/>
        <v/>
      </c>
      <c r="J985" s="3" t="str">
        <f t="shared" si="2"/>
        <v>y</v>
      </c>
      <c r="K985" s="3" t="str">
        <f t="shared" si="3"/>
        <v>y</v>
      </c>
      <c r="L985" s="3" t="str">
        <f t="shared" si="4"/>
        <v>y</v>
      </c>
      <c r="N985" s="3" t="str">
        <f t="shared" si="5"/>
        <v/>
      </c>
      <c r="O985" s="3">
        <f t="shared" si="6"/>
        <v>1</v>
      </c>
      <c r="Q985" s="3">
        <f t="shared" si="7"/>
        <v>1</v>
      </c>
      <c r="U985" s="3" t="str">
        <f t="shared" si="8"/>
        <v>Överlapp</v>
      </c>
      <c r="V985" s="3" t="str">
        <f t="shared" si="9"/>
        <v>Överlapp</v>
      </c>
      <c r="W985" s="3" t="str">
        <f t="shared" si="10"/>
        <v>Överlapp</v>
      </c>
      <c r="X985" s="3" t="str">
        <f t="shared" si="11"/>
        <v/>
      </c>
    </row>
    <row r="986">
      <c r="A986" s="1" t="s">
        <v>987</v>
      </c>
      <c r="B986" s="3" t="str">
        <f>IFERROR(__xludf.DUMMYFUNCTION("SPLIT(A986, "","")"),"7-17")</f>
        <v>7-17</v>
      </c>
      <c r="C986" s="3" t="str">
        <f>IFERROR(__xludf.DUMMYFUNCTION("""COMPUTED_VALUE"""),"6-90")</f>
        <v>6-90</v>
      </c>
      <c r="D986" s="3">
        <f>IFERROR(__xludf.DUMMYFUNCTION("SPLIT(B986, ""-"")"),7.0)</f>
        <v>7</v>
      </c>
      <c r="E986" s="3">
        <f>IFERROR(__xludf.DUMMYFUNCTION("""COMPUTED_VALUE"""),17.0)</f>
        <v>17</v>
      </c>
      <c r="F986" s="3">
        <f>IFERROR(__xludf.DUMMYFUNCTION("SPLIT(C986, ""-"")"),6.0)</f>
        <v>6</v>
      </c>
      <c r="G986" s="3">
        <f>IFERROR(__xludf.DUMMYFUNCTION("""COMPUTED_VALUE"""),90.0)</f>
        <v>90</v>
      </c>
      <c r="I986" s="3" t="str">
        <f t="shared" si="1"/>
        <v/>
      </c>
      <c r="J986" s="3" t="str">
        <f t="shared" si="2"/>
        <v/>
      </c>
      <c r="K986" s="3" t="str">
        <f t="shared" si="3"/>
        <v>y</v>
      </c>
      <c r="L986" s="3" t="str">
        <f t="shared" si="4"/>
        <v>y</v>
      </c>
      <c r="N986" s="3" t="str">
        <f t="shared" si="5"/>
        <v/>
      </c>
      <c r="O986" s="3">
        <f t="shared" si="6"/>
        <v>1</v>
      </c>
      <c r="Q986" s="3">
        <f t="shared" si="7"/>
        <v>1</v>
      </c>
      <c r="U986" s="3">
        <f t="shared" si="8"/>
        <v>1</v>
      </c>
      <c r="V986" s="3" t="str">
        <f t="shared" si="9"/>
        <v>Överlapp</v>
      </c>
      <c r="W986" s="3" t="str">
        <f t="shared" si="10"/>
        <v>Överlapp</v>
      </c>
      <c r="X986" s="3" t="str">
        <f t="shared" si="11"/>
        <v/>
      </c>
    </row>
    <row r="987">
      <c r="A987" s="1" t="s">
        <v>988</v>
      </c>
      <c r="B987" s="3" t="str">
        <f>IFERROR(__xludf.DUMMYFUNCTION("SPLIT(A987, "","")"),"4-95")</f>
        <v>4-95</v>
      </c>
      <c r="C987" s="3" t="str">
        <f>IFERROR(__xludf.DUMMYFUNCTION("""COMPUTED_VALUE"""),"5-96")</f>
        <v>5-96</v>
      </c>
      <c r="D987" s="3">
        <f>IFERROR(__xludf.DUMMYFUNCTION("SPLIT(B987, ""-"")"),4.0)</f>
        <v>4</v>
      </c>
      <c r="E987" s="3">
        <f>IFERROR(__xludf.DUMMYFUNCTION("""COMPUTED_VALUE"""),95.0)</f>
        <v>95</v>
      </c>
      <c r="F987" s="3">
        <f>IFERROR(__xludf.DUMMYFUNCTION("SPLIT(C987, ""-"")"),5.0)</f>
        <v>5</v>
      </c>
      <c r="G987" s="3">
        <f>IFERROR(__xludf.DUMMYFUNCTION("""COMPUTED_VALUE"""),96.0)</f>
        <v>96</v>
      </c>
      <c r="I987" s="3" t="str">
        <f t="shared" si="1"/>
        <v>y</v>
      </c>
      <c r="J987" s="3" t="str">
        <f t="shared" si="2"/>
        <v/>
      </c>
      <c r="K987" s="3" t="str">
        <f t="shared" si="3"/>
        <v/>
      </c>
      <c r="L987" s="3" t="str">
        <f t="shared" si="4"/>
        <v>y</v>
      </c>
      <c r="N987" s="3" t="str">
        <f t="shared" si="5"/>
        <v/>
      </c>
      <c r="O987" s="3" t="str">
        <f t="shared" si="6"/>
        <v/>
      </c>
      <c r="Q987" s="3" t="str">
        <f t="shared" si="7"/>
        <v/>
      </c>
      <c r="U987" s="3">
        <f t="shared" si="8"/>
        <v>1</v>
      </c>
      <c r="V987" s="3" t="str">
        <f t="shared" si="9"/>
        <v>Överlapp</v>
      </c>
      <c r="W987" s="3" t="str">
        <f t="shared" si="10"/>
        <v>Överlapp</v>
      </c>
      <c r="X987" s="3" t="str">
        <f t="shared" si="11"/>
        <v/>
      </c>
    </row>
    <row r="988">
      <c r="A988" s="1" t="s">
        <v>989</v>
      </c>
      <c r="B988" s="3" t="str">
        <f>IFERROR(__xludf.DUMMYFUNCTION("SPLIT(A988, "","")"),"16-77")</f>
        <v>16-77</v>
      </c>
      <c r="C988" s="3" t="str">
        <f>IFERROR(__xludf.DUMMYFUNCTION("""COMPUTED_VALUE"""),"17-25")</f>
        <v>17-25</v>
      </c>
      <c r="D988" s="3">
        <f>IFERROR(__xludf.DUMMYFUNCTION("SPLIT(B988, ""-"")"),16.0)</f>
        <v>16</v>
      </c>
      <c r="E988" s="3">
        <f>IFERROR(__xludf.DUMMYFUNCTION("""COMPUTED_VALUE"""),77.0)</f>
        <v>77</v>
      </c>
      <c r="F988" s="3">
        <f>IFERROR(__xludf.DUMMYFUNCTION("SPLIT(C988, ""-"")"),17.0)</f>
        <v>17</v>
      </c>
      <c r="G988" s="3">
        <f>IFERROR(__xludf.DUMMYFUNCTION("""COMPUTED_VALUE"""),25.0)</f>
        <v>25</v>
      </c>
      <c r="I988" s="3" t="str">
        <f t="shared" si="1"/>
        <v>y</v>
      </c>
      <c r="J988" s="3" t="str">
        <f t="shared" si="2"/>
        <v>y</v>
      </c>
      <c r="K988" s="3" t="str">
        <f t="shared" si="3"/>
        <v/>
      </c>
      <c r="L988" s="3" t="str">
        <f t="shared" si="4"/>
        <v/>
      </c>
      <c r="N988" s="3">
        <f t="shared" si="5"/>
        <v>1</v>
      </c>
      <c r="O988" s="3" t="str">
        <f t="shared" si="6"/>
        <v/>
      </c>
      <c r="Q988" s="3">
        <f t="shared" si="7"/>
        <v>1</v>
      </c>
      <c r="U988" s="3">
        <f t="shared" si="8"/>
        <v>1</v>
      </c>
      <c r="V988" s="3" t="str">
        <f t="shared" si="9"/>
        <v>Överlapp</v>
      </c>
      <c r="W988" s="3" t="str">
        <f t="shared" si="10"/>
        <v>Överlapp</v>
      </c>
      <c r="X988" s="3" t="str">
        <f t="shared" si="11"/>
        <v/>
      </c>
    </row>
    <row r="989">
      <c r="A989" s="1" t="s">
        <v>990</v>
      </c>
      <c r="B989" s="3" t="str">
        <f>IFERROR(__xludf.DUMMYFUNCTION("SPLIT(A989, "","")"),"32-63")</f>
        <v>32-63</v>
      </c>
      <c r="C989" s="3" t="str">
        <f>IFERROR(__xludf.DUMMYFUNCTION("""COMPUTED_VALUE"""),"39-63")</f>
        <v>39-63</v>
      </c>
      <c r="D989" s="3">
        <f>IFERROR(__xludf.DUMMYFUNCTION("SPLIT(B989, ""-"")"),32.0)</f>
        <v>32</v>
      </c>
      <c r="E989" s="3">
        <f>IFERROR(__xludf.DUMMYFUNCTION("""COMPUTED_VALUE"""),63.0)</f>
        <v>63</v>
      </c>
      <c r="F989" s="3">
        <f>IFERROR(__xludf.DUMMYFUNCTION("SPLIT(C989, ""-"")"),39.0)</f>
        <v>39</v>
      </c>
      <c r="G989" s="3">
        <f>IFERROR(__xludf.DUMMYFUNCTION("""COMPUTED_VALUE"""),63.0)</f>
        <v>63</v>
      </c>
      <c r="I989" s="3" t="str">
        <f t="shared" si="1"/>
        <v>y</v>
      </c>
      <c r="J989" s="3" t="str">
        <f t="shared" si="2"/>
        <v>y</v>
      </c>
      <c r="K989" s="3" t="str">
        <f t="shared" si="3"/>
        <v/>
      </c>
      <c r="L989" s="3" t="str">
        <f t="shared" si="4"/>
        <v>y</v>
      </c>
      <c r="N989" s="3">
        <f t="shared" si="5"/>
        <v>1</v>
      </c>
      <c r="O989" s="3" t="str">
        <f t="shared" si="6"/>
        <v/>
      </c>
      <c r="Q989" s="3">
        <f t="shared" si="7"/>
        <v>1</v>
      </c>
      <c r="U989" s="3" t="str">
        <f t="shared" si="8"/>
        <v>Överlapp</v>
      </c>
      <c r="V989" s="3" t="str">
        <f t="shared" si="9"/>
        <v>Överlapp</v>
      </c>
      <c r="W989" s="3" t="str">
        <f t="shared" si="10"/>
        <v>Överlapp</v>
      </c>
      <c r="X989" s="3" t="str">
        <f t="shared" si="11"/>
        <v/>
      </c>
    </row>
    <row r="990">
      <c r="A990" s="1" t="s">
        <v>991</v>
      </c>
      <c r="B990" s="3" t="str">
        <f>IFERROR(__xludf.DUMMYFUNCTION("SPLIT(A990, "","")"),"30-74")</f>
        <v>30-74</v>
      </c>
      <c r="C990" s="3" t="str">
        <f>IFERROR(__xludf.DUMMYFUNCTION("""COMPUTED_VALUE"""),"52-75")</f>
        <v>52-75</v>
      </c>
      <c r="D990" s="3">
        <f>IFERROR(__xludf.DUMMYFUNCTION("SPLIT(B990, ""-"")"),30.0)</f>
        <v>30</v>
      </c>
      <c r="E990" s="3">
        <f>IFERROR(__xludf.DUMMYFUNCTION("""COMPUTED_VALUE"""),74.0)</f>
        <v>74</v>
      </c>
      <c r="F990" s="3">
        <f>IFERROR(__xludf.DUMMYFUNCTION("SPLIT(C990, ""-"")"),52.0)</f>
        <v>52</v>
      </c>
      <c r="G990" s="3">
        <f>IFERROR(__xludf.DUMMYFUNCTION("""COMPUTED_VALUE"""),75.0)</f>
        <v>75</v>
      </c>
      <c r="I990" s="3" t="str">
        <f t="shared" si="1"/>
        <v>y</v>
      </c>
      <c r="J990" s="3" t="str">
        <f t="shared" si="2"/>
        <v/>
      </c>
      <c r="K990" s="3" t="str">
        <f t="shared" si="3"/>
        <v/>
      </c>
      <c r="L990" s="3" t="str">
        <f t="shared" si="4"/>
        <v>y</v>
      </c>
      <c r="N990" s="3" t="str">
        <f t="shared" si="5"/>
        <v/>
      </c>
      <c r="O990" s="3" t="str">
        <f t="shared" si="6"/>
        <v/>
      </c>
      <c r="Q990" s="3" t="str">
        <f t="shared" si="7"/>
        <v/>
      </c>
      <c r="U990" s="3">
        <f t="shared" si="8"/>
        <v>1</v>
      </c>
      <c r="V990" s="3" t="str">
        <f t="shared" si="9"/>
        <v>Överlapp</v>
      </c>
      <c r="W990" s="3" t="str">
        <f t="shared" si="10"/>
        <v>Överlapp</v>
      </c>
      <c r="X990" s="3" t="str">
        <f t="shared" si="11"/>
        <v/>
      </c>
    </row>
    <row r="991">
      <c r="A991" s="1" t="s">
        <v>992</v>
      </c>
      <c r="B991" s="3" t="str">
        <f>IFERROR(__xludf.DUMMYFUNCTION("SPLIT(A991, "","")"),"51-99")</f>
        <v>51-99</v>
      </c>
      <c r="C991" s="3" t="str">
        <f>IFERROR(__xludf.DUMMYFUNCTION("""COMPUTED_VALUE"""),"98-99")</f>
        <v>98-99</v>
      </c>
      <c r="D991" s="3">
        <f>IFERROR(__xludf.DUMMYFUNCTION("SPLIT(B991, ""-"")"),51.0)</f>
        <v>51</v>
      </c>
      <c r="E991" s="3">
        <f>IFERROR(__xludf.DUMMYFUNCTION("""COMPUTED_VALUE"""),99.0)</f>
        <v>99</v>
      </c>
      <c r="F991" s="3">
        <f>IFERROR(__xludf.DUMMYFUNCTION("SPLIT(C991, ""-"")"),98.0)</f>
        <v>98</v>
      </c>
      <c r="G991" s="3">
        <f>IFERROR(__xludf.DUMMYFUNCTION("""COMPUTED_VALUE"""),99.0)</f>
        <v>99</v>
      </c>
      <c r="I991" s="3" t="str">
        <f t="shared" si="1"/>
        <v>y</v>
      </c>
      <c r="J991" s="3" t="str">
        <f t="shared" si="2"/>
        <v>y</v>
      </c>
      <c r="K991" s="3" t="str">
        <f t="shared" si="3"/>
        <v/>
      </c>
      <c r="L991" s="3" t="str">
        <f t="shared" si="4"/>
        <v>y</v>
      </c>
      <c r="N991" s="3">
        <f t="shared" si="5"/>
        <v>1</v>
      </c>
      <c r="O991" s="3" t="str">
        <f t="shared" si="6"/>
        <v/>
      </c>
      <c r="Q991" s="3">
        <f t="shared" si="7"/>
        <v>1</v>
      </c>
      <c r="U991" s="3" t="str">
        <f t="shared" si="8"/>
        <v>Överlapp</v>
      </c>
      <c r="V991" s="3" t="str">
        <f t="shared" si="9"/>
        <v>Överlapp</v>
      </c>
      <c r="W991" s="3" t="str">
        <f t="shared" si="10"/>
        <v>Överlapp</v>
      </c>
      <c r="X991" s="3" t="str">
        <f t="shared" si="11"/>
        <v/>
      </c>
    </row>
    <row r="992">
      <c r="A992" s="1" t="s">
        <v>993</v>
      </c>
      <c r="B992" s="3" t="str">
        <f>IFERROR(__xludf.DUMMYFUNCTION("SPLIT(A992, "","")"),"72-87")</f>
        <v>72-87</v>
      </c>
      <c r="C992" s="3" t="str">
        <f>IFERROR(__xludf.DUMMYFUNCTION("""COMPUTED_VALUE"""),"72-87")</f>
        <v>72-87</v>
      </c>
      <c r="D992" s="3">
        <f>IFERROR(__xludf.DUMMYFUNCTION("SPLIT(B992, ""-"")"),72.0)</f>
        <v>72</v>
      </c>
      <c r="E992" s="3">
        <f>IFERROR(__xludf.DUMMYFUNCTION("""COMPUTED_VALUE"""),87.0)</f>
        <v>87</v>
      </c>
      <c r="F992" s="3">
        <f>IFERROR(__xludf.DUMMYFUNCTION("SPLIT(C992, ""-"")"),72.0)</f>
        <v>72</v>
      </c>
      <c r="G992" s="3">
        <f>IFERROR(__xludf.DUMMYFUNCTION("""COMPUTED_VALUE"""),87.0)</f>
        <v>87</v>
      </c>
      <c r="I992" s="3" t="str">
        <f t="shared" si="1"/>
        <v>y</v>
      </c>
      <c r="J992" s="3" t="str">
        <f t="shared" si="2"/>
        <v>y</v>
      </c>
      <c r="K992" s="3" t="str">
        <f t="shared" si="3"/>
        <v>y</v>
      </c>
      <c r="L992" s="3" t="str">
        <f t="shared" si="4"/>
        <v>y</v>
      </c>
      <c r="N992" s="3">
        <f t="shared" si="5"/>
        <v>1</v>
      </c>
      <c r="O992" s="3">
        <f t="shared" si="6"/>
        <v>1</v>
      </c>
      <c r="Q992" s="3">
        <f t="shared" si="7"/>
        <v>1</v>
      </c>
      <c r="U992" s="3" t="str">
        <f t="shared" si="8"/>
        <v>Överlapp</v>
      </c>
      <c r="V992" s="3" t="str">
        <f t="shared" si="9"/>
        <v>Överlapp</v>
      </c>
      <c r="W992" s="3" t="str">
        <f t="shared" si="10"/>
        <v>Överlapp</v>
      </c>
      <c r="X992" s="3" t="str">
        <f t="shared" si="11"/>
        <v/>
      </c>
    </row>
    <row r="993">
      <c r="A993" s="1" t="s">
        <v>994</v>
      </c>
      <c r="B993" s="3" t="str">
        <f>IFERROR(__xludf.DUMMYFUNCTION("SPLIT(A993, "","")"),"2-87")</f>
        <v>2-87</v>
      </c>
      <c r="C993" s="3" t="str">
        <f>IFERROR(__xludf.DUMMYFUNCTION("""COMPUTED_VALUE"""),"3-88")</f>
        <v>3-88</v>
      </c>
      <c r="D993" s="3">
        <f>IFERROR(__xludf.DUMMYFUNCTION("SPLIT(B993, ""-"")"),2.0)</f>
        <v>2</v>
      </c>
      <c r="E993" s="3">
        <f>IFERROR(__xludf.DUMMYFUNCTION("""COMPUTED_VALUE"""),87.0)</f>
        <v>87</v>
      </c>
      <c r="F993" s="3">
        <f>IFERROR(__xludf.DUMMYFUNCTION("SPLIT(C993, ""-"")"),3.0)</f>
        <v>3</v>
      </c>
      <c r="G993" s="3">
        <f>IFERROR(__xludf.DUMMYFUNCTION("""COMPUTED_VALUE"""),88.0)</f>
        <v>88</v>
      </c>
      <c r="I993" s="3" t="str">
        <f t="shared" si="1"/>
        <v>y</v>
      </c>
      <c r="J993" s="3" t="str">
        <f t="shared" si="2"/>
        <v/>
      </c>
      <c r="K993" s="3" t="str">
        <f t="shared" si="3"/>
        <v/>
      </c>
      <c r="L993" s="3" t="str">
        <f t="shared" si="4"/>
        <v>y</v>
      </c>
      <c r="N993" s="3" t="str">
        <f t="shared" si="5"/>
        <v/>
      </c>
      <c r="O993" s="3" t="str">
        <f t="shared" si="6"/>
        <v/>
      </c>
      <c r="Q993" s="3" t="str">
        <f t="shared" si="7"/>
        <v/>
      </c>
      <c r="U993" s="3">
        <f t="shared" si="8"/>
        <v>1</v>
      </c>
      <c r="V993" s="3" t="str">
        <f t="shared" si="9"/>
        <v>Överlapp</v>
      </c>
      <c r="W993" s="3" t="str">
        <f t="shared" si="10"/>
        <v>Överlapp</v>
      </c>
      <c r="X993" s="3" t="str">
        <f t="shared" si="11"/>
        <v/>
      </c>
    </row>
    <row r="994">
      <c r="A994" s="1" t="s">
        <v>995</v>
      </c>
      <c r="B994" s="3" t="str">
        <f>IFERROR(__xludf.DUMMYFUNCTION("SPLIT(A994, "","")"),"1-29")</f>
        <v>1-29</v>
      </c>
      <c r="C994" s="3" t="str">
        <f>IFERROR(__xludf.DUMMYFUNCTION("""COMPUTED_VALUE"""),"6-89")</f>
        <v>6-89</v>
      </c>
      <c r="D994" s="3">
        <f>IFERROR(__xludf.DUMMYFUNCTION("SPLIT(B994, ""-"")"),1.0)</f>
        <v>1</v>
      </c>
      <c r="E994" s="3">
        <f>IFERROR(__xludf.DUMMYFUNCTION("""COMPUTED_VALUE"""),29.0)</f>
        <v>29</v>
      </c>
      <c r="F994" s="3">
        <f>IFERROR(__xludf.DUMMYFUNCTION("SPLIT(C994, ""-"")"),6.0)</f>
        <v>6</v>
      </c>
      <c r="G994" s="3">
        <f>IFERROR(__xludf.DUMMYFUNCTION("""COMPUTED_VALUE"""),89.0)</f>
        <v>89</v>
      </c>
      <c r="I994" s="3" t="str">
        <f t="shared" si="1"/>
        <v>y</v>
      </c>
      <c r="J994" s="3" t="str">
        <f t="shared" si="2"/>
        <v/>
      </c>
      <c r="K994" s="3" t="str">
        <f t="shared" si="3"/>
        <v/>
      </c>
      <c r="L994" s="3" t="str">
        <f t="shared" si="4"/>
        <v>y</v>
      </c>
      <c r="N994" s="3" t="str">
        <f t="shared" si="5"/>
        <v/>
      </c>
      <c r="O994" s="3" t="str">
        <f t="shared" si="6"/>
        <v/>
      </c>
      <c r="Q994" s="3" t="str">
        <f t="shared" si="7"/>
        <v/>
      </c>
      <c r="U994" s="3">
        <f t="shared" si="8"/>
        <v>1</v>
      </c>
      <c r="V994" s="3" t="str">
        <f t="shared" si="9"/>
        <v>Överlapp</v>
      </c>
      <c r="W994" s="3" t="str">
        <f t="shared" si="10"/>
        <v>Överlapp</v>
      </c>
      <c r="X994" s="3" t="str">
        <f t="shared" si="11"/>
        <v/>
      </c>
    </row>
    <row r="995">
      <c r="A995" s="1" t="s">
        <v>996</v>
      </c>
      <c r="B995" s="3" t="str">
        <f>IFERROR(__xludf.DUMMYFUNCTION("SPLIT(A995, "","")"),"20-61")</f>
        <v>20-61</v>
      </c>
      <c r="C995" s="3" t="str">
        <f>IFERROR(__xludf.DUMMYFUNCTION("""COMPUTED_VALUE"""),"32-64")</f>
        <v>32-64</v>
      </c>
      <c r="D995" s="3">
        <f>IFERROR(__xludf.DUMMYFUNCTION("SPLIT(B995, ""-"")"),20.0)</f>
        <v>20</v>
      </c>
      <c r="E995" s="3">
        <f>IFERROR(__xludf.DUMMYFUNCTION("""COMPUTED_VALUE"""),61.0)</f>
        <v>61</v>
      </c>
      <c r="F995" s="3">
        <f>IFERROR(__xludf.DUMMYFUNCTION("SPLIT(C995, ""-"")"),32.0)</f>
        <v>32</v>
      </c>
      <c r="G995" s="3">
        <f>IFERROR(__xludf.DUMMYFUNCTION("""COMPUTED_VALUE"""),64.0)</f>
        <v>64</v>
      </c>
      <c r="I995" s="3" t="str">
        <f t="shared" si="1"/>
        <v>y</v>
      </c>
      <c r="J995" s="3" t="str">
        <f t="shared" si="2"/>
        <v/>
      </c>
      <c r="K995" s="3" t="str">
        <f t="shared" si="3"/>
        <v/>
      </c>
      <c r="L995" s="3" t="str">
        <f t="shared" si="4"/>
        <v>y</v>
      </c>
      <c r="N995" s="3" t="str">
        <f t="shared" si="5"/>
        <v/>
      </c>
      <c r="O995" s="3" t="str">
        <f t="shared" si="6"/>
        <v/>
      </c>
      <c r="Q995" s="3" t="str">
        <f t="shared" si="7"/>
        <v/>
      </c>
      <c r="U995" s="3">
        <f t="shared" si="8"/>
        <v>1</v>
      </c>
      <c r="V995" s="3" t="str">
        <f t="shared" si="9"/>
        <v>Överlapp</v>
      </c>
      <c r="W995" s="3" t="str">
        <f t="shared" si="10"/>
        <v>Överlapp</v>
      </c>
      <c r="X995" s="3" t="str">
        <f t="shared" si="11"/>
        <v/>
      </c>
    </row>
    <row r="996">
      <c r="A996" s="1" t="s">
        <v>997</v>
      </c>
      <c r="B996" s="3" t="str">
        <f>IFERROR(__xludf.DUMMYFUNCTION("SPLIT(A996, "","")"),"64-91")</f>
        <v>64-91</v>
      </c>
      <c r="C996" s="3" t="str">
        <f>IFERROR(__xludf.DUMMYFUNCTION("""COMPUTED_VALUE"""),"63-91")</f>
        <v>63-91</v>
      </c>
      <c r="D996" s="3">
        <f>IFERROR(__xludf.DUMMYFUNCTION("SPLIT(B996, ""-"")"),64.0)</f>
        <v>64</v>
      </c>
      <c r="E996" s="3">
        <f>IFERROR(__xludf.DUMMYFUNCTION("""COMPUTED_VALUE"""),91.0)</f>
        <v>91</v>
      </c>
      <c r="F996" s="3">
        <f>IFERROR(__xludf.DUMMYFUNCTION("SPLIT(C996, ""-"")"),63.0)</f>
        <v>63</v>
      </c>
      <c r="G996" s="3">
        <f>IFERROR(__xludf.DUMMYFUNCTION("""COMPUTED_VALUE"""),91.0)</f>
        <v>91</v>
      </c>
      <c r="I996" s="3" t="str">
        <f t="shared" si="1"/>
        <v/>
      </c>
      <c r="J996" s="3" t="str">
        <f t="shared" si="2"/>
        <v>y</v>
      </c>
      <c r="K996" s="3" t="str">
        <f t="shared" si="3"/>
        <v>y</v>
      </c>
      <c r="L996" s="3" t="str">
        <f t="shared" si="4"/>
        <v>y</v>
      </c>
      <c r="N996" s="3" t="str">
        <f t="shared" si="5"/>
        <v/>
      </c>
      <c r="O996" s="3">
        <f t="shared" si="6"/>
        <v>1</v>
      </c>
      <c r="Q996" s="3">
        <f t="shared" si="7"/>
        <v>1</v>
      </c>
      <c r="U996" s="3" t="str">
        <f t="shared" si="8"/>
        <v>Överlapp</v>
      </c>
      <c r="V996" s="3" t="str">
        <f t="shared" si="9"/>
        <v>Överlapp</v>
      </c>
      <c r="W996" s="3" t="str">
        <f t="shared" si="10"/>
        <v>Överlapp</v>
      </c>
      <c r="X996" s="3" t="str">
        <f t="shared" si="11"/>
        <v/>
      </c>
    </row>
    <row r="997">
      <c r="A997" s="1" t="s">
        <v>998</v>
      </c>
      <c r="B997" s="4">
        <f>IFERROR(__xludf.DUMMYFUNCTION("SPLIT(A997, "","")"),44875.0)</f>
        <v>44875</v>
      </c>
      <c r="C997" s="3" t="str">
        <f>IFERROR(__xludf.DUMMYFUNCTION("""COMPUTED_VALUE"""),"10-54")</f>
        <v>10-54</v>
      </c>
      <c r="D997" s="3">
        <f>IFERROR(__xludf.DUMMYFUNCTION("SPLIT(B997, ""-"")"),10.0)</f>
        <v>10</v>
      </c>
      <c r="E997" s="3">
        <f>IFERROR(__xludf.DUMMYFUNCTION("""COMPUTED_VALUE"""),11.0)</f>
        <v>11</v>
      </c>
      <c r="F997" s="3">
        <f>IFERROR(__xludf.DUMMYFUNCTION("SPLIT(C997, ""-"")"),10.0)</f>
        <v>10</v>
      </c>
      <c r="G997" s="3">
        <f>IFERROR(__xludf.DUMMYFUNCTION("""COMPUTED_VALUE"""),54.0)</f>
        <v>54</v>
      </c>
      <c r="I997" s="3" t="str">
        <f t="shared" si="1"/>
        <v>y</v>
      </c>
      <c r="J997" s="3" t="str">
        <f t="shared" si="2"/>
        <v/>
      </c>
      <c r="K997" s="3" t="str">
        <f t="shared" si="3"/>
        <v>y</v>
      </c>
      <c r="L997" s="3" t="str">
        <f t="shared" si="4"/>
        <v>y</v>
      </c>
      <c r="N997" s="3" t="str">
        <f t="shared" si="5"/>
        <v/>
      </c>
      <c r="O997" s="3">
        <f t="shared" si="6"/>
        <v>1</v>
      </c>
      <c r="Q997" s="3">
        <f t="shared" si="7"/>
        <v>1</v>
      </c>
      <c r="U997" s="3" t="str">
        <f t="shared" si="8"/>
        <v>Överlapp</v>
      </c>
      <c r="V997" s="3" t="str">
        <f t="shared" si="9"/>
        <v>Överlapp</v>
      </c>
      <c r="W997" s="3" t="str">
        <f t="shared" si="10"/>
        <v>Överlapp</v>
      </c>
      <c r="X997" s="3" t="str">
        <f t="shared" si="11"/>
        <v/>
      </c>
    </row>
    <row r="998">
      <c r="A998" s="1" t="s">
        <v>999</v>
      </c>
      <c r="B998" s="3" t="str">
        <f>IFERROR(__xludf.DUMMYFUNCTION("SPLIT(A998, "","")"),"2-70")</f>
        <v>2-70</v>
      </c>
      <c r="C998" s="4">
        <f>IFERROR(__xludf.DUMMYFUNCTION("""COMPUTED_VALUE"""),44594.0)</f>
        <v>44594</v>
      </c>
      <c r="D998" s="3">
        <f>IFERROR(__xludf.DUMMYFUNCTION("SPLIT(B998, ""-"")"),2.0)</f>
        <v>2</v>
      </c>
      <c r="E998" s="3">
        <f>IFERROR(__xludf.DUMMYFUNCTION("""COMPUTED_VALUE"""),70.0)</f>
        <v>70</v>
      </c>
      <c r="F998" s="3">
        <f>IFERROR(__xludf.DUMMYFUNCTION("SPLIT(C998, ""-"")"),2.0)</f>
        <v>2</v>
      </c>
      <c r="G998" s="3">
        <f>IFERROR(__xludf.DUMMYFUNCTION("""COMPUTED_VALUE"""),2.0)</f>
        <v>2</v>
      </c>
      <c r="I998" s="3" t="str">
        <f t="shared" si="1"/>
        <v>y</v>
      </c>
      <c r="J998" s="3" t="str">
        <f t="shared" si="2"/>
        <v>y</v>
      </c>
      <c r="K998" s="3" t="str">
        <f t="shared" si="3"/>
        <v>y</v>
      </c>
      <c r="L998" s="3" t="str">
        <f t="shared" si="4"/>
        <v/>
      </c>
      <c r="N998" s="3">
        <f t="shared" si="5"/>
        <v>1</v>
      </c>
      <c r="O998" s="3" t="str">
        <f t="shared" si="6"/>
        <v/>
      </c>
      <c r="Q998" s="3">
        <f t="shared" si="7"/>
        <v>1</v>
      </c>
      <c r="U998" s="3" t="str">
        <f t="shared" si="8"/>
        <v>Överlapp</v>
      </c>
      <c r="V998" s="3" t="str">
        <f t="shared" si="9"/>
        <v>Överlapp</v>
      </c>
      <c r="W998" s="3" t="str">
        <f t="shared" si="10"/>
        <v>Överlapp</v>
      </c>
      <c r="X998" s="3" t="str">
        <f t="shared" si="11"/>
        <v/>
      </c>
    </row>
    <row r="999">
      <c r="A999" s="1" t="s">
        <v>1000</v>
      </c>
      <c r="B999" s="3" t="str">
        <f>IFERROR(__xludf.DUMMYFUNCTION("SPLIT(A999, "","")"),"72-83")</f>
        <v>72-83</v>
      </c>
      <c r="C999" s="3" t="str">
        <f>IFERROR(__xludf.DUMMYFUNCTION("""COMPUTED_VALUE"""),"72-82")</f>
        <v>72-82</v>
      </c>
      <c r="D999" s="3">
        <f>IFERROR(__xludf.DUMMYFUNCTION("SPLIT(B999, ""-"")"),72.0)</f>
        <v>72</v>
      </c>
      <c r="E999" s="3">
        <f>IFERROR(__xludf.DUMMYFUNCTION("""COMPUTED_VALUE"""),83.0)</f>
        <v>83</v>
      </c>
      <c r="F999" s="3">
        <f>IFERROR(__xludf.DUMMYFUNCTION("SPLIT(C999, ""-"")"),72.0)</f>
        <v>72</v>
      </c>
      <c r="G999" s="3">
        <f>IFERROR(__xludf.DUMMYFUNCTION("""COMPUTED_VALUE"""),82.0)</f>
        <v>82</v>
      </c>
      <c r="I999" s="3" t="str">
        <f t="shared" si="1"/>
        <v>y</v>
      </c>
      <c r="J999" s="3" t="str">
        <f t="shared" si="2"/>
        <v>y</v>
      </c>
      <c r="K999" s="3" t="str">
        <f t="shared" si="3"/>
        <v>y</v>
      </c>
      <c r="L999" s="3" t="str">
        <f t="shared" si="4"/>
        <v/>
      </c>
      <c r="N999" s="3">
        <f t="shared" si="5"/>
        <v>1</v>
      </c>
      <c r="O999" s="3" t="str">
        <f t="shared" si="6"/>
        <v/>
      </c>
      <c r="Q999" s="3">
        <f t="shared" si="7"/>
        <v>1</v>
      </c>
      <c r="U999" s="3" t="str">
        <f t="shared" si="8"/>
        <v>Överlapp</v>
      </c>
      <c r="V999" s="3" t="str">
        <f t="shared" si="9"/>
        <v>Överlapp</v>
      </c>
      <c r="W999" s="3" t="str">
        <f t="shared" si="10"/>
        <v>Överlapp</v>
      </c>
      <c r="X999" s="3" t="str">
        <f t="shared" si="11"/>
        <v/>
      </c>
    </row>
    <row r="1000">
      <c r="A1000" s="1" t="s">
        <v>1001</v>
      </c>
      <c r="B1000" s="3" t="str">
        <f>IFERROR(__xludf.DUMMYFUNCTION("SPLIT(A1000, "","")"),"7-63")</f>
        <v>7-63</v>
      </c>
      <c r="C1000" s="3" t="str">
        <f>IFERROR(__xludf.DUMMYFUNCTION("""COMPUTED_VALUE"""),"13-99")</f>
        <v>13-99</v>
      </c>
      <c r="D1000" s="3">
        <f>IFERROR(__xludf.DUMMYFUNCTION("SPLIT(B1000, ""-"")"),7.0)</f>
        <v>7</v>
      </c>
      <c r="E1000" s="3">
        <f>IFERROR(__xludf.DUMMYFUNCTION("""COMPUTED_VALUE"""),63.0)</f>
        <v>63</v>
      </c>
      <c r="F1000" s="3">
        <f>IFERROR(__xludf.DUMMYFUNCTION("SPLIT(C1000, ""-"")"),13.0)</f>
        <v>13</v>
      </c>
      <c r="G1000" s="3">
        <f>IFERROR(__xludf.DUMMYFUNCTION("""COMPUTED_VALUE"""),99.0)</f>
        <v>99</v>
      </c>
      <c r="I1000" s="3" t="str">
        <f t="shared" si="1"/>
        <v>y</v>
      </c>
      <c r="J1000" s="3" t="str">
        <f t="shared" si="2"/>
        <v/>
      </c>
      <c r="K1000" s="3" t="str">
        <f t="shared" si="3"/>
        <v/>
      </c>
      <c r="L1000" s="3" t="str">
        <f t="shared" si="4"/>
        <v>y</v>
      </c>
      <c r="N1000" s="3" t="str">
        <f t="shared" si="5"/>
        <v/>
      </c>
      <c r="O1000" s="3" t="str">
        <f t="shared" si="6"/>
        <v/>
      </c>
      <c r="Q1000" s="3" t="str">
        <f t="shared" si="7"/>
        <v/>
      </c>
      <c r="U1000" s="3">
        <f t="shared" si="8"/>
        <v>1</v>
      </c>
      <c r="V1000" s="3" t="str">
        <f t="shared" si="9"/>
        <v>Överlapp</v>
      </c>
      <c r="W1000" s="3" t="str">
        <f t="shared" si="10"/>
        <v>Överlapp</v>
      </c>
      <c r="X1000" s="3" t="str">
        <f t="shared" si="11"/>
        <v/>
      </c>
    </row>
    <row r="1001">
      <c r="A1001" s="1" t="s">
        <v>1002</v>
      </c>
      <c r="B1001" s="3" t="str">
        <f>IFERROR(__xludf.DUMMYFUNCTION("SPLIT(A1001, "","")"),"66-93")</f>
        <v>66-93</v>
      </c>
      <c r="C1001" s="3" t="str">
        <f>IFERROR(__xludf.DUMMYFUNCTION("""COMPUTED_VALUE"""),"67-92")</f>
        <v>67-92</v>
      </c>
      <c r="D1001" s="3">
        <f>IFERROR(__xludf.DUMMYFUNCTION("SPLIT(B1001, ""-"")"),66.0)</f>
        <v>66</v>
      </c>
      <c r="E1001" s="3">
        <f>IFERROR(__xludf.DUMMYFUNCTION("""COMPUTED_VALUE"""),93.0)</f>
        <v>93</v>
      </c>
      <c r="F1001" s="3">
        <f>IFERROR(__xludf.DUMMYFUNCTION("SPLIT(C1001, ""-"")"),67.0)</f>
        <v>67</v>
      </c>
      <c r="G1001" s="3">
        <f>IFERROR(__xludf.DUMMYFUNCTION("""COMPUTED_VALUE"""),92.0)</f>
        <v>92</v>
      </c>
      <c r="I1001" s="3" t="str">
        <f t="shared" si="1"/>
        <v>y</v>
      </c>
      <c r="J1001" s="3" t="str">
        <f t="shared" si="2"/>
        <v>y</v>
      </c>
      <c r="K1001" s="3" t="str">
        <f t="shared" si="3"/>
        <v/>
      </c>
      <c r="L1001" s="3" t="str">
        <f t="shared" si="4"/>
        <v/>
      </c>
      <c r="N1001" s="3">
        <f t="shared" si="5"/>
        <v>1</v>
      </c>
      <c r="O1001" s="3" t="str">
        <f t="shared" si="6"/>
        <v/>
      </c>
      <c r="Q1001" s="3">
        <f t="shared" si="7"/>
        <v>1</v>
      </c>
      <c r="U1001" s="3">
        <f t="shared" si="8"/>
        <v>1</v>
      </c>
      <c r="V1001" s="3" t="str">
        <f t="shared" si="9"/>
        <v>Överlapp</v>
      </c>
      <c r="W1001" s="3" t="str">
        <f t="shared" si="10"/>
        <v>Överlapp</v>
      </c>
      <c r="X1001" s="3" t="str">
        <f t="shared" si="11"/>
        <v/>
      </c>
    </row>
  </sheetData>
  <drawing r:id="rId1"/>
</worksheet>
</file>