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RPETAS PATRICIA\Patricia\UPC\SELECTIVOS 2022\DESARROLLO NEGOCIOS 2\"/>
    </mc:Choice>
  </mc:AlternateContent>
  <bookViews>
    <workbookView xWindow="-120" yWindow="-120" windowWidth="20730" windowHeight="11160" firstSheet="5" activeTab="16"/>
  </bookViews>
  <sheets>
    <sheet name="Table 1" sheetId="1" r:id="rId1"/>
    <sheet name="8.2." sheetId="7" r:id="rId2"/>
    <sheet name="Table 2" sheetId="6" r:id="rId3"/>
    <sheet name="8.4." sheetId="8" r:id="rId4"/>
    <sheet name="8.5." sheetId="9" r:id="rId5"/>
    <sheet name="8.5.2" sheetId="19" r:id="rId6"/>
    <sheet name="8.10" sheetId="18" r:id="rId7"/>
    <sheet name="Hoja5" sheetId="23" r:id="rId8"/>
    <sheet name="8.6." sheetId="10" r:id="rId9"/>
    <sheet name="8.7." sheetId="11" r:id="rId10"/>
    <sheet name="8.7.1" sheetId="12" r:id="rId11"/>
    <sheet name="8.7.2." sheetId="20" r:id="rId12"/>
    <sheet name="8.9" sheetId="15" r:id="rId13"/>
    <sheet name="Hoja4" sheetId="22" r:id="rId14"/>
    <sheet name="Hoja1" sheetId="24" r:id="rId15"/>
    <sheet name="Hoja2" sheetId="25" r:id="rId16"/>
    <sheet name="Hoja3" sheetId="26" r:id="rId17"/>
  </sheets>
  <externalReferences>
    <externalReference r:id="rId18"/>
    <externalReference r:id="rId1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5" i="26" l="1"/>
  <c r="O24" i="26"/>
  <c r="O17" i="26"/>
  <c r="O20" i="26" s="1"/>
  <c r="O19" i="26"/>
  <c r="O18" i="26"/>
  <c r="C25" i="26"/>
  <c r="C24" i="26"/>
  <c r="M25" i="26"/>
  <c r="L25" i="26"/>
  <c r="I25" i="26"/>
  <c r="H25" i="26"/>
  <c r="E25" i="26"/>
  <c r="D25" i="26"/>
  <c r="M24" i="26"/>
  <c r="L24" i="26"/>
  <c r="K24" i="26"/>
  <c r="I24" i="26"/>
  <c r="H24" i="26"/>
  <c r="G24" i="26"/>
  <c r="E24" i="26"/>
  <c r="D24" i="26"/>
  <c r="N20" i="26"/>
  <c r="N24" i="26" s="1"/>
  <c r="M20" i="26"/>
  <c r="L20" i="26"/>
  <c r="K20" i="26"/>
  <c r="K25" i="26" s="1"/>
  <c r="J20" i="26"/>
  <c r="J24" i="26" s="1"/>
  <c r="I20" i="26"/>
  <c r="H20" i="26"/>
  <c r="G20" i="26"/>
  <c r="G25" i="26" s="1"/>
  <c r="F20" i="26"/>
  <c r="F24" i="26" s="1"/>
  <c r="E20" i="26"/>
  <c r="D20" i="26"/>
  <c r="C20" i="26"/>
  <c r="C7" i="26"/>
  <c r="D6" i="26"/>
  <c r="E6" i="26" s="1"/>
  <c r="F6" i="26" s="1"/>
  <c r="G6" i="26" s="1"/>
  <c r="H6" i="26" s="1"/>
  <c r="I6" i="26" s="1"/>
  <c r="J6" i="26" s="1"/>
  <c r="K6" i="26" s="1"/>
  <c r="L6" i="26" s="1"/>
  <c r="M6" i="26" s="1"/>
  <c r="N6" i="26" s="1"/>
  <c r="D5" i="26"/>
  <c r="D7" i="26" s="1"/>
  <c r="E41" i="25"/>
  <c r="D41" i="25"/>
  <c r="C41" i="25"/>
  <c r="C34" i="25"/>
  <c r="C33" i="25"/>
  <c r="C32" i="25"/>
  <c r="F29" i="25"/>
  <c r="E29" i="25"/>
  <c r="D29" i="25"/>
  <c r="F28" i="25"/>
  <c r="E28" i="25"/>
  <c r="D28" i="25"/>
  <c r="F27" i="25"/>
  <c r="E27" i="25"/>
  <c r="D27" i="25"/>
  <c r="F26" i="25"/>
  <c r="E26" i="25"/>
  <c r="D26" i="25"/>
  <c r="C24" i="25"/>
  <c r="D23" i="25"/>
  <c r="D24" i="25" s="1"/>
  <c r="F21" i="25"/>
  <c r="E21" i="25"/>
  <c r="D21" i="25"/>
  <c r="F15" i="25"/>
  <c r="E15" i="25"/>
  <c r="D15" i="25"/>
  <c r="D18" i="25"/>
  <c r="D19" i="25" s="1"/>
  <c r="F25" i="26" l="1"/>
  <c r="N25" i="26"/>
  <c r="J25" i="26"/>
  <c r="E5" i="26"/>
  <c r="D25" i="25"/>
  <c r="F5" i="26" l="1"/>
  <c r="E7" i="26"/>
  <c r="G5" i="26" l="1"/>
  <c r="F7" i="26"/>
  <c r="H5" i="26" l="1"/>
  <c r="G7" i="26"/>
  <c r="I5" i="26" l="1"/>
  <c r="H7" i="26"/>
  <c r="J5" i="26" l="1"/>
  <c r="I7" i="26"/>
  <c r="E43" i="25"/>
  <c r="D43" i="25"/>
  <c r="C43" i="25"/>
  <c r="E42" i="25"/>
  <c r="D42" i="25"/>
  <c r="C42" i="25"/>
  <c r="D16" i="25"/>
  <c r="E16" i="25"/>
  <c r="D8" i="25"/>
  <c r="E8" i="25" s="1"/>
  <c r="F8" i="25" s="1"/>
  <c r="C10" i="25"/>
  <c r="E9" i="25"/>
  <c r="D13" i="24"/>
  <c r="E13" i="24"/>
  <c r="E11" i="24"/>
  <c r="D12" i="24"/>
  <c r="D11" i="24"/>
  <c r="P12" i="23"/>
  <c r="O12" i="23"/>
  <c r="Q12" i="23" s="1"/>
  <c r="O11" i="23"/>
  <c r="P11" i="23" s="1"/>
  <c r="Q11" i="23" s="1"/>
  <c r="T8" i="23"/>
  <c r="Q14" i="23"/>
  <c r="P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E11" i="23"/>
  <c r="F11" i="23" s="1"/>
  <c r="D11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34" i="22"/>
  <c r="C5" i="18"/>
  <c r="H17" i="18"/>
  <c r="F14" i="11"/>
  <c r="F13" i="11"/>
  <c r="F7" i="11"/>
  <c r="E13" i="11"/>
  <c r="E14" i="11" s="1"/>
  <c r="E7" i="11"/>
  <c r="D7" i="11"/>
  <c r="D13" i="11"/>
  <c r="D14" i="11" s="1"/>
  <c r="C14" i="11"/>
  <c r="C7" i="11"/>
  <c r="B16" i="10"/>
  <c r="B14" i="10"/>
  <c r="B13" i="10"/>
  <c r="B12" i="10"/>
  <c r="B8" i="10"/>
  <c r="B15" i="10" s="1"/>
  <c r="B28" i="22"/>
  <c r="B33" i="22" s="1"/>
  <c r="Q26" i="22"/>
  <c r="O22" i="22"/>
  <c r="P22" i="22" s="1"/>
  <c r="Q22" i="22" s="1"/>
  <c r="P21" i="22"/>
  <c r="Q21" i="22" s="1"/>
  <c r="O21" i="22"/>
  <c r="N12" i="20"/>
  <c r="P12" i="20" s="1"/>
  <c r="N11" i="20"/>
  <c r="O11" i="20" s="1"/>
  <c r="P11" i="20" s="1"/>
  <c r="D19" i="22"/>
  <c r="D20" i="22" s="1"/>
  <c r="D23" i="22" s="1"/>
  <c r="D28" i="22" s="1"/>
  <c r="D33" i="22" s="1"/>
  <c r="O18" i="22"/>
  <c r="P18" i="22" s="1"/>
  <c r="Q18" i="22" s="1"/>
  <c r="O17" i="22"/>
  <c r="P17" i="22" s="1"/>
  <c r="Q17" i="22" s="1"/>
  <c r="O16" i="22"/>
  <c r="P16" i="22" s="1"/>
  <c r="Q16" i="22" s="1"/>
  <c r="P15" i="22"/>
  <c r="Q15" i="22" s="1"/>
  <c r="O15" i="22"/>
  <c r="Q14" i="22"/>
  <c r="P14" i="22"/>
  <c r="O14" i="22"/>
  <c r="O19" i="22" s="1"/>
  <c r="O20" i="22" s="1"/>
  <c r="N14" i="22"/>
  <c r="N19" i="22" s="1"/>
  <c r="M14" i="22"/>
  <c r="M19" i="22" s="1"/>
  <c r="M20" i="22" s="1"/>
  <c r="M23" i="22" s="1"/>
  <c r="M28" i="22" s="1"/>
  <c r="M33" i="22" s="1"/>
  <c r="L14" i="22"/>
  <c r="L19" i="22" s="1"/>
  <c r="L20" i="22" s="1"/>
  <c r="L23" i="22" s="1"/>
  <c r="L28" i="22" s="1"/>
  <c r="L33" i="22" s="1"/>
  <c r="K14" i="22"/>
  <c r="K19" i="22" s="1"/>
  <c r="J14" i="22"/>
  <c r="J19" i="22" s="1"/>
  <c r="I14" i="22"/>
  <c r="I19" i="22" s="1"/>
  <c r="I20" i="22" s="1"/>
  <c r="I23" i="22" s="1"/>
  <c r="I28" i="22" s="1"/>
  <c r="I33" i="22" s="1"/>
  <c r="H14" i="22"/>
  <c r="H19" i="22" s="1"/>
  <c r="H20" i="22" s="1"/>
  <c r="H23" i="22" s="1"/>
  <c r="H28" i="22" s="1"/>
  <c r="H33" i="22" s="1"/>
  <c r="G14" i="22"/>
  <c r="G19" i="22" s="1"/>
  <c r="F14" i="22"/>
  <c r="F19" i="22" s="1"/>
  <c r="E14" i="22"/>
  <c r="E19" i="22" s="1"/>
  <c r="E20" i="22" s="1"/>
  <c r="E23" i="22" s="1"/>
  <c r="E28" i="22" s="1"/>
  <c r="E33" i="22" s="1"/>
  <c r="D14" i="22"/>
  <c r="C14" i="22"/>
  <c r="C19" i="22" s="1"/>
  <c r="B44" i="22"/>
  <c r="B40" i="22"/>
  <c r="K5" i="26" l="1"/>
  <c r="J7" i="26"/>
  <c r="E18" i="25"/>
  <c r="E19" i="25" s="1"/>
  <c r="E23" i="25" s="1"/>
  <c r="E24" i="25" s="1"/>
  <c r="E22" i="25"/>
  <c r="F16" i="25"/>
  <c r="D22" i="25"/>
  <c r="E10" i="25"/>
  <c r="F9" i="25"/>
  <c r="F10" i="25"/>
  <c r="E12" i="24"/>
  <c r="O14" i="23"/>
  <c r="G11" i="23"/>
  <c r="H11" i="23" s="1"/>
  <c r="I11" i="23" s="1"/>
  <c r="J11" i="23" s="1"/>
  <c r="K11" i="23" s="1"/>
  <c r="L11" i="23" s="1"/>
  <c r="M11" i="23" s="1"/>
  <c r="N11" i="23" s="1"/>
  <c r="F23" i="22"/>
  <c r="F28" i="22" s="1"/>
  <c r="F33" i="22" s="1"/>
  <c r="F20" i="22"/>
  <c r="J20" i="22"/>
  <c r="J23" i="22" s="1"/>
  <c r="J28" i="22" s="1"/>
  <c r="J33" i="22" s="1"/>
  <c r="Q19" i="22"/>
  <c r="Q20" i="22" s="1"/>
  <c r="C20" i="22"/>
  <c r="C23" i="22" s="1"/>
  <c r="C28" i="22" s="1"/>
  <c r="C33" i="22" s="1"/>
  <c r="G20" i="22"/>
  <c r="G23" i="22" s="1"/>
  <c r="G28" i="22" s="1"/>
  <c r="G33" i="22" s="1"/>
  <c r="K20" i="22"/>
  <c r="K23" i="22" s="1"/>
  <c r="K28" i="22" s="1"/>
  <c r="K33" i="22" s="1"/>
  <c r="N20" i="22"/>
  <c r="N23" i="22" s="1"/>
  <c r="N28" i="22" s="1"/>
  <c r="N33" i="22" s="1"/>
  <c r="C16" i="10"/>
  <c r="C12" i="10"/>
  <c r="B17" i="10"/>
  <c r="C15" i="10" s="1"/>
  <c r="O23" i="22"/>
  <c r="O28" i="22" s="1"/>
  <c r="O33" i="22" s="1"/>
  <c r="D5" i="18" s="1"/>
  <c r="O12" i="20"/>
  <c r="P19" i="22"/>
  <c r="P20" i="22" s="1"/>
  <c r="L5" i="26" l="1"/>
  <c r="K7" i="26"/>
  <c r="E25" i="25"/>
  <c r="F22" i="25"/>
  <c r="F18" i="25"/>
  <c r="F19" i="25" s="1"/>
  <c r="F23" i="25" s="1"/>
  <c r="F24" i="25" s="1"/>
  <c r="Q23" i="22"/>
  <c r="Q28" i="22" s="1"/>
  <c r="Q33" i="22" s="1"/>
  <c r="F5" i="18" s="1"/>
  <c r="P23" i="22"/>
  <c r="P28" i="22" s="1"/>
  <c r="P33" i="22" s="1"/>
  <c r="E5" i="18" s="1"/>
  <c r="C7" i="18" s="1"/>
  <c r="B41" i="22"/>
  <c r="B43" i="22"/>
  <c r="F24" i="11"/>
  <c r="F26" i="11" s="1"/>
  <c r="F27" i="11" s="1"/>
  <c r="D24" i="11"/>
  <c r="D26" i="11" s="1"/>
  <c r="D27" i="11" s="1"/>
  <c r="E24" i="11"/>
  <c r="E26" i="11" s="1"/>
  <c r="E27" i="11" s="1"/>
  <c r="C24" i="11"/>
  <c r="C26" i="11" s="1"/>
  <c r="C27" i="11" s="1"/>
  <c r="C14" i="10"/>
  <c r="C13" i="10"/>
  <c r="C17" i="10" s="1"/>
  <c r="M5" i="26" l="1"/>
  <c r="L7" i="26"/>
  <c r="F25" i="25"/>
  <c r="C6" i="18"/>
  <c r="C8" i="18" s="1"/>
  <c r="D6" i="18"/>
  <c r="D8" i="18" s="1"/>
  <c r="O39" i="22"/>
  <c r="D7" i="18"/>
  <c r="N5" i="26" l="1"/>
  <c r="N7" i="26" s="1"/>
  <c r="M7" i="26"/>
  <c r="F11" i="11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B5" i="20"/>
  <c r="E11" i="11"/>
  <c r="F10" i="11"/>
  <c r="E10" i="11"/>
  <c r="C12" i="11"/>
  <c r="D12" i="11"/>
  <c r="E12" i="11"/>
  <c r="F12" i="11"/>
  <c r="B39" i="19"/>
  <c r="B42" i="19"/>
  <c r="B41" i="19"/>
  <c r="B38" i="19"/>
  <c r="O30" i="8"/>
  <c r="O29" i="8"/>
  <c r="H24" i="8"/>
  <c r="H23" i="8"/>
  <c r="H22" i="8"/>
  <c r="H21" i="8"/>
  <c r="H20" i="8"/>
  <c r="E29" i="15"/>
  <c r="E31" i="15"/>
  <c r="E32" i="15"/>
  <c r="I26" i="7"/>
  <c r="F26" i="7"/>
  <c r="D26" i="7"/>
  <c r="J26" i="7" s="1"/>
  <c r="K26" i="7" s="1"/>
  <c r="I25" i="7"/>
  <c r="F25" i="7"/>
  <c r="D25" i="7"/>
  <c r="G25" i="7" s="1"/>
  <c r="C11" i="20" l="1"/>
  <c r="E30" i="15"/>
  <c r="G26" i="7"/>
  <c r="J25" i="7"/>
  <c r="K25" i="7" s="1"/>
  <c r="D11" i="20" l="1"/>
  <c r="E11" i="20" s="1"/>
  <c r="F11" i="20" l="1"/>
  <c r="G11" i="20" l="1"/>
  <c r="H11" i="20" l="1"/>
  <c r="I11" i="20" l="1"/>
  <c r="J11" i="20" l="1"/>
  <c r="K11" i="20" l="1"/>
  <c r="L11" i="20" l="1"/>
  <c r="M11" i="20" l="1"/>
  <c r="C18" i="18" l="1"/>
  <c r="D18" i="18" s="1"/>
  <c r="E18" i="18" s="1"/>
  <c r="E22" i="18"/>
  <c r="D22" i="18"/>
  <c r="E16" i="18"/>
  <c r="D16" i="18"/>
  <c r="B32" i="9"/>
  <c r="C26" i="15" l="1"/>
  <c r="C22" i="15"/>
  <c r="B26" i="9" l="1"/>
  <c r="D33" i="9" s="1"/>
  <c r="P9" i="12"/>
  <c r="O9" i="12"/>
  <c r="N9" i="12"/>
  <c r="B5" i="12"/>
  <c r="F9" i="11"/>
  <c r="E9" i="11"/>
  <c r="D9" i="11"/>
  <c r="C9" i="11"/>
  <c r="F21" i="11"/>
  <c r="E21" i="11"/>
  <c r="D21" i="11"/>
  <c r="C21" i="11"/>
  <c r="C18" i="11"/>
  <c r="C13" i="11"/>
  <c r="C22" i="11" l="1"/>
  <c r="B31" i="9"/>
  <c r="B41" i="9" l="1"/>
  <c r="B43" i="9" s="1"/>
  <c r="O17" i="9"/>
  <c r="P17" i="9" s="1"/>
  <c r="Q17" i="9" s="1"/>
  <c r="O16" i="9"/>
  <c r="P16" i="9" s="1"/>
  <c r="Q16" i="9" s="1"/>
  <c r="O15" i="9"/>
  <c r="P15" i="9" s="1"/>
  <c r="Q15" i="9" s="1"/>
  <c r="Q14" i="9"/>
  <c r="P14" i="9"/>
  <c r="O14" i="9"/>
  <c r="N14" i="9"/>
  <c r="N18" i="9" s="1"/>
  <c r="N21" i="9" s="1"/>
  <c r="N26" i="9" s="1"/>
  <c r="N31" i="9" s="1"/>
  <c r="M14" i="9"/>
  <c r="M18" i="9" s="1"/>
  <c r="M21" i="9" s="1"/>
  <c r="M26" i="9" s="1"/>
  <c r="M31" i="9" s="1"/>
  <c r="L14" i="9"/>
  <c r="L18" i="9" s="1"/>
  <c r="L21" i="9" s="1"/>
  <c r="L26" i="9" s="1"/>
  <c r="L31" i="9" s="1"/>
  <c r="K14" i="9"/>
  <c r="K18" i="9" s="1"/>
  <c r="K21" i="9" s="1"/>
  <c r="K26" i="9" s="1"/>
  <c r="K31" i="9" s="1"/>
  <c r="J14" i="9"/>
  <c r="J18" i="9" s="1"/>
  <c r="J21" i="9" s="1"/>
  <c r="J26" i="9" s="1"/>
  <c r="J31" i="9" s="1"/>
  <c r="I14" i="9"/>
  <c r="I18" i="9" s="1"/>
  <c r="I21" i="9" s="1"/>
  <c r="I26" i="9" s="1"/>
  <c r="I31" i="9" s="1"/>
  <c r="H14" i="9"/>
  <c r="H18" i="9" s="1"/>
  <c r="H21" i="9" s="1"/>
  <c r="H26" i="9" s="1"/>
  <c r="H31" i="9" s="1"/>
  <c r="G14" i="9"/>
  <c r="G18" i="9" s="1"/>
  <c r="G21" i="9" s="1"/>
  <c r="G26" i="9" s="1"/>
  <c r="G31" i="9" s="1"/>
  <c r="F14" i="9"/>
  <c r="F18" i="9" s="1"/>
  <c r="F21" i="9" s="1"/>
  <c r="F26" i="9" s="1"/>
  <c r="F31" i="9" s="1"/>
  <c r="E14" i="9"/>
  <c r="E18" i="9" s="1"/>
  <c r="E21" i="9" s="1"/>
  <c r="E26" i="9" s="1"/>
  <c r="E31" i="9" s="1"/>
  <c r="D14" i="9"/>
  <c r="D18" i="9" s="1"/>
  <c r="D21" i="9" s="1"/>
  <c r="D26" i="9" s="1"/>
  <c r="D31" i="9" s="1"/>
  <c r="C14" i="9"/>
  <c r="C18" i="9" s="1"/>
  <c r="C21" i="9" s="1"/>
  <c r="C26" i="9" s="1"/>
  <c r="C31" i="9" s="1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O13" i="8"/>
  <c r="P13" i="8" s="1"/>
  <c r="Q13" i="8" s="1"/>
  <c r="O12" i="8"/>
  <c r="P12" i="8" s="1"/>
  <c r="Q12" i="8" s="1"/>
  <c r="O11" i="8"/>
  <c r="P11" i="8" s="1"/>
  <c r="Q11" i="8" s="1"/>
  <c r="O10" i="8"/>
  <c r="P10" i="8" s="1"/>
  <c r="Q10" i="8" s="1"/>
  <c r="O9" i="8"/>
  <c r="P9" i="8" s="1"/>
  <c r="Q9" i="8" s="1"/>
  <c r="O8" i="8"/>
  <c r="P8" i="8" s="1"/>
  <c r="Q8" i="8" s="1"/>
  <c r="O7" i="8"/>
  <c r="P7" i="8" s="1"/>
  <c r="Q7" i="8" s="1"/>
  <c r="O6" i="8"/>
  <c r="P6" i="8" s="1"/>
  <c r="Q6" i="8" s="1"/>
  <c r="P5" i="8"/>
  <c r="O5" i="8"/>
  <c r="Q18" i="9" l="1"/>
  <c r="Q21" i="9" s="1"/>
  <c r="Q26" i="9" s="1"/>
  <c r="G33" i="9" s="1"/>
  <c r="P18" i="9"/>
  <c r="P21" i="9" s="1"/>
  <c r="P26" i="9" s="1"/>
  <c r="F33" i="9" s="1"/>
  <c r="O18" i="9"/>
  <c r="O21" i="9" s="1"/>
  <c r="O26" i="9" s="1"/>
  <c r="P14" i="8"/>
  <c r="Q5" i="8"/>
  <c r="Q14" i="8" s="1"/>
  <c r="O14" i="8"/>
  <c r="E33" i="9" l="1"/>
  <c r="B34" i="9" s="1"/>
  <c r="O33" i="9"/>
  <c r="B33" i="9"/>
  <c r="O31" i="9"/>
  <c r="S30" i="9" s="1"/>
  <c r="P31" i="9"/>
  <c r="Q31" i="9"/>
  <c r="B38" i="9" l="1"/>
  <c r="Q31" i="8"/>
  <c r="P31" i="8"/>
  <c r="O31" i="8"/>
  <c r="N31" i="8"/>
  <c r="H25" i="8"/>
  <c r="M25" i="8"/>
  <c r="L25" i="8"/>
  <c r="F25" i="8"/>
  <c r="E25" i="8"/>
  <c r="C25" i="8"/>
  <c r="B25" i="8"/>
  <c r="N25" i="8"/>
  <c r="I32" i="8"/>
  <c r="M31" i="8"/>
  <c r="G31" i="8"/>
  <c r="G24" i="8"/>
  <c r="D24" i="8"/>
  <c r="G23" i="8"/>
  <c r="I23" i="8" s="1"/>
  <c r="D23" i="8"/>
  <c r="G22" i="8"/>
  <c r="D22" i="8"/>
  <c r="G21" i="8"/>
  <c r="D21" i="8"/>
  <c r="G20" i="8"/>
  <c r="J20" i="8" s="1"/>
  <c r="D20" i="8"/>
  <c r="P7" i="6"/>
  <c r="O7" i="6"/>
  <c r="F27" i="7"/>
  <c r="D27" i="7"/>
  <c r="I16" i="7"/>
  <c r="F16" i="7"/>
  <c r="D16" i="7"/>
  <c r="J16" i="7" s="1"/>
  <c r="K16" i="7" s="1"/>
  <c r="I15" i="7"/>
  <c r="F15" i="7"/>
  <c r="D15" i="7"/>
  <c r="J15" i="7" s="1"/>
  <c r="K15" i="7" s="1"/>
  <c r="I14" i="7"/>
  <c r="F14" i="7"/>
  <c r="D14" i="7"/>
  <c r="J14" i="7" s="1"/>
  <c r="K14" i="7" s="1"/>
  <c r="I13" i="7"/>
  <c r="F13" i="7"/>
  <c r="D13" i="7"/>
  <c r="J13" i="7" s="1"/>
  <c r="K13" i="7" s="1"/>
  <c r="I12" i="7"/>
  <c r="F12" i="7"/>
  <c r="D12" i="7"/>
  <c r="J12" i="7" s="1"/>
  <c r="K12" i="7" s="1"/>
  <c r="I11" i="7"/>
  <c r="F11" i="7"/>
  <c r="D11" i="7"/>
  <c r="J11" i="7" s="1"/>
  <c r="K11" i="7" s="1"/>
  <c r="I10" i="7"/>
  <c r="F10" i="7"/>
  <c r="D10" i="7"/>
  <c r="J10" i="7" s="1"/>
  <c r="K10" i="7" s="1"/>
  <c r="I9" i="7"/>
  <c r="F9" i="7"/>
  <c r="D9" i="7"/>
  <c r="J9" i="7" s="1"/>
  <c r="K9" i="7" s="1"/>
  <c r="I8" i="7"/>
  <c r="F8" i="7"/>
  <c r="D8" i="7"/>
  <c r="J8" i="7" s="1"/>
  <c r="K8" i="7" s="1"/>
  <c r="I7" i="7"/>
  <c r="F7" i="7"/>
  <c r="D7" i="7"/>
  <c r="J7" i="7" s="1"/>
  <c r="K7" i="7" s="1"/>
  <c r="I6" i="7"/>
  <c r="F6" i="7"/>
  <c r="D6" i="7"/>
  <c r="J6" i="7" s="1"/>
  <c r="K6" i="7" s="1"/>
  <c r="E13" i="1"/>
  <c r="B6" i="6"/>
  <c r="M5" i="6"/>
  <c r="L5" i="6"/>
  <c r="K5" i="6"/>
  <c r="J5" i="6"/>
  <c r="I5" i="6"/>
  <c r="H5" i="6"/>
  <c r="G5" i="6"/>
  <c r="F5" i="6"/>
  <c r="E5" i="6"/>
  <c r="D5" i="6"/>
  <c r="C5" i="6"/>
  <c r="B5" i="6"/>
  <c r="O12" i="6"/>
  <c r="P12" i="6" s="1"/>
  <c r="P6" i="6"/>
  <c r="O6" i="6"/>
  <c r="O5" i="6"/>
  <c r="P5" i="6" s="1"/>
  <c r="M12" i="6"/>
  <c r="L12" i="6"/>
  <c r="K12" i="6"/>
  <c r="J12" i="6"/>
  <c r="I12" i="6"/>
  <c r="H12" i="6"/>
  <c r="G12" i="6"/>
  <c r="F12" i="6"/>
  <c r="E12" i="6"/>
  <c r="D12" i="6"/>
  <c r="C12" i="6"/>
  <c r="B12" i="6"/>
  <c r="I29" i="8" l="1"/>
  <c r="K17" i="7"/>
  <c r="G16" i="7"/>
  <c r="F17" i="7"/>
  <c r="F32" i="7" s="1"/>
  <c r="G6" i="7"/>
  <c r="G10" i="7"/>
  <c r="G14" i="7"/>
  <c r="D17" i="7"/>
  <c r="D32" i="7" s="1"/>
  <c r="G8" i="7"/>
  <c r="G12" i="7"/>
  <c r="J17" i="7"/>
  <c r="K27" i="7"/>
  <c r="K32" i="7" s="1"/>
  <c r="J27" i="7"/>
  <c r="D25" i="8"/>
  <c r="B29" i="8" s="1"/>
  <c r="C29" i="8"/>
  <c r="J29" i="8"/>
  <c r="E29" i="8"/>
  <c r="M29" i="8"/>
  <c r="N29" i="8"/>
  <c r="J23" i="8"/>
  <c r="K23" i="8" s="1"/>
  <c r="S23" i="8" s="1"/>
  <c r="F29" i="8"/>
  <c r="B30" i="8"/>
  <c r="D30" i="8"/>
  <c r="H30" i="8"/>
  <c r="L30" i="8"/>
  <c r="N30" i="8"/>
  <c r="C30" i="8"/>
  <c r="G29" i="8"/>
  <c r="K29" i="8"/>
  <c r="E30" i="8"/>
  <c r="I30" i="8"/>
  <c r="I33" i="8" s="1"/>
  <c r="M30" i="8"/>
  <c r="M33" i="8" s="1"/>
  <c r="D29" i="8"/>
  <c r="D33" i="8" s="1"/>
  <c r="H29" i="8"/>
  <c r="L29" i="8"/>
  <c r="L33" i="8" s="1"/>
  <c r="F30" i="8"/>
  <c r="J30" i="8"/>
  <c r="P30" i="8"/>
  <c r="Q30" i="8" s="1"/>
  <c r="G25" i="8"/>
  <c r="G30" i="8"/>
  <c r="K30" i="8"/>
  <c r="J22" i="8"/>
  <c r="I21" i="8"/>
  <c r="J21" i="8"/>
  <c r="I20" i="8"/>
  <c r="I22" i="8"/>
  <c r="I24" i="8"/>
  <c r="J24" i="8"/>
  <c r="G27" i="7"/>
  <c r="G7" i="7"/>
  <c r="G9" i="7"/>
  <c r="G11" i="7"/>
  <c r="G13" i="7"/>
  <c r="G15" i="7"/>
  <c r="N15" i="6"/>
  <c r="B10" i="6"/>
  <c r="C6" i="6"/>
  <c r="D6" i="6"/>
  <c r="E6" i="6"/>
  <c r="F6" i="6"/>
  <c r="G6" i="6"/>
  <c r="H6" i="6"/>
  <c r="I6" i="6"/>
  <c r="J6" i="6"/>
  <c r="K6" i="6"/>
  <c r="L6" i="6"/>
  <c r="M6" i="6"/>
  <c r="C7" i="6"/>
  <c r="D7" i="6"/>
  <c r="E7" i="6"/>
  <c r="F7" i="6"/>
  <c r="G7" i="6"/>
  <c r="H7" i="6"/>
  <c r="I7" i="6"/>
  <c r="J7" i="6"/>
  <c r="K7" i="6"/>
  <c r="L7" i="6"/>
  <c r="M7" i="6"/>
  <c r="C8" i="6"/>
  <c r="D8" i="6"/>
  <c r="E8" i="6"/>
  <c r="F8" i="6"/>
  <c r="G8" i="6"/>
  <c r="H8" i="6"/>
  <c r="I8" i="6"/>
  <c r="J8" i="6"/>
  <c r="K8" i="6"/>
  <c r="L8" i="6"/>
  <c r="M8" i="6"/>
  <c r="C9" i="6"/>
  <c r="D9" i="6"/>
  <c r="E9" i="6"/>
  <c r="F9" i="6"/>
  <c r="G9" i="6"/>
  <c r="H9" i="6"/>
  <c r="I9" i="6"/>
  <c r="J9" i="6"/>
  <c r="K9" i="6"/>
  <c r="L9" i="6"/>
  <c r="M9" i="6"/>
  <c r="C10" i="6"/>
  <c r="D10" i="6"/>
  <c r="E10" i="6"/>
  <c r="F10" i="6"/>
  <c r="G10" i="6"/>
  <c r="H10" i="6"/>
  <c r="I10" i="6"/>
  <c r="J10" i="6"/>
  <c r="K10" i="6"/>
  <c r="L10" i="6"/>
  <c r="M10" i="6"/>
  <c r="C11" i="6"/>
  <c r="D11" i="6"/>
  <c r="E11" i="6"/>
  <c r="F11" i="6"/>
  <c r="G11" i="6"/>
  <c r="H11" i="6"/>
  <c r="I11" i="6"/>
  <c r="J11" i="6"/>
  <c r="K11" i="6"/>
  <c r="L11" i="6"/>
  <c r="M11" i="6"/>
  <c r="B11" i="6"/>
  <c r="B9" i="6"/>
  <c r="B8" i="6"/>
  <c r="B13" i="6" s="1"/>
  <c r="B7" i="6"/>
  <c r="E29" i="1"/>
  <c r="E30" i="1" s="1"/>
  <c r="E28" i="1"/>
  <c r="N13" i="6"/>
  <c r="O11" i="6"/>
  <c r="P11" i="6" s="1"/>
  <c r="O9" i="6"/>
  <c r="P9" i="6" s="1"/>
  <c r="O10" i="6"/>
  <c r="P10" i="6" s="1"/>
  <c r="O8" i="6"/>
  <c r="P8" i="6" s="1"/>
  <c r="E21" i="1"/>
  <c r="E20" i="1"/>
  <c r="E19" i="1"/>
  <c r="E12" i="1"/>
  <c r="E11" i="1"/>
  <c r="E10" i="1"/>
  <c r="E9" i="1"/>
  <c r="E8" i="1"/>
  <c r="E7" i="1"/>
  <c r="E6" i="1"/>
  <c r="J33" i="8" l="1"/>
  <c r="G17" i="7"/>
  <c r="G32" i="7" s="1"/>
  <c r="J32" i="7"/>
  <c r="R23" i="8"/>
  <c r="C33" i="8"/>
  <c r="F33" i="8"/>
  <c r="E33" i="8"/>
  <c r="N33" i="8"/>
  <c r="K24" i="8"/>
  <c r="S24" i="8" s="1"/>
  <c r="K22" i="8"/>
  <c r="S22" i="8" s="1"/>
  <c r="J25" i="8"/>
  <c r="K21" i="8"/>
  <c r="R21" i="8" s="1"/>
  <c r="B33" i="8"/>
  <c r="O25" i="8"/>
  <c r="K33" i="8"/>
  <c r="K20" i="8"/>
  <c r="S20" i="8" s="1"/>
  <c r="I25" i="8"/>
  <c r="H33" i="8"/>
  <c r="G33" i="8"/>
  <c r="R24" i="8"/>
  <c r="M13" i="6"/>
  <c r="I13" i="6"/>
  <c r="L13" i="6"/>
  <c r="H13" i="6"/>
  <c r="D13" i="6"/>
  <c r="K13" i="6"/>
  <c r="G13" i="6"/>
  <c r="C13" i="6"/>
  <c r="J13" i="6"/>
  <c r="F13" i="6"/>
  <c r="E13" i="6"/>
  <c r="O13" i="6"/>
  <c r="E22" i="1"/>
  <c r="E14" i="1"/>
  <c r="R22" i="8" l="1"/>
  <c r="R20" i="8"/>
  <c r="O33" i="8"/>
  <c r="P33" i="8" s="1"/>
  <c r="Q33" i="8" s="1"/>
  <c r="P29" i="8"/>
  <c r="S21" i="8"/>
  <c r="S25" i="8" s="1"/>
  <c r="K25" i="8"/>
  <c r="R25" i="8"/>
  <c r="P13" i="6"/>
  <c r="Q29" i="8" l="1"/>
  <c r="B37" i="9" l="1"/>
  <c r="B6" i="12" l="1"/>
  <c r="G6" i="12"/>
  <c r="D6" i="12"/>
  <c r="M6" i="12"/>
  <c r="K6" i="12"/>
  <c r="C6" i="12"/>
  <c r="J6" i="12"/>
  <c r="I6" i="12"/>
  <c r="E6" i="12"/>
  <c r="H6" i="12" l="1"/>
  <c r="O6" i="12"/>
  <c r="P6" i="12"/>
  <c r="D15" i="18" l="1"/>
  <c r="E15" i="18"/>
  <c r="F6" i="12" l="1"/>
  <c r="L6" i="12"/>
  <c r="N6" i="12" l="1"/>
  <c r="C15" i="18" l="1"/>
  <c r="B7" i="20" l="1"/>
  <c r="B8" i="20" s="1"/>
  <c r="B7" i="12"/>
  <c r="B8" i="12" s="1"/>
  <c r="E20" i="18" l="1"/>
  <c r="D20" i="18"/>
  <c r="O11" i="12"/>
  <c r="P11" i="12"/>
  <c r="B13" i="12" l="1"/>
  <c r="B14" i="20"/>
  <c r="C13" i="12" l="1"/>
  <c r="C14" i="20"/>
  <c r="D13" i="12" l="1"/>
  <c r="D14" i="20"/>
  <c r="E13" i="12" l="1"/>
  <c r="E14" i="20"/>
  <c r="F13" i="12" l="1"/>
  <c r="F14" i="20"/>
  <c r="G13" i="12" l="1"/>
  <c r="G14" i="20"/>
  <c r="H13" i="12" l="1"/>
  <c r="H14" i="20"/>
  <c r="I13" i="12" l="1"/>
  <c r="I14" i="20"/>
  <c r="J13" i="12" l="1"/>
  <c r="J14" i="20"/>
  <c r="K13" i="12" l="1"/>
  <c r="K14" i="20"/>
  <c r="L13" i="12" l="1"/>
  <c r="L14" i="20"/>
  <c r="M13" i="12" l="1"/>
  <c r="N13" i="12" s="1"/>
  <c r="C22" i="18" s="1"/>
  <c r="M14" i="20"/>
  <c r="N14" i="20" l="1"/>
  <c r="B11" i="12" l="1"/>
  <c r="C11" i="12" l="1"/>
  <c r="D11" i="12" l="1"/>
  <c r="E11" i="12" l="1"/>
  <c r="F11" i="12" l="1"/>
  <c r="G11" i="12" l="1"/>
  <c r="H11" i="12" l="1"/>
  <c r="I11" i="12" l="1"/>
  <c r="J11" i="12" l="1"/>
  <c r="K11" i="12" l="1"/>
  <c r="L11" i="12" l="1"/>
  <c r="M11" i="12" l="1"/>
  <c r="N11" i="12" l="1"/>
  <c r="C20" i="18" l="1"/>
  <c r="O13" i="12" l="1"/>
  <c r="O14" i="20"/>
  <c r="P13" i="12" l="1"/>
  <c r="P14" i="20"/>
  <c r="L5" i="23" l="1"/>
  <c r="L5" i="20"/>
  <c r="L5" i="12"/>
  <c r="I5" i="23" l="1"/>
  <c r="I5" i="20"/>
  <c r="I5" i="12"/>
  <c r="K5" i="23"/>
  <c r="K5" i="20"/>
  <c r="K5" i="12"/>
  <c r="E5" i="23"/>
  <c r="E5" i="20"/>
  <c r="E5" i="12"/>
  <c r="G5" i="23"/>
  <c r="G5" i="20"/>
  <c r="G5" i="12"/>
  <c r="H5" i="23"/>
  <c r="H5" i="20"/>
  <c r="H5" i="12"/>
  <c r="C5" i="23"/>
  <c r="C5" i="20"/>
  <c r="C5" i="12"/>
  <c r="F5" i="23"/>
  <c r="F5" i="20"/>
  <c r="F5" i="12"/>
  <c r="D5" i="23"/>
  <c r="D5" i="20"/>
  <c r="D5" i="12"/>
  <c r="J5" i="23"/>
  <c r="J5" i="20"/>
  <c r="J5" i="12"/>
  <c r="M5" i="23"/>
  <c r="M5" i="20"/>
  <c r="M5" i="12"/>
  <c r="N5" i="23" l="1"/>
  <c r="N5" i="20"/>
  <c r="O5" i="23" s="1"/>
  <c r="N5" i="12"/>
  <c r="C14" i="18" l="1"/>
  <c r="D9" i="23" l="1"/>
  <c r="D9" i="20"/>
  <c r="C9" i="23"/>
  <c r="C9" i="20"/>
  <c r="I9" i="23"/>
  <c r="I9" i="20"/>
  <c r="E9" i="23"/>
  <c r="E9" i="20"/>
  <c r="G9" i="23"/>
  <c r="G9" i="20"/>
  <c r="J9" i="23"/>
  <c r="J9" i="20"/>
  <c r="K9" i="23"/>
  <c r="K9" i="20"/>
  <c r="B9" i="20"/>
  <c r="F9" i="23" l="1"/>
  <c r="F9" i="20"/>
  <c r="H9" i="23"/>
  <c r="H9" i="20"/>
  <c r="M9" i="23"/>
  <c r="M9" i="20"/>
  <c r="L9" i="23"/>
  <c r="L9" i="20"/>
  <c r="N9" i="20" l="1"/>
  <c r="O9" i="23" s="1"/>
  <c r="O9" i="20"/>
  <c r="N9" i="23"/>
  <c r="P9" i="20" l="1"/>
  <c r="Q9" i="23" s="1"/>
  <c r="P9" i="23"/>
  <c r="O7" i="23" l="1"/>
  <c r="O8" i="23" s="1"/>
  <c r="O7" i="20"/>
  <c r="O7" i="12"/>
  <c r="P7" i="23" l="1"/>
  <c r="P7" i="20"/>
  <c r="P7" i="12"/>
  <c r="Q7" i="23"/>
  <c r="N10" i="23" l="1"/>
  <c r="J7" i="23" l="1"/>
  <c r="J8" i="23" s="1"/>
  <c r="J7" i="20"/>
  <c r="J8" i="20" s="1"/>
  <c r="J7" i="12"/>
  <c r="J8" i="12" s="1"/>
  <c r="K7" i="23"/>
  <c r="K8" i="23" s="1"/>
  <c r="K7" i="20"/>
  <c r="K8" i="20" s="1"/>
  <c r="K7" i="12"/>
  <c r="K8" i="12" s="1"/>
  <c r="E7" i="23"/>
  <c r="E8" i="23" s="1"/>
  <c r="E7" i="20"/>
  <c r="E8" i="20" s="1"/>
  <c r="E7" i="12"/>
  <c r="E8" i="12" s="1"/>
  <c r="F7" i="23"/>
  <c r="F8" i="23" s="1"/>
  <c r="F7" i="20"/>
  <c r="F8" i="20" s="1"/>
  <c r="F7" i="12"/>
  <c r="F8" i="12" s="1"/>
  <c r="C7" i="23"/>
  <c r="C8" i="23" s="1"/>
  <c r="C7" i="20"/>
  <c r="C8" i="20" s="1"/>
  <c r="C7" i="12"/>
  <c r="C8" i="12" s="1"/>
  <c r="M7" i="23"/>
  <c r="M8" i="23" s="1"/>
  <c r="M7" i="20"/>
  <c r="M8" i="20" s="1"/>
  <c r="M7" i="12"/>
  <c r="M8" i="12" s="1"/>
  <c r="D7" i="23" l="1"/>
  <c r="D8" i="23" s="1"/>
  <c r="D7" i="20"/>
  <c r="D8" i="20" s="1"/>
  <c r="D7" i="12"/>
  <c r="D8" i="12" s="1"/>
  <c r="H7" i="23"/>
  <c r="H8" i="23" s="1"/>
  <c r="H7" i="20"/>
  <c r="H8" i="20" s="1"/>
  <c r="H7" i="12"/>
  <c r="H8" i="12" s="1"/>
  <c r="I7" i="23"/>
  <c r="I8" i="23" s="1"/>
  <c r="I7" i="20"/>
  <c r="I8" i="20" s="1"/>
  <c r="I7" i="12"/>
  <c r="I8" i="12" s="1"/>
  <c r="G7" i="23"/>
  <c r="G8" i="23" s="1"/>
  <c r="G7" i="20"/>
  <c r="G8" i="20" s="1"/>
  <c r="G7" i="12"/>
  <c r="G8" i="12" s="1"/>
  <c r="L7" i="23"/>
  <c r="L8" i="23" s="1"/>
  <c r="L7" i="20"/>
  <c r="L8" i="20" s="1"/>
  <c r="L7" i="12"/>
  <c r="L8" i="12" s="1"/>
  <c r="P5" i="20" l="1"/>
  <c r="P5" i="12"/>
  <c r="N7" i="23"/>
  <c r="N8" i="23" s="1"/>
  <c r="N13" i="23" s="1"/>
  <c r="N15" i="23" s="1"/>
  <c r="N16" i="23" s="1"/>
  <c r="N17" i="23" s="1"/>
  <c r="N7" i="20"/>
  <c r="N8" i="20" s="1"/>
  <c r="N7" i="12"/>
  <c r="E14" i="18" l="1"/>
  <c r="E17" i="18" s="1"/>
  <c r="P8" i="12"/>
  <c r="Q5" i="23"/>
  <c r="Q8" i="23" s="1"/>
  <c r="P8" i="20"/>
  <c r="C16" i="18"/>
  <c r="N8" i="12"/>
  <c r="C17" i="18" s="1"/>
  <c r="B10" i="20" l="1"/>
  <c r="B10" i="12"/>
  <c r="B12" i="12" l="1"/>
  <c r="B14" i="12" s="1"/>
  <c r="B15" i="12" s="1"/>
  <c r="B16" i="12" s="1"/>
  <c r="B13" i="20"/>
  <c r="B15" i="20" s="1"/>
  <c r="B16" i="20" s="1"/>
  <c r="B17" i="20" s="1"/>
  <c r="K10" i="23" l="1"/>
  <c r="K13" i="23" s="1"/>
  <c r="K15" i="23" s="1"/>
  <c r="K16" i="23" s="1"/>
  <c r="K17" i="23" s="1"/>
  <c r="K10" i="20"/>
  <c r="K13" i="20" s="1"/>
  <c r="K15" i="20" s="1"/>
  <c r="K10" i="12"/>
  <c r="K12" i="12" s="1"/>
  <c r="K14" i="12" s="1"/>
  <c r="K15" i="12" s="1"/>
  <c r="K16" i="12" s="1"/>
  <c r="F10" i="23"/>
  <c r="F13" i="23" s="1"/>
  <c r="F15" i="23" s="1"/>
  <c r="F10" i="20"/>
  <c r="F13" i="20" s="1"/>
  <c r="F15" i="20" s="1"/>
  <c r="F10" i="12"/>
  <c r="F12" i="12" s="1"/>
  <c r="F14" i="12" s="1"/>
  <c r="F15" i="12" s="1"/>
  <c r="F16" i="12" s="1"/>
  <c r="E10" i="23"/>
  <c r="E13" i="23" s="1"/>
  <c r="E15" i="23" s="1"/>
  <c r="E16" i="23" s="1"/>
  <c r="E17" i="23" s="1"/>
  <c r="E10" i="20"/>
  <c r="E13" i="20" s="1"/>
  <c r="E15" i="20" s="1"/>
  <c r="E16" i="20" s="1"/>
  <c r="E17" i="20" s="1"/>
  <c r="E10" i="12"/>
  <c r="E12" i="12" s="1"/>
  <c r="E14" i="12" s="1"/>
  <c r="E15" i="12" s="1"/>
  <c r="E16" i="12" s="1"/>
  <c r="H10" i="23"/>
  <c r="H13" i="23" s="1"/>
  <c r="H15" i="23" s="1"/>
  <c r="H16" i="23" s="1"/>
  <c r="H17" i="23" s="1"/>
  <c r="H10" i="20"/>
  <c r="H13" i="20" s="1"/>
  <c r="H15" i="20" s="1"/>
  <c r="H16" i="20" s="1"/>
  <c r="H17" i="20" s="1"/>
  <c r="H10" i="12"/>
  <c r="H12" i="12" s="1"/>
  <c r="H14" i="12" s="1"/>
  <c r="H15" i="12" s="1"/>
  <c r="H16" i="12" s="1"/>
  <c r="C10" i="23"/>
  <c r="C13" i="23" s="1"/>
  <c r="C15" i="23" s="1"/>
  <c r="C10" i="20"/>
  <c r="C10" i="12"/>
  <c r="M10" i="23"/>
  <c r="M13" i="23" s="1"/>
  <c r="M15" i="23" s="1"/>
  <c r="M16" i="23" s="1"/>
  <c r="M17" i="23" s="1"/>
  <c r="M10" i="20"/>
  <c r="M13" i="20" s="1"/>
  <c r="M15" i="20" s="1"/>
  <c r="M16" i="20" s="1"/>
  <c r="M17" i="20" s="1"/>
  <c r="M10" i="12"/>
  <c r="M12" i="12" s="1"/>
  <c r="M14" i="12" s="1"/>
  <c r="M15" i="12" s="1"/>
  <c r="M16" i="12" s="1"/>
  <c r="G10" i="23"/>
  <c r="G13" i="23" s="1"/>
  <c r="G15" i="23" s="1"/>
  <c r="G16" i="23" s="1"/>
  <c r="G17" i="23" s="1"/>
  <c r="G10" i="20"/>
  <c r="G13" i="20" s="1"/>
  <c r="G15" i="20" s="1"/>
  <c r="G16" i="20" s="1"/>
  <c r="G17" i="20" s="1"/>
  <c r="G10" i="12"/>
  <c r="G12" i="12" s="1"/>
  <c r="G14" i="12" s="1"/>
  <c r="G15" i="12" s="1"/>
  <c r="G16" i="12" s="1"/>
  <c r="I10" i="23"/>
  <c r="I13" i="23" s="1"/>
  <c r="I15" i="23" s="1"/>
  <c r="I16" i="23" s="1"/>
  <c r="I17" i="23" s="1"/>
  <c r="I10" i="20"/>
  <c r="I13" i="20" s="1"/>
  <c r="I15" i="20" s="1"/>
  <c r="I16" i="20" s="1"/>
  <c r="I17" i="20" s="1"/>
  <c r="I10" i="12"/>
  <c r="I12" i="12" s="1"/>
  <c r="I14" i="12" s="1"/>
  <c r="I15" i="12" s="1"/>
  <c r="I16" i="12" s="1"/>
  <c r="L10" i="23"/>
  <c r="L13" i="23" s="1"/>
  <c r="L15" i="23" s="1"/>
  <c r="L16" i="23" s="1"/>
  <c r="L17" i="23" s="1"/>
  <c r="L10" i="20"/>
  <c r="L13" i="20" s="1"/>
  <c r="L15" i="20" s="1"/>
  <c r="L16" i="20" s="1"/>
  <c r="L17" i="20" s="1"/>
  <c r="L10" i="12"/>
  <c r="L12" i="12" s="1"/>
  <c r="L14" i="12" s="1"/>
  <c r="L15" i="12" s="1"/>
  <c r="L16" i="12" s="1"/>
  <c r="D10" i="23"/>
  <c r="D13" i="23" s="1"/>
  <c r="D15" i="23" s="1"/>
  <c r="D16" i="23" s="1"/>
  <c r="D17" i="23" s="1"/>
  <c r="D10" i="20"/>
  <c r="D13" i="20" s="1"/>
  <c r="D15" i="20" s="1"/>
  <c r="D16" i="20" s="1"/>
  <c r="D17" i="20" s="1"/>
  <c r="D10" i="12"/>
  <c r="D12" i="12" s="1"/>
  <c r="D14" i="12" s="1"/>
  <c r="D15" i="12" s="1"/>
  <c r="D16" i="12" s="1"/>
  <c r="J10" i="23"/>
  <c r="J13" i="23" s="1"/>
  <c r="J15" i="23" s="1"/>
  <c r="J16" i="23" s="1"/>
  <c r="J17" i="23" s="1"/>
  <c r="J10" i="20"/>
  <c r="J13" i="20" s="1"/>
  <c r="J15" i="20" s="1"/>
  <c r="J16" i="20" s="1"/>
  <c r="J17" i="20" s="1"/>
  <c r="J10" i="12"/>
  <c r="J12" i="12" s="1"/>
  <c r="J14" i="12" s="1"/>
  <c r="J15" i="12" s="1"/>
  <c r="J16" i="12" s="1"/>
  <c r="C13" i="20" l="1"/>
  <c r="C15" i="20" s="1"/>
  <c r="C16" i="20" s="1"/>
  <c r="C17" i="20" s="1"/>
  <c r="N10" i="20"/>
  <c r="F16" i="20"/>
  <c r="F17" i="20" s="1"/>
  <c r="K16" i="20"/>
  <c r="K17" i="20" s="1"/>
  <c r="C16" i="23"/>
  <c r="C17" i="23" s="1"/>
  <c r="D21" i="23"/>
  <c r="D23" i="23"/>
  <c r="D22" i="23"/>
  <c r="F16" i="23"/>
  <c r="F17" i="23" s="1"/>
  <c r="C12" i="12"/>
  <c r="C14" i="12" s="1"/>
  <c r="C15" i="12" s="1"/>
  <c r="C16" i="12" s="1"/>
  <c r="N10" i="12"/>
  <c r="O10" i="12" l="1"/>
  <c r="N12" i="12"/>
  <c r="C19" i="18"/>
  <c r="D19" i="18" s="1"/>
  <c r="O10" i="20"/>
  <c r="O10" i="23"/>
  <c r="N13" i="20"/>
  <c r="N15" i="20" s="1"/>
  <c r="P10" i="20" l="1"/>
  <c r="P13" i="20" s="1"/>
  <c r="P15" i="20" s="1"/>
  <c r="P16" i="20" s="1"/>
  <c r="Q16" i="23" s="1"/>
  <c r="E19" i="18"/>
  <c r="E21" i="18" s="1"/>
  <c r="E23" i="18" s="1"/>
  <c r="N16" i="20"/>
  <c r="O16" i="23" s="1"/>
  <c r="C21" i="18"/>
  <c r="N14" i="12"/>
  <c r="O13" i="23"/>
  <c r="O15" i="23" s="1"/>
  <c r="P22" i="23" s="1"/>
  <c r="P10" i="23"/>
  <c r="P10" i="12"/>
  <c r="P12" i="12" s="1"/>
  <c r="P14" i="12" s="1"/>
  <c r="P15" i="12" s="1"/>
  <c r="F18" i="11" s="1"/>
  <c r="F22" i="11" s="1"/>
  <c r="O5" i="20" l="1"/>
  <c r="O5" i="12"/>
  <c r="P17" i="20"/>
  <c r="N17" i="20"/>
  <c r="E24" i="18"/>
  <c r="E25" i="18" s="1"/>
  <c r="D32" i="18"/>
  <c r="P16" i="12"/>
  <c r="Q10" i="23"/>
  <c r="Q13" i="23" s="1"/>
  <c r="Q15" i="23" s="1"/>
  <c r="N15" i="12"/>
  <c r="D18" i="11" s="1"/>
  <c r="D22" i="11" s="1"/>
  <c r="C23" i="18"/>
  <c r="O17" i="23"/>
  <c r="D14" i="18" l="1"/>
  <c r="D17" i="18" s="1"/>
  <c r="D21" i="18" s="1"/>
  <c r="D23" i="18" s="1"/>
  <c r="O8" i="12"/>
  <c r="O12" i="12" s="1"/>
  <c r="O14" i="12" s="1"/>
  <c r="P5" i="23"/>
  <c r="P8" i="23" s="1"/>
  <c r="P13" i="23" s="1"/>
  <c r="P15" i="23" s="1"/>
  <c r="P23" i="23" s="1"/>
  <c r="O8" i="20"/>
  <c r="O13" i="20" s="1"/>
  <c r="O15" i="20" s="1"/>
  <c r="P24" i="23"/>
  <c r="Q17" i="23"/>
  <c r="N16" i="12"/>
  <c r="C25" i="18" s="1"/>
  <c r="D30" i="18"/>
  <c r="C24" i="18"/>
  <c r="O16" i="20" l="1"/>
  <c r="P16" i="23" s="1"/>
  <c r="P17" i="23" s="1"/>
  <c r="O15" i="12"/>
  <c r="E18" i="11" s="1"/>
  <c r="E22" i="11" s="1"/>
  <c r="D31" i="18"/>
  <c r="D24" i="18"/>
  <c r="D25" i="18" s="1"/>
  <c r="O17" i="20" l="1"/>
  <c r="O16" i="12"/>
  <c r="B39" i="22" l="1"/>
  <c r="B37" i="19"/>
  <c r="C35" i="25" l="1"/>
  <c r="D35" i="25" s="1"/>
  <c r="F37" i="25" s="1"/>
</calcChain>
</file>

<file path=xl/sharedStrings.xml><?xml version="1.0" encoding="utf-8"?>
<sst xmlns="http://schemas.openxmlformats.org/spreadsheetml/2006/main" count="699" uniqueCount="291">
  <si>
    <r>
      <rPr>
        <sz val="9.5"/>
        <rFont val="Times New Roman"/>
        <family val="1"/>
      </rPr>
      <t>Equipo de computo</t>
    </r>
  </si>
  <si>
    <r>
      <rPr>
        <sz val="9.5"/>
        <rFont val="Times New Roman"/>
        <family val="1"/>
      </rPr>
      <t>Equipos varios</t>
    </r>
  </si>
  <si>
    <r>
      <rPr>
        <sz val="9.5"/>
        <rFont val="Times New Roman"/>
        <family val="1"/>
      </rPr>
      <t>Mobiliario</t>
    </r>
  </si>
  <si>
    <r>
      <rPr>
        <b/>
        <sz val="9.5"/>
        <color rgb="FFFFFFFF"/>
        <rFont val="Times New Roman"/>
        <family val="1"/>
      </rPr>
      <t>Gastos de administracion</t>
    </r>
  </si>
  <si>
    <r>
      <rPr>
        <sz val="9"/>
        <rFont val="Times New Roman"/>
        <family val="1"/>
      </rPr>
      <t>Gastos del personal</t>
    </r>
  </si>
  <si>
    <r>
      <rPr>
        <b/>
        <sz val="9.5"/>
        <color rgb="FFFFFFFF"/>
        <rFont val="Times New Roman"/>
        <family val="1"/>
      </rPr>
      <t>(=) Total gastos de administracion</t>
    </r>
  </si>
  <si>
    <t xml:space="preserve">Activos fijos - Administracion </t>
  </si>
  <si>
    <t>Tipo</t>
  </si>
  <si>
    <t>Unidades</t>
  </si>
  <si>
    <t>Costo Unitario S/ (sin IGV)</t>
  </si>
  <si>
    <t>Costo Total S/ (sin IGV)</t>
  </si>
  <si>
    <t xml:space="preserve">TOTAL ACTIVOS FIJOS - ADMINISTRACION S/    </t>
  </si>
  <si>
    <t>Presupuesto de gastos Operativos</t>
  </si>
  <si>
    <t>Escritorios simples modelo Malaga</t>
  </si>
  <si>
    <t>Mesa de directorio con sillas</t>
  </si>
  <si>
    <t>Laptop HP 15-dw1085la 15.6"</t>
  </si>
  <si>
    <t>Escritorios L modelo España</t>
  </si>
  <si>
    <t>Impresora Multifuncional Epson EcoTank L3210</t>
  </si>
  <si>
    <t>TV para proyección en directorio</t>
  </si>
  <si>
    <t>Sillas de oficina ergonómicas</t>
  </si>
  <si>
    <t xml:space="preserve">Activos fijos - Sistemas </t>
  </si>
  <si>
    <t>PC Desktop Dell Vostro SFF 3681 Core i7</t>
  </si>
  <si>
    <t>Servidor</t>
  </si>
  <si>
    <t xml:space="preserve">TOTAL ACTIVOS FIJOS - SISTEMAS S/    </t>
  </si>
  <si>
    <t>Monitor LG 27"</t>
  </si>
  <si>
    <t>Equipo de computo</t>
  </si>
  <si>
    <t>Alquiler oficina</t>
  </si>
  <si>
    <t>Mantenimiento</t>
  </si>
  <si>
    <t>Inversión en muebles y enseres de Yanuy</t>
  </si>
  <si>
    <t>5% + anual</t>
  </si>
  <si>
    <t>10% + anual</t>
  </si>
  <si>
    <t>Ok</t>
  </si>
  <si>
    <t>Definir sueldos iniciales</t>
  </si>
  <si>
    <t>S/ 500 mensual, incluye plataforma de facturación</t>
  </si>
  <si>
    <t>S/ 1720 x mes</t>
  </si>
  <si>
    <t>Paquete Fibra 1GB + Fijo</t>
  </si>
  <si>
    <t>S/ 140 x mes</t>
  </si>
  <si>
    <t>S/ 500 mensual, mantener el servidor activo</t>
  </si>
  <si>
    <t>Asesoria contable y plataforma de facturacción</t>
  </si>
  <si>
    <t>6.7       Estructura de los gastos de producción y gastos operativos
Hemos considerado pagar la suma de S/. 1,720 soles por el alquiler una oficina en el distrito de Lince que será utilizada como centro de operaciones de Yanuy, el mantenimiento asciende.asciende a S/ 140 mensuales y el servicio de internet de alta velocidad y telefonía a S/ 432 mensuales. El gasto por concepto de luz es de S/ 500 debido a que el servidor opera las 24 horas del día. El servicio de asesoria contable y utilización de plataforma web de facturación asciende a S/ 500 mensuales, el dominio "www.yanuy.pe" tiene un costo anual de S/110</t>
  </si>
  <si>
    <t>S/ 140 anual</t>
  </si>
  <si>
    <t>Inversión en intangibles de Yanuy</t>
  </si>
  <si>
    <t>Desarrollo de aplicativo</t>
  </si>
  <si>
    <t>Registro de marca YANUY</t>
  </si>
  <si>
    <t>Intangible</t>
  </si>
  <si>
    <t xml:space="preserve">TOTAL ACTIVOS INTANGIBLES - SISTEMAS S/    </t>
  </si>
  <si>
    <t>Dominio + hosting web + mantenimiento servidor</t>
  </si>
  <si>
    <t>Aumento por crecimento 5%</t>
  </si>
  <si>
    <t>Estante Mika - Modelo Haiti</t>
  </si>
  <si>
    <t>ACTIVOS FIJOS</t>
  </si>
  <si>
    <t>Descripción</t>
  </si>
  <si>
    <t xml:space="preserve">Estante Mika - Modelo Haiti </t>
  </si>
  <si>
    <t>Precio Unitario        (sin IGV)</t>
  </si>
  <si>
    <t>Cantidad</t>
  </si>
  <si>
    <t>Subtotal (sin IGV)</t>
  </si>
  <si>
    <t>Afecto a  IGV</t>
  </si>
  <si>
    <t>IGV         Soles</t>
  </si>
  <si>
    <t>Total   pagado</t>
  </si>
  <si>
    <t>Depreciación Anual (%)</t>
  </si>
  <si>
    <t>Vida Útil Años</t>
  </si>
  <si>
    <t>Depreciación Anual (S/)</t>
  </si>
  <si>
    <t>Dep. Mensual (S/.)</t>
  </si>
  <si>
    <t>NO</t>
  </si>
  <si>
    <t>Total Tangibles</t>
  </si>
  <si>
    <t>INTANGIBLES</t>
  </si>
  <si>
    <t>Amortización  Anual (%)</t>
  </si>
  <si>
    <t>Amortización Anual (S/)</t>
  </si>
  <si>
    <t>Amort. mensual (S/.)</t>
  </si>
  <si>
    <t>Regitro de la marca YANUY</t>
  </si>
  <si>
    <t>Total Intangibles</t>
  </si>
  <si>
    <t>TOTAL ACTIVOS FIJOS</t>
  </si>
  <si>
    <t>Utiles de oficina</t>
  </si>
  <si>
    <t>Telefonia e internet</t>
  </si>
  <si>
    <t>Servicio de luz</t>
  </si>
  <si>
    <t>GASTOS NO AFECTOS AL IGV</t>
  </si>
  <si>
    <t>Mes 0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</si>
  <si>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</si>
  <si>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</si>
  <si>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</si>
  <si>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</si>
  <si>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</si>
  <si>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</si>
  <si>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</si>
  <si>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</si>
  <si>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</si>
  <si>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</si>
  <si>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</si>
  <si>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</si>
  <si>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AÑO 1</t>
  </si>
  <si>
    <t>AÑO2</t>
  </si>
  <si>
    <t>AÑO 3</t>
  </si>
  <si>
    <t>Asesor Nutricionista</t>
  </si>
  <si>
    <t>TOTAL NO AFECTOS A IGV</t>
  </si>
  <si>
    <t>Preoperativo</t>
  </si>
  <si>
    <t>Nro de</t>
  </si>
  <si>
    <t>Remu Básica Mensual</t>
  </si>
  <si>
    <t>ESSALUD</t>
  </si>
  <si>
    <t>Gratificación</t>
  </si>
  <si>
    <t>CTS</t>
  </si>
  <si>
    <t>Total Planilla</t>
  </si>
  <si>
    <t>Cantidad personal</t>
  </si>
  <si>
    <t>% Incremento Remuneración</t>
  </si>
  <si>
    <t>Nro de Trabajadores</t>
  </si>
  <si>
    <t>Remu Básica por Mes</t>
  </si>
  <si>
    <t>Subtotal</t>
  </si>
  <si>
    <t>Trabajadores</t>
  </si>
  <si>
    <t>por trabajador</t>
  </si>
  <si>
    <t>Sub-Total</t>
  </si>
  <si>
    <t>Mes</t>
  </si>
  <si>
    <t>Anual</t>
  </si>
  <si>
    <t>Año 1</t>
  </si>
  <si>
    <t>Año 2</t>
  </si>
  <si>
    <t>Año 3</t>
  </si>
  <si>
    <t>Año 4</t>
  </si>
  <si>
    <t>Año 5</t>
  </si>
  <si>
    <t>Administrador</t>
  </si>
  <si>
    <t>Encargado de Finanzas y Logistica</t>
  </si>
  <si>
    <t>Encargado de Marketing y Operaciones</t>
  </si>
  <si>
    <t>Encargado de RRHH</t>
  </si>
  <si>
    <t>Encargado de Sistemas y Programacion</t>
  </si>
  <si>
    <t>Remuneración básica</t>
  </si>
  <si>
    <t>Total</t>
  </si>
  <si>
    <t>TOTAL</t>
  </si>
  <si>
    <t>El</t>
  </si>
  <si>
    <t>de las ventas netas mensuales del primer año de operaciones corresponden al pago a cuenta del Impuesto a la Renta mensual. Si hubiese monto a regularizar, se realizará en el año 2</t>
  </si>
  <si>
    <t>El impuesto a la renta de los años 2,3,4 y 5 se pagan en su totalidad cada uno en sus respectivos años; el año 2 incluye la regularización del año 1.</t>
  </si>
  <si>
    <t>El análisis financiero se realiza asumiendo el negocio en marcha perdurable en el tiempo.Se asume que a partir del año 6 el flujo de caja crecerá en función a la tasa de inflación anual proyectada de Perú.</t>
  </si>
  <si>
    <t>FLUJO DE CAJA</t>
  </si>
  <si>
    <t>Concepto</t>
  </si>
  <si>
    <t>Ventas</t>
  </si>
  <si>
    <t>Costo de producción</t>
  </si>
  <si>
    <t>Personal área producción</t>
  </si>
  <si>
    <t>Utilidad Bruta</t>
  </si>
  <si>
    <t>Personal de  Administración y Ventas</t>
  </si>
  <si>
    <t>Gastos de administracion y ventas</t>
  </si>
  <si>
    <t>Depreciacion y amortización de intangibles</t>
  </si>
  <si>
    <t>Utililidad Operativa (EBIT)</t>
  </si>
  <si>
    <t>-Impuesto a la renta</t>
  </si>
  <si>
    <t>+ depreciacion y amortización de intangibles</t>
  </si>
  <si>
    <t xml:space="preserve">Flujo de Caja Operativo </t>
  </si>
  <si>
    <t xml:space="preserve"> - Activo fijo         </t>
  </si>
  <si>
    <t xml:space="preserve"> - Gastos preoperativos</t>
  </si>
  <si>
    <t xml:space="preserve">- Capital de trabajo   </t>
  </si>
  <si>
    <t>Ingreso por crédito fiscal IGV de Activos Fijos</t>
  </si>
  <si>
    <t>FLUJO DE CAJA LIBRE DISPONIBILIDAD (FCLD)</t>
  </si>
  <si>
    <t xml:space="preserve"> + Préstamos obtenido</t>
  </si>
  <si>
    <t xml:space="preserve"> -Amortización de la deuda</t>
  </si>
  <si>
    <t xml:space="preserve"> - Interés de la deuda</t>
  </si>
  <si>
    <t xml:space="preserve">  + Escudo fiscal de los intereses (EFI)</t>
  </si>
  <si>
    <t>FLUJO DE CAJA NETO DEL INVERSIONISTA (FCNI)</t>
  </si>
  <si>
    <t>VPN FLUJO DE CAJA DE LIBRE DISPONIBILIDAD</t>
  </si>
  <si>
    <t>TIR FCLD</t>
  </si>
  <si>
    <t>VPN FLUJO DE CAJA NETO DEL INVERSIONISTA</t>
  </si>
  <si>
    <t>TIR FCNI</t>
  </si>
  <si>
    <t>Marketing</t>
  </si>
  <si>
    <t>CAPITAL DE TRABAJO INICIAL</t>
  </si>
  <si>
    <t>CAPITAL DE TRABAJO ADICIONAL (método % cambio de ventas)</t>
  </si>
  <si>
    <t>Capital de trabajo inicial / Ventas mes 1</t>
  </si>
  <si>
    <t>Representa el 20% de la inversión inicial, la misma que será asumida por los socios en partes iguales.</t>
  </si>
  <si>
    <t>Representa la valorización porcentual del capital inicial sobre las netas del primer mes de actividades.</t>
  </si>
  <si>
    <t>DETALLE DE FINANCIAMIENTO</t>
  </si>
  <si>
    <t>INVERSIÓN</t>
  </si>
  <si>
    <t>Inversión en activos tangibles</t>
  </si>
  <si>
    <t>Inversión en activos intangibles</t>
  </si>
  <si>
    <t>Capital de trabajo</t>
  </si>
  <si>
    <t>TIPO DE FINANCIAMIENTO</t>
  </si>
  <si>
    <t>Aporte accionista 1</t>
  </si>
  <si>
    <t>Aporte accionista 2</t>
  </si>
  <si>
    <t>Aporte accionista 3</t>
  </si>
  <si>
    <t>Aporte accionista 4</t>
  </si>
  <si>
    <t>Aporte accionista 5</t>
  </si>
  <si>
    <t>% DE PARTICIPACIÓN</t>
  </si>
  <si>
    <t>Periodos</t>
  </si>
  <si>
    <t>Año 0</t>
  </si>
  <si>
    <t>Activo</t>
  </si>
  <si>
    <t>Activo Corriente</t>
  </si>
  <si>
    <t>Efectivo y equivalente de efectivo</t>
  </si>
  <si>
    <t>Total Activo Corriente</t>
  </si>
  <si>
    <t>Activo No Corriente</t>
  </si>
  <si>
    <t>Inmuebles, Maquinarias y Equipos</t>
  </si>
  <si>
    <t>Depreciación acumulada</t>
  </si>
  <si>
    <t>Intangibles</t>
  </si>
  <si>
    <t>Total Activo No Corriente</t>
  </si>
  <si>
    <t>Total Activo</t>
  </si>
  <si>
    <t>Pasivo</t>
  </si>
  <si>
    <t>Pasivo Corriente</t>
  </si>
  <si>
    <t>Impuesto a la Renta</t>
  </si>
  <si>
    <t>Total Pasivo Corriente</t>
  </si>
  <si>
    <t>Pasivo No Corriente</t>
  </si>
  <si>
    <t>Deuda Bancaria</t>
  </si>
  <si>
    <t>Total Pasivo No Corriente</t>
  </si>
  <si>
    <t>Total Pasivo</t>
  </si>
  <si>
    <t>Patrimonio</t>
  </si>
  <si>
    <t>Capital Social</t>
  </si>
  <si>
    <t>Resultados Acumulados</t>
  </si>
  <si>
    <t>Total Patrimonio</t>
  </si>
  <si>
    <t>Total Pasivo + Patrimonio</t>
  </si>
  <si>
    <t>EN LA PRESENTE HOJA NO INGRESAR INFORMACIÓN SE RECALCULA AUTOMÁTICAMENTE</t>
  </si>
  <si>
    <t>ESTADO DE RESULTADOS</t>
  </si>
  <si>
    <t>Costo de Producción</t>
  </si>
  <si>
    <t>UTILIDAD BRUTA</t>
  </si>
  <si>
    <t>Gastos de Administración y Ventas</t>
  </si>
  <si>
    <t>Depreciación y amortización</t>
  </si>
  <si>
    <t>UTILIDAD OPERATIVA</t>
  </si>
  <si>
    <t>Gastos Financieros</t>
  </si>
  <si>
    <t>UTILIDAD ANTES DE IMPUESTOS</t>
  </si>
  <si>
    <t>UTILIDAD NETA</t>
  </si>
  <si>
    <r>
      <t xml:space="preserve">Beta desapalancada del sector </t>
    </r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u</t>
    </r>
  </si>
  <si>
    <t>Impuesto a la Renta Perú</t>
  </si>
  <si>
    <t>Dproy</t>
  </si>
  <si>
    <t>Eproy</t>
  </si>
  <si>
    <r>
      <t xml:space="preserve">Tasa libre de Riesgo  </t>
    </r>
    <r>
      <rPr>
        <b/>
        <sz val="18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f</t>
    </r>
  </si>
  <si>
    <r>
      <t>Prima Riesgo de mercado (</t>
    </r>
    <r>
      <rPr>
        <b/>
        <sz val="18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 xml:space="preserve">m - </t>
    </r>
    <r>
      <rPr>
        <b/>
        <sz val="18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f)</t>
    </r>
  </si>
  <si>
    <r>
      <t xml:space="preserve">Riesgo País </t>
    </r>
    <r>
      <rPr>
        <sz val="14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RP</t>
    </r>
  </si>
  <si>
    <t>COK proy US$=</t>
  </si>
  <si>
    <t>Perú inflación anual esperada S/.</t>
  </si>
  <si>
    <t>USA inflación anual esperada US$</t>
  </si>
  <si>
    <t>COK proy soles=</t>
  </si>
  <si>
    <r>
      <t xml:space="preserve">(  1   +   COK US$ )    </t>
    </r>
    <r>
      <rPr>
        <b/>
        <u/>
        <sz val="12"/>
        <rFont val="Calibri"/>
        <family val="2"/>
        <scheme val="minor"/>
      </rPr>
      <t>(   1 + Inflación anual Perú Soles)</t>
    </r>
    <r>
      <rPr>
        <b/>
        <sz val="12"/>
        <rFont val="Calibri"/>
        <family val="2"/>
        <scheme val="minor"/>
      </rPr>
      <t xml:space="preserve">    -     1</t>
    </r>
  </si>
  <si>
    <t xml:space="preserve">           (  1  +  inflación anual USA US$)</t>
  </si>
  <si>
    <t>Cáculo proveniente de la tabla del profesor Damoradan actualizado a enero 2022 y utilizando la industria de Software (System &amp; Application)</t>
  </si>
  <si>
    <t>Software (System &amp; Application)</t>
  </si>
  <si>
    <t>Cáculo proveniente de la última cotización del tesoro americano</t>
  </si>
  <si>
    <t>Cáculo proveniente de la última cotización del Riesgo País del Perú actualizado al 11.02.2022</t>
  </si>
  <si>
    <t>DETERMINACIÓN DEL COK MODELO CAPM</t>
  </si>
  <si>
    <t>COK</t>
  </si>
  <si>
    <t>TIR</t>
  </si>
  <si>
    <t>INDICE DE RENTABILIDAD</t>
  </si>
  <si>
    <t>ROI año1=</t>
  </si>
  <si>
    <t>ROI año2=</t>
  </si>
  <si>
    <t>ROI año3=</t>
  </si>
  <si>
    <t>TANGIBLES (EXPRESADOS EN SOLES)</t>
  </si>
  <si>
    <t>INTANGIBLES (EXPRESADOS EN SOLES)</t>
  </si>
  <si>
    <t>VAN 13.66%</t>
  </si>
  <si>
    <t>VAN 17%</t>
  </si>
  <si>
    <t>PERSONAL ADMINISTRACIÓN Y VENTAS (EXPRESADO EN SOLES)</t>
  </si>
  <si>
    <t>AÑO4</t>
  </si>
  <si>
    <t>AÑO5</t>
  </si>
  <si>
    <t>FLUJO DE CAJA (EXPRESADO EN SOLES)</t>
  </si>
  <si>
    <t>CAPITAL DE TRABAJO</t>
  </si>
  <si>
    <t>DETALLE DE FINANCIAMIENTO (EXPRESADO EN SOLES)</t>
  </si>
  <si>
    <t>Amortización acumulada</t>
  </si>
  <si>
    <t>Estado de situación financiera o Balance General (EXPRESADO EN SOLES)</t>
  </si>
  <si>
    <t>ESTADO DE RESULTADOS (EXPRESADO EN SOLES)</t>
  </si>
  <si>
    <t>Depreciación</t>
  </si>
  <si>
    <t>Amortización</t>
  </si>
  <si>
    <t>Depreciacion de activos tangibles</t>
  </si>
  <si>
    <t>Amortización de activos intangibles</t>
  </si>
  <si>
    <t>+ Amortización de intangibles</t>
  </si>
  <si>
    <t>+ depreciacion de activos tangibles</t>
  </si>
  <si>
    <t>Personal de administración y ventas</t>
  </si>
  <si>
    <t>Gastos de adminstración y ventas</t>
  </si>
  <si>
    <t>Analisis de Escenarios</t>
  </si>
  <si>
    <t>Probabilidades:</t>
  </si>
  <si>
    <t>Escenario</t>
  </si>
  <si>
    <t>Crecimiento %</t>
  </si>
  <si>
    <t>Pesimista</t>
  </si>
  <si>
    <t>Esperado</t>
  </si>
  <si>
    <t>Optimista</t>
  </si>
  <si>
    <t>Escenarios:</t>
  </si>
  <si>
    <t>Pesimista FCLD</t>
  </si>
  <si>
    <t>Probabilidad</t>
  </si>
  <si>
    <t>Flujo Pesimista</t>
  </si>
  <si>
    <t>Esperado FCLD</t>
  </si>
  <si>
    <t>Flujo Esperado</t>
  </si>
  <si>
    <t>Optimista FCLD</t>
  </si>
  <si>
    <t>Flujo optimista</t>
  </si>
  <si>
    <t>Total FE</t>
  </si>
  <si>
    <t>VP del flujo esperado</t>
  </si>
  <si>
    <t>Varianza ^ FC Pesimista</t>
  </si>
  <si>
    <t>Varianza ^ FC Esperado</t>
  </si>
  <si>
    <t>Varianza ^ FC Optimista</t>
  </si>
  <si>
    <t>Total varianza</t>
  </si>
  <si>
    <t>VP Varianza</t>
  </si>
  <si>
    <t>E(VPN) =</t>
  </si>
  <si>
    <t>VP DE LA VARIANZA</t>
  </si>
  <si>
    <t>z</t>
  </si>
  <si>
    <t>PROBABILIDAD DE RENTABILIDAD</t>
  </si>
  <si>
    <t>La probabilidad de que el proyecto no presente pérdida es de unos</t>
  </si>
  <si>
    <t>Crecimiento de ventas (anual perpetuidad)</t>
  </si>
  <si>
    <t>VPN - FCLD</t>
  </si>
  <si>
    <t>TIR - FCLD</t>
  </si>
  <si>
    <t>UNIDADES VENDIDAS</t>
  </si>
  <si>
    <t>PRECIO DE VENTA UNITARIO (INCLUYE IGV)</t>
  </si>
  <si>
    <t>RECETAS + TUTORIALES</t>
  </si>
  <si>
    <t>RECETAS PERSONALIZADAS</t>
  </si>
  <si>
    <t>COSTOS FIJO (EXPRESADO EN SOLES)</t>
  </si>
  <si>
    <t>GASTOSO ADMINISTRITIVOS Y VENTAS</t>
  </si>
  <si>
    <t>SUELDO TRABAJADORES</t>
  </si>
  <si>
    <t>DEPRECIACIÓN</t>
  </si>
  <si>
    <t>PUNTO DE EQUILIBRIO 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</si>
</sst>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3" formatCode="_-* #,##0.00_-;\-* #,##0.00_-;_-* &quot;-&quot;??_-;_-@_-"/>
    <numFmt numFmtId="164" formatCode="&quot;$&quot;#,##0.00;[Red]\-&quot;$&quot;#,##0.00"/>
    <numFmt numFmtId="165" formatCode="_-&quot;$&quot;* #,##0.00_-;\-&quot;$&quot;* #,##0.00_-;_-&quot;$&quot;* &quot;-&quot;??_-;_-@_-"/>
    <numFmt numFmtId="166" formatCode="_-[$S/-280A]\ * #,##0.00_-;\-[$S/-280A]\ * #,##0.00_-;_-[$S/-280A]\ * &quot;-&quot;??_-;_-@_-"/>
    <numFmt numFmtId="167" formatCode="_-[$S/-280A]\ * #,##0_-;\-[$S/-280A]\ * #,##0_-;_-[$S/-280A]\ * &quot;-&quot;??_-;_-@_-"/>
    <numFmt numFmtId="168" formatCode="&quot;S/&quot;\ #,##0"/>
    <numFmt numFmtId="169" formatCode="&quot;S/&quot;\ #,##0.00"/>
    <numFmt numFmtId="170" formatCode="0.0%"/>
    <numFmt numFmtId="171" formatCode="#,##0_ ;[Red]\-#,##0\ "/>
    <numFmt numFmtId="172" formatCode="0.000%"/>
    <numFmt numFmtId="173" formatCode="#,##0.00000000"/>
    <numFmt numFmtId="174" formatCode="_-* #,##0_-;\-* #,##0_-;_-* &quot;-&quot;??_-;_-@_-"/>
    <numFmt numFmtId="175" formatCode="0.0000"/>
  </numFmts>
  <fonts count="51" x14ac:knownFonts="1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b/>
      <sz val="9.5"/>
      <name val="Times New Roman"/>
      <family val="1"/>
    </font>
    <font>
      <sz val="9.5"/>
      <name val="Times New Roman"/>
      <family val="1"/>
    </font>
    <font>
      <sz val="9.5"/>
      <color rgb="FF000000"/>
      <name val="Times New Roman"/>
      <family val="2"/>
    </font>
    <font>
      <b/>
      <sz val="9.5"/>
      <color rgb="FFFFFFFF"/>
      <name val="Times New Roman"/>
      <family val="2"/>
    </font>
    <font>
      <sz val="9"/>
      <name val="Times New Roman"/>
      <family val="1"/>
    </font>
    <font>
      <sz val="9"/>
      <color rgb="FF000000"/>
      <name val="Times New Roman"/>
      <family val="2"/>
    </font>
    <font>
      <b/>
      <sz val="9"/>
      <color rgb="FFFFFFFF"/>
      <name val="Times New Roman"/>
      <family val="2"/>
    </font>
    <font>
      <sz val="12"/>
      <name val="Times New Roman"/>
      <family val="1"/>
    </font>
    <font>
      <b/>
      <sz val="9.5"/>
      <color rgb="FFFFFFFF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0"/>
      <color theme="10"/>
      <name val="Times New Roman"/>
      <family val="1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8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66FFFF"/>
      <name val="Calibri"/>
      <family val="2"/>
      <scheme val="minor"/>
    </font>
    <font>
      <sz val="11"/>
      <color rgb="FF00FFCC"/>
      <name val="Calibri"/>
      <family val="2"/>
      <scheme val="minor"/>
    </font>
    <font>
      <b/>
      <sz val="10"/>
      <color rgb="FF000000"/>
      <name val="Times New Roman"/>
      <family val="1"/>
    </font>
    <font>
      <sz val="8"/>
      <name val="Times New Roman"/>
      <family val="1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theme="1"/>
      <name val="Symbol"/>
      <family val="1"/>
      <charset val="2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u/>
      <sz val="12"/>
      <name val="Calibri"/>
      <family val="2"/>
      <scheme val="minor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0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00B0F0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theme="0"/>
        <bgColor theme="0"/>
      </patternFill>
    </fill>
  </fills>
  <borders count="4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12">
    <xf numFmtId="0" fontId="0" fillId="0" borderId="0"/>
    <xf numFmtId="9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16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9" fontId="1" fillId="0" borderId="0" applyFont="0" applyFill="0" applyBorder="0" applyAlignment="0" applyProtection="0"/>
  </cellStyleXfs>
  <cellXfs count="273">
    <xf numFmtId="0" fontId="0" fillId="0" borderId="0" xfId="0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 indent="2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 indent="2"/>
    </xf>
    <xf numFmtId="0" fontId="3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 indent="2"/>
    </xf>
    <xf numFmtId="0" fontId="2" fillId="2" borderId="3" xfId="0" applyFont="1" applyFill="1" applyBorder="1" applyAlignment="1">
      <alignment horizontal="left" vertical="top" wrapText="1"/>
    </xf>
    <xf numFmtId="0" fontId="6" fillId="0" borderId="5" xfId="0" applyFont="1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3" fontId="8" fillId="2" borderId="10" xfId="0" applyNumberFormat="1" applyFont="1" applyFill="1" applyBorder="1" applyAlignment="1">
      <alignment horizontal="right" vertical="top" shrinkToFit="1"/>
    </xf>
    <xf numFmtId="0" fontId="11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167" fontId="4" fillId="0" borderId="1" xfId="0" applyNumberFormat="1" applyFont="1" applyFill="1" applyBorder="1" applyAlignment="1">
      <alignment horizontal="right" vertical="top" shrinkToFit="1"/>
    </xf>
    <xf numFmtId="167" fontId="4" fillId="0" borderId="0" xfId="0" applyNumberFormat="1" applyFont="1" applyFill="1" applyBorder="1" applyAlignment="1">
      <alignment horizontal="right" vertical="top" shrinkToFit="1"/>
    </xf>
    <xf numFmtId="167" fontId="4" fillId="0" borderId="2" xfId="0" applyNumberFormat="1" applyFont="1" applyFill="1" applyBorder="1" applyAlignment="1">
      <alignment horizontal="right" vertical="top" shrinkToFit="1"/>
    </xf>
    <xf numFmtId="167" fontId="0" fillId="0" borderId="0" xfId="0" applyNumberFormat="1" applyFill="1" applyBorder="1" applyAlignment="1">
      <alignment horizontal="left" vertical="top"/>
    </xf>
    <xf numFmtId="168" fontId="7" fillId="0" borderId="8" xfId="0" applyNumberFormat="1" applyFont="1" applyFill="1" applyBorder="1" applyAlignment="1">
      <alignment horizontal="right" vertical="top" shrinkToFit="1"/>
    </xf>
    <xf numFmtId="1" fontId="5" fillId="2" borderId="4" xfId="0" applyNumberFormat="1" applyFont="1" applyFill="1" applyBorder="1" applyAlignment="1">
      <alignment horizontal="center" vertical="center" shrinkToFit="1"/>
    </xf>
    <xf numFmtId="167" fontId="4" fillId="3" borderId="2" xfId="0" applyNumberFormat="1" applyFont="1" applyFill="1" applyBorder="1" applyAlignment="1">
      <alignment horizontal="right" vertical="top" shrinkToFit="1"/>
    </xf>
    <xf numFmtId="1" fontId="4" fillId="3" borderId="0" xfId="0" applyNumberFormat="1" applyFont="1" applyFill="1" applyBorder="1" applyAlignment="1">
      <alignment horizontal="right" vertical="top" shrinkToFit="1"/>
    </xf>
    <xf numFmtId="167" fontId="4" fillId="3" borderId="0" xfId="0" applyNumberFormat="1" applyFont="1" applyFill="1" applyBorder="1" applyAlignment="1">
      <alignment horizontal="right" vertical="top" shrinkToFit="1"/>
    </xf>
    <xf numFmtId="1" fontId="4" fillId="3" borderId="2" xfId="0" applyNumberFormat="1" applyFont="1" applyFill="1" applyBorder="1" applyAlignment="1">
      <alignment horizontal="right" vertical="top" shrinkToFit="1"/>
    </xf>
    <xf numFmtId="1" fontId="4" fillId="3" borderId="1" xfId="0" applyNumberFormat="1" applyFont="1" applyFill="1" applyBorder="1" applyAlignment="1">
      <alignment horizontal="right" vertical="top" shrinkToFit="1"/>
    </xf>
    <xf numFmtId="167" fontId="4" fillId="3" borderId="1" xfId="0" applyNumberFormat="1" applyFont="1" applyFill="1" applyBorder="1" applyAlignment="1">
      <alignment horizontal="right" vertical="top" shrinkToFit="1"/>
    </xf>
    <xf numFmtId="166" fontId="0" fillId="0" borderId="0" xfId="0" applyNumberFormat="1" applyFill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68" fontId="7" fillId="0" borderId="6" xfId="0" applyNumberFormat="1" applyFont="1" applyFill="1" applyBorder="1" applyAlignment="1">
      <alignment horizontal="right" vertical="top" shrinkToFit="1"/>
    </xf>
    <xf numFmtId="17" fontId="2" fillId="2" borderId="3" xfId="0" applyNumberFormat="1" applyFont="1" applyFill="1" applyBorder="1" applyAlignment="1">
      <alignment horizontal="left" vertical="top" wrapText="1"/>
    </xf>
    <xf numFmtId="168" fontId="6" fillId="0" borderId="8" xfId="0" applyNumberFormat="1" applyFont="1" applyFill="1" applyBorder="1" applyAlignment="1">
      <alignment horizontal="left" vertical="top" wrapText="1"/>
    </xf>
    <xf numFmtId="169" fontId="6" fillId="0" borderId="8" xfId="0" applyNumberFormat="1" applyFont="1" applyFill="1" applyBorder="1" applyAlignment="1">
      <alignment horizontal="left" vertical="top" wrapText="1"/>
    </xf>
    <xf numFmtId="0" fontId="11" fillId="0" borderId="2" xfId="0" applyFont="1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16" fillId="4" borderId="0" xfId="0" applyFont="1" applyFill="1" applyAlignment="1" applyProtection="1">
      <alignment horizontal="left" vertical="top"/>
      <protection locked="0"/>
    </xf>
    <xf numFmtId="0" fontId="17" fillId="5" borderId="0" xfId="0" applyFont="1" applyFill="1" applyProtection="1">
      <protection locked="0"/>
    </xf>
    <xf numFmtId="0" fontId="13" fillId="5" borderId="11" xfId="0" applyFont="1" applyFill="1" applyBorder="1" applyAlignment="1" applyProtection="1">
      <alignment horizontal="center" vertical="center"/>
      <protection locked="0"/>
    </xf>
    <xf numFmtId="0" fontId="0" fillId="6" borderId="11" xfId="0" applyFill="1" applyBorder="1" applyProtection="1">
      <protection locked="0"/>
    </xf>
    <xf numFmtId="0" fontId="13" fillId="5" borderId="11" xfId="0" applyFont="1" applyFill="1" applyBorder="1" applyAlignment="1" applyProtection="1">
      <alignment horizontal="center" wrapText="1"/>
      <protection locked="0"/>
    </xf>
    <xf numFmtId="0" fontId="13" fillId="5" borderId="11" xfId="0" applyFont="1" applyFill="1" applyBorder="1" applyAlignment="1" applyProtection="1">
      <alignment horizontal="center" vertical="center" wrapText="1"/>
      <protection locked="0"/>
    </xf>
    <xf numFmtId="0" fontId="18" fillId="7" borderId="11" xfId="0" applyFont="1" applyFill="1" applyBorder="1" applyAlignment="1" applyProtection="1">
      <alignment horizontal="center" vertical="center" wrapText="1"/>
      <protection locked="0"/>
    </xf>
    <xf numFmtId="3" fontId="0" fillId="6" borderId="11" xfId="0" applyNumberFormat="1" applyFill="1" applyBorder="1" applyAlignment="1" applyProtection="1">
      <alignment horizontal="center"/>
      <protection locked="0"/>
    </xf>
    <xf numFmtId="3" fontId="0" fillId="8" borderId="11" xfId="0" applyNumberFormat="1" applyFill="1" applyBorder="1" applyAlignment="1">
      <alignment horizontal="center"/>
    </xf>
    <xf numFmtId="0" fontId="0" fillId="6" borderId="11" xfId="0" applyFill="1" applyBorder="1" applyAlignment="1" applyProtection="1">
      <alignment horizontal="center"/>
      <protection locked="0"/>
    </xf>
    <xf numFmtId="9" fontId="0" fillId="6" borderId="12" xfId="1" applyFont="1" applyFill="1" applyBorder="1" applyAlignment="1" applyProtection="1">
      <alignment horizontal="center"/>
      <protection locked="0"/>
    </xf>
    <xf numFmtId="3" fontId="0" fillId="8" borderId="12" xfId="0" applyNumberFormat="1" applyFill="1" applyBorder="1" applyAlignment="1">
      <alignment horizontal="center"/>
    </xf>
    <xf numFmtId="0" fontId="14" fillId="6" borderId="11" xfId="0" applyFont="1" applyFill="1" applyBorder="1" applyAlignment="1" applyProtection="1">
      <alignment horizontal="center"/>
      <protection locked="0"/>
    </xf>
    <xf numFmtId="3" fontId="14" fillId="4" borderId="0" xfId="0" applyNumberFormat="1" applyFont="1" applyFill="1" applyProtection="1">
      <protection locked="0"/>
    </xf>
    <xf numFmtId="3" fontId="14" fillId="8" borderId="11" xfId="0" applyNumberFormat="1" applyFont="1" applyFill="1" applyBorder="1" applyAlignment="1">
      <alignment horizontal="center"/>
    </xf>
    <xf numFmtId="0" fontId="0" fillId="4" borderId="0" xfId="0" applyFill="1" applyProtection="1">
      <protection locked="0"/>
    </xf>
    <xf numFmtId="0" fontId="19" fillId="4" borderId="0" xfId="0" applyFont="1" applyFill="1" applyProtection="1">
      <protection locked="0"/>
    </xf>
    <xf numFmtId="0" fontId="13" fillId="5" borderId="11" xfId="0" applyFont="1" applyFill="1" applyBorder="1" applyAlignment="1" applyProtection="1">
      <alignment horizontal="center"/>
      <protection locked="0"/>
    </xf>
    <xf numFmtId="9" fontId="0" fillId="4" borderId="0" xfId="1" applyFont="1" applyFill="1" applyBorder="1" applyAlignment="1" applyProtection="1">
      <alignment horizontal="center"/>
      <protection locked="0"/>
    </xf>
    <xf numFmtId="3" fontId="0" fillId="4" borderId="0" xfId="0" applyNumberFormat="1" applyFill="1" applyAlignment="1">
      <alignment horizontal="center"/>
    </xf>
    <xf numFmtId="3" fontId="14" fillId="4" borderId="0" xfId="0" applyNumberFormat="1" applyFont="1" applyFill="1" applyAlignment="1" applyProtection="1">
      <alignment horizontal="center"/>
      <protection locked="0"/>
    </xf>
    <xf numFmtId="0" fontId="0" fillId="4" borderId="0" xfId="0" applyFill="1"/>
    <xf numFmtId="3" fontId="0" fillId="4" borderId="0" xfId="0" applyNumberFormat="1" applyFill="1" applyAlignment="1" applyProtection="1">
      <alignment horizontal="center"/>
      <protection locked="0"/>
    </xf>
    <xf numFmtId="0" fontId="14" fillId="6" borderId="0" xfId="0" applyFont="1" applyFill="1" applyAlignment="1" applyProtection="1">
      <alignment horizontal="center"/>
      <protection locked="0"/>
    </xf>
    <xf numFmtId="17" fontId="13" fillId="5" borderId="11" xfId="0" applyNumberFormat="1" applyFont="1" applyFill="1" applyBorder="1" applyAlignment="1" applyProtection="1">
      <alignment horizontal="center"/>
      <protection locked="0"/>
    </xf>
    <xf numFmtId="0" fontId="21" fillId="6" borderId="11" xfId="0" applyFont="1" applyFill="1" applyBorder="1" applyAlignment="1" applyProtection="1">
      <alignment vertical="center"/>
      <protection locked="0"/>
    </xf>
    <xf numFmtId="3" fontId="0" fillId="9" borderId="11" xfId="0" applyNumberFormat="1" applyFill="1" applyBorder="1" applyAlignment="1">
      <alignment horizontal="center"/>
    </xf>
    <xf numFmtId="0" fontId="22" fillId="6" borderId="11" xfId="0" applyFont="1" applyFill="1" applyBorder="1" applyAlignment="1" applyProtection="1">
      <alignment horizontal="left" vertical="center"/>
      <protection locked="0"/>
    </xf>
    <xf numFmtId="0" fontId="23" fillId="6" borderId="11" xfId="0" applyFont="1" applyFill="1" applyBorder="1" applyAlignment="1" applyProtection="1">
      <alignment vertical="center"/>
      <protection locked="0"/>
    </xf>
    <xf numFmtId="3" fontId="14" fillId="9" borderId="11" xfId="0" applyNumberFormat="1" applyFont="1" applyFill="1" applyBorder="1" applyAlignment="1">
      <alignment horizontal="center"/>
    </xf>
    <xf numFmtId="0" fontId="15" fillId="5" borderId="0" xfId="0" applyFont="1" applyFill="1" applyProtection="1">
      <protection locked="0"/>
    </xf>
    <xf numFmtId="0" fontId="15" fillId="5" borderId="0" xfId="0" applyFont="1" applyFill="1" applyAlignment="1" applyProtection="1">
      <alignment horizontal="center"/>
      <protection locked="0"/>
    </xf>
    <xf numFmtId="0" fontId="0" fillId="10" borderId="0" xfId="0" applyFill="1" applyAlignment="1" applyProtection="1">
      <alignment horizontal="center"/>
      <protection locked="0"/>
    </xf>
    <xf numFmtId="0" fontId="0" fillId="10" borderId="0" xfId="0" applyFill="1" applyProtection="1">
      <protection locked="0"/>
    </xf>
    <xf numFmtId="0" fontId="13" fillId="5" borderId="19" xfId="0" applyFont="1" applyFill="1" applyBorder="1" applyAlignment="1" applyProtection="1">
      <alignment horizontal="center"/>
      <protection locked="0"/>
    </xf>
    <xf numFmtId="0" fontId="13" fillId="5" borderId="20" xfId="0" applyFont="1" applyFill="1" applyBorder="1" applyAlignment="1" applyProtection="1">
      <alignment horizontal="center"/>
      <protection locked="0"/>
    </xf>
    <xf numFmtId="0" fontId="13" fillId="5" borderId="21" xfId="0" applyFont="1" applyFill="1" applyBorder="1" applyAlignment="1" applyProtection="1">
      <alignment horizontal="center"/>
      <protection locked="0"/>
    </xf>
    <xf numFmtId="0" fontId="13" fillId="5" borderId="22" xfId="0" applyFont="1" applyFill="1" applyBorder="1" applyAlignment="1" applyProtection="1">
      <alignment horizontal="center"/>
      <protection locked="0"/>
    </xf>
    <xf numFmtId="0" fontId="13" fillId="5" borderId="23" xfId="0" applyFont="1" applyFill="1" applyBorder="1" applyAlignment="1" applyProtection="1">
      <alignment horizontal="center"/>
      <protection locked="0"/>
    </xf>
    <xf numFmtId="0" fontId="13" fillId="5" borderId="24" xfId="0" applyFont="1" applyFill="1" applyBorder="1" applyAlignment="1" applyProtection="1">
      <alignment horizontal="center"/>
      <protection locked="0"/>
    </xf>
    <xf numFmtId="0" fontId="13" fillId="5" borderId="25" xfId="0" applyFont="1" applyFill="1" applyBorder="1" applyAlignment="1" applyProtection="1">
      <alignment horizontal="center"/>
      <protection locked="0"/>
    </xf>
    <xf numFmtId="0" fontId="13" fillId="5" borderId="26" xfId="0" applyFont="1" applyFill="1" applyBorder="1" applyAlignment="1" applyProtection="1">
      <alignment horizontal="center"/>
      <protection locked="0"/>
    </xf>
    <xf numFmtId="0" fontId="14" fillId="6" borderId="27" xfId="0" applyFont="1" applyFill="1" applyBorder="1" applyProtection="1">
      <protection locked="0"/>
    </xf>
    <xf numFmtId="3" fontId="0" fillId="6" borderId="28" xfId="0" applyNumberFormat="1" applyFill="1" applyBorder="1" applyAlignment="1" applyProtection="1">
      <alignment horizontal="center"/>
      <protection locked="0"/>
    </xf>
    <xf numFmtId="3" fontId="0" fillId="8" borderId="29" xfId="0" applyNumberFormat="1" applyFill="1" applyBorder="1" applyAlignment="1">
      <alignment horizontal="center"/>
    </xf>
    <xf numFmtId="3" fontId="0" fillId="6" borderId="12" xfId="0" applyNumberFormat="1" applyFill="1" applyBorder="1" applyAlignment="1" applyProtection="1">
      <alignment horizontal="center"/>
      <protection locked="0"/>
    </xf>
    <xf numFmtId="9" fontId="0" fillId="6" borderId="11" xfId="1" applyFont="1" applyFill="1" applyBorder="1" applyAlignment="1" applyProtection="1">
      <alignment horizontal="center"/>
      <protection locked="0"/>
    </xf>
    <xf numFmtId="3" fontId="0" fillId="9" borderId="12" xfId="0" applyNumberFormat="1" applyFill="1" applyBorder="1" applyAlignment="1">
      <alignment horizontal="center"/>
    </xf>
    <xf numFmtId="0" fontId="14" fillId="6" borderId="30" xfId="0" applyFont="1" applyFill="1" applyBorder="1" applyProtection="1">
      <protection locked="0"/>
    </xf>
    <xf numFmtId="0" fontId="0" fillId="6" borderId="11" xfId="0" applyFill="1" applyBorder="1" applyAlignment="1" applyProtection="1">
      <alignment horizontal="left"/>
      <protection locked="0"/>
    </xf>
    <xf numFmtId="3" fontId="0" fillId="8" borderId="11" xfId="0" applyNumberFormat="1" applyFill="1" applyBorder="1"/>
    <xf numFmtId="3" fontId="0" fillId="8" borderId="11" xfId="0" applyNumberFormat="1" applyFill="1" applyBorder="1" applyAlignment="1">
      <alignment horizontal="right"/>
    </xf>
    <xf numFmtId="0" fontId="0" fillId="6" borderId="28" xfId="0" applyFill="1" applyBorder="1" applyProtection="1">
      <protection locked="0"/>
    </xf>
    <xf numFmtId="0" fontId="0" fillId="8" borderId="11" xfId="0" applyFill="1" applyBorder="1"/>
    <xf numFmtId="0" fontId="14" fillId="6" borderId="31" xfId="0" applyFont="1" applyFill="1" applyBorder="1" applyProtection="1">
      <protection locked="0"/>
    </xf>
    <xf numFmtId="0" fontId="14" fillId="10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0" fillId="0" borderId="0" xfId="0" applyProtection="1">
      <protection locked="0"/>
    </xf>
    <xf numFmtId="0" fontId="0" fillId="10" borderId="0" xfId="0" applyFill="1" applyAlignment="1" applyProtection="1">
      <alignment horizontal="right"/>
      <protection locked="0"/>
    </xf>
    <xf numFmtId="170" fontId="0" fillId="8" borderId="0" xfId="1" applyNumberFormat="1" applyFont="1" applyFill="1" applyAlignment="1" applyProtection="1">
      <alignment horizontal="center"/>
      <protection locked="0"/>
    </xf>
    <xf numFmtId="0" fontId="25" fillId="10" borderId="0" xfId="0" applyFont="1" applyFill="1" applyProtection="1">
      <protection locked="0"/>
    </xf>
    <xf numFmtId="0" fontId="26" fillId="10" borderId="0" xfId="0" applyFont="1" applyFill="1" applyProtection="1">
      <protection locked="0"/>
    </xf>
    <xf numFmtId="3" fontId="0" fillId="10" borderId="0" xfId="0" applyNumberFormat="1" applyFill="1" applyProtection="1">
      <protection locked="0"/>
    </xf>
    <xf numFmtId="3" fontId="0" fillId="10" borderId="0" xfId="0" applyNumberFormat="1" applyFill="1" applyAlignment="1" applyProtection="1">
      <alignment horizontal="center"/>
      <protection locked="0"/>
    </xf>
    <xf numFmtId="4" fontId="0" fillId="10" borderId="0" xfId="0" applyNumberFormat="1" applyFill="1" applyAlignment="1" applyProtection="1">
      <alignment horizontal="center"/>
      <protection locked="0"/>
    </xf>
    <xf numFmtId="4" fontId="0" fillId="10" borderId="0" xfId="0" applyNumberFormat="1" applyFill="1" applyProtection="1">
      <protection locked="0"/>
    </xf>
    <xf numFmtId="0" fontId="13" fillId="5" borderId="32" xfId="0" applyFont="1" applyFill="1" applyBorder="1" applyProtection="1">
      <protection locked="0"/>
    </xf>
    <xf numFmtId="0" fontId="0" fillId="11" borderId="12" xfId="0" applyFill="1" applyBorder="1" applyProtection="1">
      <protection locked="0"/>
    </xf>
    <xf numFmtId="3" fontId="0" fillId="8" borderId="12" xfId="0" applyNumberFormat="1" applyFill="1" applyBorder="1" applyAlignment="1" applyProtection="1">
      <alignment horizontal="center"/>
      <protection hidden="1"/>
    </xf>
    <xf numFmtId="0" fontId="0" fillId="11" borderId="11" xfId="0" applyFill="1" applyBorder="1" applyProtection="1">
      <protection locked="0"/>
    </xf>
    <xf numFmtId="3" fontId="0" fillId="8" borderId="11" xfId="0" applyNumberFormat="1" applyFill="1" applyBorder="1" applyAlignment="1" applyProtection="1">
      <alignment horizontal="center"/>
      <protection hidden="1"/>
    </xf>
    <xf numFmtId="0" fontId="27" fillId="11" borderId="11" xfId="0" applyFont="1" applyFill="1" applyBorder="1" applyProtection="1">
      <protection locked="0"/>
    </xf>
    <xf numFmtId="3" fontId="14" fillId="8" borderId="11" xfId="0" applyNumberFormat="1" applyFont="1" applyFill="1" applyBorder="1" applyAlignment="1" applyProtection="1">
      <alignment horizontal="center"/>
      <protection hidden="1"/>
    </xf>
    <xf numFmtId="10" fontId="0" fillId="10" borderId="0" xfId="1" applyNumberFormat="1" applyFont="1" applyFill="1" applyProtection="1">
      <protection locked="0"/>
    </xf>
    <xf numFmtId="0" fontId="0" fillId="11" borderId="33" xfId="0" applyFill="1" applyBorder="1" applyProtection="1">
      <protection locked="0"/>
    </xf>
    <xf numFmtId="3" fontId="0" fillId="8" borderId="33" xfId="0" applyNumberFormat="1" applyFill="1" applyBorder="1" applyAlignment="1" applyProtection="1">
      <alignment horizontal="center"/>
      <protection hidden="1"/>
    </xf>
    <xf numFmtId="0" fontId="27" fillId="11" borderId="34" xfId="0" applyFont="1" applyFill="1" applyBorder="1" applyProtection="1">
      <protection locked="0"/>
    </xf>
    <xf numFmtId="3" fontId="0" fillId="8" borderId="35" xfId="0" applyNumberFormat="1" applyFill="1" applyBorder="1" applyAlignment="1" applyProtection="1">
      <alignment horizontal="center"/>
      <protection hidden="1"/>
    </xf>
    <xf numFmtId="3" fontId="14" fillId="8" borderId="35" xfId="0" applyNumberFormat="1" applyFont="1" applyFill="1" applyBorder="1" applyAlignment="1" applyProtection="1">
      <alignment horizontal="center"/>
      <protection hidden="1"/>
    </xf>
    <xf numFmtId="0" fontId="0" fillId="12" borderId="12" xfId="0" quotePrefix="1" applyFill="1" applyBorder="1" applyProtection="1">
      <protection locked="0"/>
    </xf>
    <xf numFmtId="0" fontId="0" fillId="12" borderId="11" xfId="0" quotePrefix="1" applyFill="1" applyBorder="1" applyProtection="1">
      <protection locked="0"/>
    </xf>
    <xf numFmtId="0" fontId="27" fillId="12" borderId="11" xfId="0" applyFont="1" applyFill="1" applyBorder="1" applyProtection="1">
      <protection locked="0"/>
    </xf>
    <xf numFmtId="0" fontId="0" fillId="12" borderId="11" xfId="0" applyFill="1" applyBorder="1" applyProtection="1">
      <protection locked="0"/>
    </xf>
    <xf numFmtId="0" fontId="0" fillId="12" borderId="33" xfId="0" quotePrefix="1" applyFill="1" applyBorder="1" applyProtection="1">
      <protection locked="0"/>
    </xf>
    <xf numFmtId="0" fontId="0" fillId="12" borderId="36" xfId="0" quotePrefix="1" applyFill="1" applyBorder="1" applyProtection="1">
      <protection locked="0"/>
    </xf>
    <xf numFmtId="3" fontId="0" fillId="8" borderId="36" xfId="0" applyNumberFormat="1" applyFill="1" applyBorder="1" applyAlignment="1" applyProtection="1">
      <alignment horizontal="center"/>
      <protection hidden="1"/>
    </xf>
    <xf numFmtId="0" fontId="13" fillId="12" borderId="21" xfId="0" applyFont="1" applyFill="1" applyBorder="1" applyProtection="1">
      <protection locked="0"/>
    </xf>
    <xf numFmtId="3" fontId="14" fillId="8" borderId="37" xfId="0" applyNumberFormat="1" applyFont="1" applyFill="1" applyBorder="1" applyAlignment="1" applyProtection="1">
      <alignment horizontal="center"/>
      <protection hidden="1"/>
    </xf>
    <xf numFmtId="0" fontId="0" fillId="3" borderId="12" xfId="0" applyFill="1" applyBorder="1" applyProtection="1">
      <protection locked="0"/>
    </xf>
    <xf numFmtId="0" fontId="0" fillId="3" borderId="11" xfId="0" quotePrefix="1" applyFill="1" applyBorder="1" applyProtection="1">
      <protection locked="0"/>
    </xf>
    <xf numFmtId="0" fontId="0" fillId="3" borderId="33" xfId="0" applyFill="1" applyBorder="1" applyProtection="1">
      <protection locked="0"/>
    </xf>
    <xf numFmtId="0" fontId="13" fillId="13" borderId="32" xfId="0" applyFont="1" applyFill="1" applyBorder="1" applyProtection="1">
      <protection locked="0"/>
    </xf>
    <xf numFmtId="3" fontId="14" fillId="8" borderId="38" xfId="0" applyNumberFormat="1" applyFont="1" applyFill="1" applyBorder="1" applyAlignment="1" applyProtection="1">
      <alignment horizontal="center"/>
      <protection hidden="1"/>
    </xf>
    <xf numFmtId="3" fontId="14" fillId="10" borderId="0" xfId="0" applyNumberFormat="1" applyFont="1" applyFill="1" applyAlignment="1" applyProtection="1">
      <alignment horizontal="center"/>
      <protection locked="0"/>
    </xf>
    <xf numFmtId="0" fontId="14" fillId="10" borderId="11" xfId="0" applyFont="1" applyFill="1" applyBorder="1" applyProtection="1">
      <protection locked="0"/>
    </xf>
    <xf numFmtId="171" fontId="14" fillId="10" borderId="11" xfId="0" applyNumberFormat="1" applyFont="1" applyFill="1" applyBorder="1" applyAlignment="1" applyProtection="1">
      <alignment horizontal="center"/>
      <protection locked="0"/>
    </xf>
    <xf numFmtId="3" fontId="22" fillId="10" borderId="0" xfId="0" applyNumberFormat="1" applyFont="1" applyFill="1" applyProtection="1">
      <protection locked="0"/>
    </xf>
    <xf numFmtId="0" fontId="22" fillId="10" borderId="0" xfId="0" applyFont="1" applyFill="1" applyProtection="1">
      <protection locked="0"/>
    </xf>
    <xf numFmtId="10" fontId="14" fillId="10" borderId="11" xfId="0" applyNumberFormat="1" applyFont="1" applyFill="1" applyBorder="1" applyAlignment="1" applyProtection="1">
      <alignment horizontal="center"/>
      <protection locked="0"/>
    </xf>
    <xf numFmtId="3" fontId="28" fillId="10" borderId="0" xfId="0" applyNumberFormat="1" applyFont="1" applyFill="1" applyProtection="1">
      <protection hidden="1"/>
    </xf>
    <xf numFmtId="3" fontId="28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locked="0"/>
    </xf>
    <xf numFmtId="0" fontId="0" fillId="10" borderId="0" xfId="0" applyFill="1" applyProtection="1">
      <protection hidden="1"/>
    </xf>
    <xf numFmtId="0" fontId="28" fillId="10" borderId="0" xfId="0" applyFont="1" applyFill="1" applyAlignment="1" applyProtection="1">
      <alignment horizontal="center"/>
      <protection hidden="1"/>
    </xf>
    <xf numFmtId="171" fontId="14" fillId="10" borderId="0" xfId="0" applyNumberFormat="1" applyFont="1" applyFill="1" applyAlignment="1" applyProtection="1">
      <alignment horizontal="center"/>
      <protection locked="0"/>
    </xf>
    <xf numFmtId="10" fontId="0" fillId="10" borderId="0" xfId="0" applyNumberFormat="1" applyFill="1" applyProtection="1">
      <protection locked="0"/>
    </xf>
    <xf numFmtId="10" fontId="14" fillId="10" borderId="0" xfId="0" applyNumberFormat="1" applyFont="1" applyFill="1" applyAlignment="1" applyProtection="1">
      <alignment horizontal="center"/>
      <protection locked="0"/>
    </xf>
    <xf numFmtId="3" fontId="28" fillId="10" borderId="0" xfId="0" applyNumberFormat="1" applyFont="1" applyFill="1" applyProtection="1">
      <protection locked="0"/>
    </xf>
    <xf numFmtId="3" fontId="28" fillId="10" borderId="0" xfId="0" applyNumberFormat="1" applyFont="1" applyFill="1" applyAlignment="1" applyProtection="1">
      <alignment horizontal="center"/>
      <protection locked="0"/>
    </xf>
    <xf numFmtId="3" fontId="14" fillId="8" borderId="11" xfId="0" applyNumberFormat="1" applyFont="1" applyFill="1" applyBorder="1" applyAlignment="1">
      <alignment horizontal="center" vertical="center"/>
    </xf>
    <xf numFmtId="3" fontId="13" fillId="5" borderId="0" xfId="0" applyNumberFormat="1" applyFont="1" applyFill="1" applyAlignment="1" applyProtection="1">
      <alignment horizontal="center" vertical="center"/>
      <protection locked="0"/>
    </xf>
    <xf numFmtId="0" fontId="22" fillId="6" borderId="11" xfId="0" applyFont="1" applyFill="1" applyBorder="1" applyProtection="1">
      <protection locked="0"/>
    </xf>
    <xf numFmtId="10" fontId="14" fillId="8" borderId="31" xfId="1" applyNumberFormat="1" applyFont="1" applyFill="1" applyBorder="1" applyAlignment="1" applyProtection="1">
      <alignment horizontal="center" vertical="center"/>
    </xf>
    <xf numFmtId="0" fontId="30" fillId="6" borderId="11" xfId="0" applyFont="1" applyFill="1" applyBorder="1" applyProtection="1">
      <protection locked="0"/>
    </xf>
    <xf numFmtId="3" fontId="30" fillId="8" borderId="11" xfId="0" applyNumberFormat="1" applyFont="1" applyFill="1" applyBorder="1"/>
    <xf numFmtId="0" fontId="11" fillId="6" borderId="11" xfId="0" applyFont="1" applyFill="1" applyBorder="1" applyAlignment="1" applyProtection="1">
      <alignment horizontal="left"/>
      <protection locked="0"/>
    </xf>
    <xf numFmtId="4" fontId="0" fillId="8" borderId="11" xfId="0" applyNumberFormat="1" applyFill="1" applyBorder="1" applyAlignment="1">
      <alignment horizontal="right"/>
    </xf>
    <xf numFmtId="0" fontId="0" fillId="0" borderId="0" xfId="0" applyFill="1" applyBorder="1" applyAlignment="1">
      <alignment horizontal="center" vertical="center"/>
    </xf>
    <xf numFmtId="0" fontId="15" fillId="5" borderId="0" xfId="0" applyFont="1" applyFill="1" applyAlignment="1" applyProtection="1">
      <alignment horizontal="center" vertical="center"/>
      <protection locked="0"/>
    </xf>
    <xf numFmtId="17" fontId="13" fillId="5" borderId="11" xfId="0" applyNumberFormat="1" applyFont="1" applyFill="1" applyBorder="1" applyAlignment="1" applyProtection="1">
      <alignment horizontal="center" vertical="center"/>
      <protection locked="0"/>
    </xf>
    <xf numFmtId="9" fontId="0" fillId="8" borderId="11" xfId="1" applyFont="1" applyFill="1" applyBorder="1" applyAlignment="1">
      <alignment horizontal="center" vertical="center"/>
    </xf>
    <xf numFmtId="3" fontId="0" fillId="8" borderId="11" xfId="0" applyNumberFormat="1" applyFill="1" applyBorder="1" applyAlignment="1">
      <alignment horizontal="center" vertical="center"/>
    </xf>
    <xf numFmtId="3" fontId="30" fillId="8" borderId="11" xfId="0" applyNumberFormat="1" applyFont="1" applyFill="1" applyBorder="1" applyAlignment="1">
      <alignment horizontal="center" vertical="center"/>
    </xf>
    <xf numFmtId="9" fontId="30" fillId="8" borderId="11" xfId="1" applyFont="1" applyFill="1" applyBorder="1" applyAlignment="1">
      <alignment horizontal="center" vertical="center"/>
    </xf>
    <xf numFmtId="0" fontId="11" fillId="6" borderId="11" xfId="0" applyFont="1" applyFill="1" applyBorder="1" applyAlignment="1" applyProtection="1">
      <alignment horizontal="center" vertical="center"/>
      <protection locked="0"/>
    </xf>
    <xf numFmtId="0" fontId="11" fillId="6" borderId="28" xfId="0" applyFont="1" applyFill="1" applyBorder="1" applyAlignment="1" applyProtection="1">
      <alignment horizontal="center" vertical="center"/>
      <protection locked="0"/>
    </xf>
    <xf numFmtId="3" fontId="0" fillId="0" borderId="11" xfId="0" applyNumberFormat="1" applyFill="1" applyBorder="1" applyAlignment="1">
      <alignment horizontal="center" vertical="center"/>
    </xf>
    <xf numFmtId="0" fontId="30" fillId="6" borderId="11" xfId="0" applyFont="1" applyFill="1" applyBorder="1" applyAlignment="1" applyProtection="1">
      <alignment horizontal="center" vertical="center"/>
      <protection locked="0"/>
    </xf>
    <xf numFmtId="3" fontId="11" fillId="6" borderId="11" xfId="0" applyNumberFormat="1" applyFont="1" applyFill="1" applyBorder="1" applyAlignment="1" applyProtection="1">
      <alignment horizontal="center" vertical="center"/>
      <protection locked="0"/>
    </xf>
    <xf numFmtId="0" fontId="22" fillId="6" borderId="31" xfId="0" applyFont="1" applyFill="1" applyBorder="1" applyAlignment="1" applyProtection="1">
      <alignment vertical="center"/>
      <protection locked="0"/>
    </xf>
    <xf numFmtId="0" fontId="27" fillId="6" borderId="31" xfId="0" applyFont="1" applyFill="1" applyBorder="1" applyAlignment="1" applyProtection="1">
      <alignment vertical="center"/>
      <protection locked="0"/>
    </xf>
    <xf numFmtId="0" fontId="14" fillId="6" borderId="0" xfId="0" applyFont="1" applyFill="1" applyAlignment="1" applyProtection="1">
      <alignment vertical="center"/>
      <protection locked="0"/>
    </xf>
    <xf numFmtId="10" fontId="14" fillId="8" borderId="11" xfId="1" applyNumberFormat="1" applyFont="1" applyFill="1" applyBorder="1" applyAlignment="1" applyProtection="1">
      <alignment horizontal="center"/>
    </xf>
    <xf numFmtId="0" fontId="15" fillId="10" borderId="0" xfId="0" applyFont="1" applyFill="1" applyProtection="1">
      <protection locked="0"/>
    </xf>
    <xf numFmtId="0" fontId="32" fillId="10" borderId="0" xfId="0" applyFont="1" applyFill="1" applyProtection="1">
      <protection locked="0"/>
    </xf>
    <xf numFmtId="0" fontId="17" fillId="10" borderId="0" xfId="0" applyFont="1" applyFill="1" applyProtection="1">
      <protection locked="0"/>
    </xf>
    <xf numFmtId="0" fontId="33" fillId="10" borderId="0" xfId="0" applyFont="1" applyFill="1" applyProtection="1">
      <protection locked="0"/>
    </xf>
    <xf numFmtId="0" fontId="33" fillId="6" borderId="0" xfId="0" applyFont="1" applyFill="1" applyProtection="1">
      <protection locked="0"/>
    </xf>
    <xf numFmtId="0" fontId="34" fillId="10" borderId="0" xfId="0" applyFont="1" applyFill="1" applyAlignment="1" applyProtection="1">
      <alignment vertical="center"/>
      <protection locked="0"/>
    </xf>
    <xf numFmtId="0" fontId="35" fillId="10" borderId="0" xfId="2" applyFont="1" applyFill="1" applyProtection="1">
      <protection locked="0"/>
    </xf>
    <xf numFmtId="2" fontId="27" fillId="6" borderId="11" xfId="0" applyNumberFormat="1" applyFont="1" applyFill="1" applyBorder="1" applyAlignment="1" applyProtection="1">
      <alignment horizontal="center"/>
      <protection locked="0"/>
    </xf>
    <xf numFmtId="10" fontId="0" fillId="8" borderId="11" xfId="0" applyNumberFormat="1" applyFill="1" applyBorder="1" applyAlignment="1" applyProtection="1">
      <alignment horizontal="center"/>
      <protection hidden="1"/>
    </xf>
    <xf numFmtId="4" fontId="37" fillId="8" borderId="11" xfId="1" applyNumberFormat="1" applyFont="1" applyFill="1" applyBorder="1" applyAlignment="1" applyProtection="1">
      <alignment horizontal="center"/>
      <protection hidden="1"/>
    </xf>
    <xf numFmtId="0" fontId="0" fillId="6" borderId="11" xfId="0" applyFill="1" applyBorder="1" applyAlignment="1" applyProtection="1">
      <alignment vertical="center"/>
      <protection locked="0"/>
    </xf>
    <xf numFmtId="172" fontId="0" fillId="6" borderId="11" xfId="1" applyNumberFormat="1" applyFont="1" applyFill="1" applyBorder="1" applyAlignment="1" applyProtection="1">
      <alignment horizontal="center" vertical="center"/>
      <protection locked="0"/>
    </xf>
    <xf numFmtId="10" fontId="0" fillId="8" borderId="11" xfId="1" applyNumberFormat="1" applyFont="1" applyFill="1" applyBorder="1" applyAlignment="1" applyProtection="1">
      <alignment horizontal="center" vertical="center"/>
      <protection hidden="1"/>
    </xf>
    <xf numFmtId="10" fontId="0" fillId="6" borderId="11" xfId="1" applyNumberFormat="1" applyFont="1" applyFill="1" applyBorder="1" applyAlignment="1" applyProtection="1">
      <alignment horizontal="center" vertical="center"/>
      <protection locked="0"/>
    </xf>
    <xf numFmtId="0" fontId="39" fillId="6" borderId="13" xfId="0" applyFont="1" applyFill="1" applyBorder="1" applyAlignment="1" applyProtection="1">
      <alignment horizontal="right"/>
      <protection locked="0"/>
    </xf>
    <xf numFmtId="10" fontId="39" fillId="8" borderId="15" xfId="0" applyNumberFormat="1" applyFont="1" applyFill="1" applyBorder="1" applyAlignment="1" applyProtection="1">
      <alignment horizontal="right"/>
      <protection hidden="1"/>
    </xf>
    <xf numFmtId="10" fontId="0" fillId="8" borderId="11" xfId="1" applyNumberFormat="1" applyFont="1" applyFill="1" applyBorder="1" applyAlignment="1" applyProtection="1">
      <alignment horizontal="center"/>
      <protection hidden="1"/>
    </xf>
    <xf numFmtId="0" fontId="34" fillId="6" borderId="39" xfId="0" applyFont="1" applyFill="1" applyBorder="1" applyAlignment="1" applyProtection="1">
      <alignment horizontal="right"/>
      <protection locked="0"/>
    </xf>
    <xf numFmtId="10" fontId="34" fillId="6" borderId="40" xfId="1" applyNumberFormat="1" applyFont="1" applyFill="1" applyBorder="1" applyAlignment="1" applyProtection="1">
      <alignment horizontal="left"/>
      <protection locked="0"/>
    </xf>
    <xf numFmtId="0" fontId="34" fillId="6" borderId="40" xfId="0" applyFont="1" applyFill="1" applyBorder="1" applyProtection="1">
      <protection locked="0"/>
    </xf>
    <xf numFmtId="0" fontId="41" fillId="6" borderId="41" xfId="0" applyFont="1" applyFill="1" applyBorder="1" applyProtection="1">
      <protection locked="0"/>
    </xf>
    <xf numFmtId="10" fontId="34" fillId="6" borderId="42" xfId="1" applyNumberFormat="1" applyFont="1" applyFill="1" applyBorder="1" applyAlignment="1" applyProtection="1">
      <alignment horizontal="left"/>
      <protection locked="0"/>
    </xf>
    <xf numFmtId="0" fontId="34" fillId="6" borderId="42" xfId="0" applyFont="1" applyFill="1" applyBorder="1" applyProtection="1">
      <protection locked="0"/>
    </xf>
    <xf numFmtId="0" fontId="41" fillId="6" borderId="43" xfId="0" applyFont="1" applyFill="1" applyBorder="1" applyProtection="1">
      <protection locked="0"/>
    </xf>
    <xf numFmtId="10" fontId="0" fillId="10" borderId="0" xfId="1" applyNumberFormat="1" applyFont="1" applyFill="1" applyAlignment="1" applyProtection="1">
      <alignment horizontal="center"/>
      <protection locked="0"/>
    </xf>
    <xf numFmtId="10" fontId="19" fillId="8" borderId="15" xfId="0" applyNumberFormat="1" applyFont="1" applyFill="1" applyBorder="1" applyProtection="1">
      <protection locked="0"/>
    </xf>
    <xf numFmtId="0" fontId="41" fillId="6" borderId="32" xfId="0" applyFont="1" applyFill="1" applyBorder="1" applyAlignment="1" applyProtection="1">
      <alignment horizontal="center"/>
      <protection locked="0"/>
    </xf>
    <xf numFmtId="2" fontId="0" fillId="8" borderId="11" xfId="0" applyNumberFormat="1" applyFill="1" applyBorder="1" applyAlignment="1" applyProtection="1">
      <alignment horizontal="center"/>
      <protection hidden="1"/>
    </xf>
    <xf numFmtId="164" fontId="0" fillId="10" borderId="0" xfId="0" applyNumberFormat="1" applyFill="1" applyProtection="1">
      <protection locked="0"/>
    </xf>
    <xf numFmtId="10" fontId="0" fillId="0" borderId="0" xfId="0" applyNumberFormat="1" applyFill="1" applyBorder="1" applyAlignment="1">
      <alignment horizontal="left" vertical="top"/>
    </xf>
    <xf numFmtId="173" fontId="0" fillId="10" borderId="0" xfId="0" applyNumberFormat="1" applyFill="1" applyProtection="1">
      <protection locked="0"/>
    </xf>
    <xf numFmtId="3" fontId="14" fillId="8" borderId="44" xfId="0" applyNumberFormat="1" applyFont="1" applyFill="1" applyBorder="1" applyAlignment="1" applyProtection="1">
      <alignment horizontal="center"/>
      <protection hidden="1"/>
    </xf>
    <xf numFmtId="10" fontId="14" fillId="10" borderId="11" xfId="1" applyNumberFormat="1" applyFont="1" applyFill="1" applyBorder="1" applyAlignment="1" applyProtection="1">
      <alignment horizontal="center"/>
      <protection locked="0"/>
    </xf>
    <xf numFmtId="2" fontId="14" fillId="10" borderId="11" xfId="1" applyNumberFormat="1" applyFont="1" applyFill="1" applyBorder="1" applyAlignment="1" applyProtection="1">
      <alignment horizontal="center"/>
      <protection locked="0"/>
    </xf>
    <xf numFmtId="4" fontId="14" fillId="8" borderId="11" xfId="0" applyNumberFormat="1" applyFont="1" applyFill="1" applyBorder="1" applyAlignment="1">
      <alignment horizontal="center"/>
    </xf>
    <xf numFmtId="3" fontId="14" fillId="8" borderId="34" xfId="0" applyNumberFormat="1" applyFont="1" applyFill="1" applyBorder="1" applyAlignment="1" applyProtection="1">
      <alignment horizontal="center"/>
      <protection locked="0" hidden="1"/>
    </xf>
    <xf numFmtId="3" fontId="0" fillId="0" borderId="0" xfId="0" applyNumberFormat="1" applyFill="1" applyBorder="1" applyAlignment="1">
      <alignment horizontal="left" vertical="top"/>
    </xf>
    <xf numFmtId="165" fontId="0" fillId="0" borderId="0" xfId="3" applyFont="1" applyFill="1" applyBorder="1" applyAlignment="1">
      <alignment horizontal="left" vertical="top"/>
    </xf>
    <xf numFmtId="9" fontId="0" fillId="0" borderId="0" xfId="0" applyNumberFormat="1" applyFill="1" applyBorder="1" applyAlignment="1">
      <alignment horizontal="left" vertical="top"/>
    </xf>
    <xf numFmtId="3" fontId="14" fillId="8" borderId="0" xfId="0" applyNumberFormat="1" applyFont="1" applyFill="1" applyAlignment="1" applyProtection="1">
      <alignment horizontal="center"/>
      <protection hidden="1"/>
    </xf>
    <xf numFmtId="3" fontId="14" fillId="8" borderId="34" xfId="0" applyNumberFormat="1" applyFont="1" applyFill="1" applyBorder="1" applyAlignment="1" applyProtection="1">
      <alignment horizontal="center"/>
      <protection hidden="1"/>
    </xf>
    <xf numFmtId="0" fontId="13" fillId="10" borderId="0" xfId="0" applyFont="1" applyFill="1" applyProtection="1">
      <protection locked="0"/>
    </xf>
    <xf numFmtId="0" fontId="17" fillId="5" borderId="0" xfId="0" applyFont="1" applyFill="1" applyAlignment="1" applyProtection="1">
      <alignment wrapText="1"/>
      <protection locked="0"/>
    </xf>
    <xf numFmtId="0" fontId="11" fillId="11" borderId="33" xfId="0" applyFont="1" applyFill="1" applyBorder="1" applyProtection="1">
      <protection locked="0"/>
    </xf>
    <xf numFmtId="0" fontId="11" fillId="12" borderId="11" xfId="0" quotePrefix="1" applyFont="1" applyFill="1" applyBorder="1" applyProtection="1">
      <protection locked="0"/>
    </xf>
    <xf numFmtId="9" fontId="0" fillId="10" borderId="0" xfId="0" applyNumberFormat="1" applyFill="1" applyProtection="1">
      <protection locked="0"/>
    </xf>
    <xf numFmtId="4" fontId="14" fillId="8" borderId="11" xfId="1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left" vertical="top"/>
    </xf>
    <xf numFmtId="9" fontId="0" fillId="0" borderId="11" xfId="0" applyNumberFormat="1" applyFill="1" applyBorder="1" applyAlignment="1">
      <alignment horizontal="left" vertical="top"/>
    </xf>
    <xf numFmtId="10" fontId="46" fillId="0" borderId="11" xfId="9" applyNumberFormat="1" applyFont="1" applyFill="1" applyBorder="1" applyAlignment="1">
      <alignment horizontal="center" vertical="center"/>
    </xf>
    <xf numFmtId="174" fontId="46" fillId="0" borderId="11" xfId="4" applyNumberFormat="1" applyFont="1" applyFill="1" applyBorder="1" applyAlignment="1">
      <alignment horizontal="center" vertical="center"/>
    </xf>
    <xf numFmtId="175" fontId="46" fillId="0" borderId="11" xfId="11" applyNumberFormat="1" applyFont="1" applyFill="1" applyBorder="1" applyAlignment="1">
      <alignment horizontal="center" vertical="center"/>
    </xf>
    <xf numFmtId="0" fontId="47" fillId="3" borderId="11" xfId="5" applyFont="1" applyFill="1" applyBorder="1" applyAlignment="1">
      <alignment horizontal="center" vertical="center"/>
    </xf>
    <xf numFmtId="10" fontId="46" fillId="3" borderId="11" xfId="1" applyNumberFormat="1" applyFont="1" applyFill="1" applyBorder="1" applyAlignment="1">
      <alignment horizontal="center" vertical="center"/>
    </xf>
    <xf numFmtId="0" fontId="0" fillId="0" borderId="0" xfId="0" applyFill="1"/>
    <xf numFmtId="0" fontId="43" fillId="0" borderId="11" xfId="5" applyFont="1" applyFill="1" applyBorder="1" applyAlignment="1">
      <alignment horizontal="center" vertical="center" wrapText="1"/>
    </xf>
    <xf numFmtId="172" fontId="45" fillId="0" borderId="11" xfId="1" applyNumberFormat="1" applyFont="1" applyFill="1" applyBorder="1" applyAlignment="1">
      <alignment horizontal="center" vertical="center" wrapText="1"/>
    </xf>
    <xf numFmtId="10" fontId="45" fillId="0" borderId="11" xfId="1" applyNumberFormat="1" applyFont="1" applyFill="1" applyBorder="1" applyAlignment="1">
      <alignment horizontal="center" vertical="center" wrapText="1"/>
    </xf>
    <xf numFmtId="10" fontId="46" fillId="0" borderId="11" xfId="7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47" fillId="0" borderId="31" xfId="5" applyFont="1" applyFill="1" applyBorder="1" applyAlignment="1">
      <alignment horizontal="left" vertical="center" wrapText="1"/>
    </xf>
    <xf numFmtId="0" fontId="48" fillId="0" borderId="11" xfId="6" applyFont="1" applyFill="1" applyBorder="1" applyAlignment="1">
      <alignment vertical="center"/>
    </xf>
    <xf numFmtId="40" fontId="47" fillId="0" borderId="11" xfId="8" applyNumberFormat="1" applyFont="1" applyFill="1" applyBorder="1" applyAlignment="1">
      <alignment horizontal="center" vertical="center"/>
    </xf>
    <xf numFmtId="0" fontId="46" fillId="0" borderId="31" xfId="5" applyFont="1" applyFill="1" applyBorder="1" applyAlignment="1">
      <alignment horizontal="center" vertical="center" wrapText="1"/>
    </xf>
    <xf numFmtId="0" fontId="45" fillId="0" borderId="11" xfId="6" applyFont="1" applyFill="1" applyBorder="1" applyAlignment="1">
      <alignment vertical="center"/>
    </xf>
    <xf numFmtId="4" fontId="46" fillId="0" borderId="11" xfId="10" applyNumberFormat="1" applyFont="1" applyFill="1" applyBorder="1" applyAlignment="1">
      <alignment horizontal="center" vertical="center"/>
    </xf>
    <xf numFmtId="174" fontId="48" fillId="0" borderId="11" xfId="6" applyNumberFormat="1" applyFont="1" applyFill="1" applyBorder="1" applyAlignment="1">
      <alignment vertical="center"/>
    </xf>
    <xf numFmtId="0" fontId="47" fillId="0" borderId="31" xfId="5" applyFont="1" applyFill="1" applyBorder="1" applyAlignment="1">
      <alignment horizontal="center" vertical="center" wrapText="1"/>
    </xf>
    <xf numFmtId="0" fontId="47" fillId="0" borderId="11" xfId="5" applyFont="1" applyFill="1" applyBorder="1" applyAlignment="1">
      <alignment horizontal="center" vertical="center" wrapText="1"/>
    </xf>
    <xf numFmtId="0" fontId="46" fillId="0" borderId="11" xfId="5" applyFont="1" applyFill="1" applyBorder="1" applyAlignment="1">
      <alignment horizontal="center" vertical="center" wrapText="1"/>
    </xf>
    <xf numFmtId="0" fontId="48" fillId="0" borderId="11" xfId="6" applyFont="1" applyFill="1" applyBorder="1" applyAlignment="1">
      <alignment horizontal="center" vertical="center"/>
    </xf>
    <xf numFmtId="174" fontId="47" fillId="0" borderId="11" xfId="5" applyNumberFormat="1" applyFont="1" applyFill="1" applyBorder="1" applyAlignment="1">
      <alignment horizontal="center" vertical="center"/>
    </xf>
    <xf numFmtId="174" fontId="46" fillId="0" borderId="11" xfId="5" applyNumberFormat="1" applyFont="1" applyFill="1" applyBorder="1" applyAlignment="1">
      <alignment horizontal="center" vertical="center"/>
    </xf>
    <xf numFmtId="0" fontId="47" fillId="0" borderId="11" xfId="5" applyFont="1" applyFill="1" applyBorder="1" applyAlignment="1">
      <alignment horizontal="center" vertical="center"/>
    </xf>
    <xf numFmtId="10" fontId="46" fillId="0" borderId="11" xfId="5" applyNumberFormat="1" applyFont="1" applyFill="1" applyBorder="1" applyAlignment="1">
      <alignment horizontal="center" vertical="center"/>
    </xf>
    <xf numFmtId="3" fontId="46" fillId="0" borderId="11" xfId="5" applyNumberFormat="1" applyFont="1" applyFill="1" applyBorder="1" applyAlignment="1">
      <alignment horizontal="center" vertical="center"/>
    </xf>
    <xf numFmtId="10" fontId="42" fillId="0" borderId="0" xfId="0" applyNumberFormat="1" applyFont="1" applyFill="1"/>
    <xf numFmtId="0" fontId="44" fillId="0" borderId="0" xfId="0" applyFont="1" applyFill="1"/>
    <xf numFmtId="10" fontId="0" fillId="0" borderId="0" xfId="0" applyNumberFormat="1" applyFill="1"/>
    <xf numFmtId="0" fontId="50" fillId="0" borderId="0" xfId="0" applyFont="1" applyFill="1"/>
    <xf numFmtId="0" fontId="45" fillId="0" borderId="31" xfId="6" applyFont="1" applyFill="1" applyBorder="1" applyAlignment="1">
      <alignment vertical="center"/>
    </xf>
    <xf numFmtId="10" fontId="45" fillId="0" borderId="11" xfId="6" applyNumberFormat="1" applyFont="1" applyFill="1" applyBorder="1" applyAlignment="1">
      <alignment horizontal="center"/>
    </xf>
    <xf numFmtId="43" fontId="45" fillId="0" borderId="11" xfId="6" applyNumberFormat="1" applyFont="1" applyFill="1" applyBorder="1" applyAlignment="1">
      <alignment horizontal="center" vertical="center"/>
    </xf>
    <xf numFmtId="10" fontId="45" fillId="0" borderId="11" xfId="6" applyNumberFormat="1" applyFont="1" applyFill="1" applyBorder="1" applyAlignment="1">
      <alignment horizontal="center" vertical="center"/>
    </xf>
    <xf numFmtId="0" fontId="22" fillId="0" borderId="0" xfId="0" applyFont="1" applyFill="1" applyAlignment="1">
      <alignment horizontal="center"/>
    </xf>
    <xf numFmtId="0" fontId="32" fillId="5" borderId="0" xfId="0" applyFont="1" applyFill="1" applyProtection="1">
      <protection locked="0"/>
    </xf>
    <xf numFmtId="0" fontId="27" fillId="5" borderId="11" xfId="0" applyFont="1" applyFill="1" applyBorder="1" applyAlignment="1" applyProtection="1">
      <alignment horizontal="center" vertical="center"/>
      <protection locked="0"/>
    </xf>
    <xf numFmtId="0" fontId="0" fillId="5" borderId="0" xfId="0" applyFill="1" applyProtection="1">
      <protection locked="0"/>
    </xf>
    <xf numFmtId="0" fontId="50" fillId="14" borderId="3" xfId="0" applyFont="1" applyFill="1" applyBorder="1" applyProtection="1">
      <protection locked="0"/>
    </xf>
    <xf numFmtId="4" fontId="0" fillId="6" borderId="11" xfId="0" applyNumberFormat="1" applyFill="1" applyBorder="1" applyAlignment="1" applyProtection="1">
      <alignment horizontal="center"/>
      <protection locked="0"/>
    </xf>
    <xf numFmtId="0" fontId="11" fillId="8" borderId="1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top"/>
    </xf>
    <xf numFmtId="0" fontId="11" fillId="0" borderId="1" xfId="0" applyFont="1" applyFill="1" applyBorder="1" applyAlignment="1">
      <alignment horizontal="center" vertical="top"/>
    </xf>
    <xf numFmtId="0" fontId="9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13" fillId="5" borderId="13" xfId="0" applyFont="1" applyFill="1" applyBorder="1" applyAlignment="1" applyProtection="1">
      <alignment horizontal="center"/>
      <protection locked="0"/>
    </xf>
    <xf numFmtId="0" fontId="13" fillId="5" borderId="14" xfId="0" applyFont="1" applyFill="1" applyBorder="1" applyAlignment="1" applyProtection="1">
      <alignment horizontal="center"/>
      <protection locked="0"/>
    </xf>
    <xf numFmtId="0" fontId="13" fillId="5" borderId="15" xfId="0" applyFont="1" applyFill="1" applyBorder="1" applyAlignment="1" applyProtection="1">
      <alignment horizontal="center"/>
      <protection locked="0"/>
    </xf>
    <xf numFmtId="0" fontId="13" fillId="5" borderId="16" xfId="0" applyFont="1" applyFill="1" applyBorder="1" applyAlignment="1" applyProtection="1">
      <alignment horizontal="center"/>
      <protection locked="0"/>
    </xf>
    <xf numFmtId="0" fontId="13" fillId="5" borderId="17" xfId="0" applyFont="1" applyFill="1" applyBorder="1" applyAlignment="1" applyProtection="1">
      <alignment horizontal="center"/>
      <protection locked="0"/>
    </xf>
    <xf numFmtId="0" fontId="13" fillId="5" borderId="18" xfId="0" applyFont="1" applyFill="1" applyBorder="1" applyAlignment="1" applyProtection="1">
      <alignment horizontal="center"/>
      <protection locked="0"/>
    </xf>
    <xf numFmtId="0" fontId="17" fillId="5" borderId="11" xfId="0" applyFont="1" applyFill="1" applyBorder="1" applyAlignment="1" applyProtection="1">
      <alignment horizontal="center" vertical="center" wrapText="1"/>
      <protection locked="0"/>
    </xf>
    <xf numFmtId="0" fontId="11" fillId="0" borderId="0" xfId="0" applyFont="1" applyFill="1" applyBorder="1" applyAlignment="1">
      <alignment horizontal="center" vertical="top" wrapText="1"/>
    </xf>
    <xf numFmtId="0" fontId="17" fillId="5" borderId="0" xfId="0" applyFont="1" applyFill="1" applyAlignment="1" applyProtection="1">
      <alignment horizontal="center"/>
      <protection locked="0"/>
    </xf>
  </cellXfs>
  <cellStyles count="12">
    <cellStyle name="Hipervínculo" xfId="2" builtinId="8"/>
    <cellStyle name="Millares" xfId="4" builtinId="3"/>
    <cellStyle name="Moneda" xfId="3" builtinId="4"/>
    <cellStyle name="Normal" xfId="0" builtinId="0"/>
    <cellStyle name="Normal 11" xfId="10"/>
    <cellStyle name="Normal 2 2 2" xfId="6"/>
    <cellStyle name="Normal 2 2 2 2" xfId="8"/>
    <cellStyle name="Normal 6 2" xfId="5"/>
    <cellStyle name="Porcentaje" xfId="1" builtinId="5"/>
    <cellStyle name="Porcentaje 2 4" xfId="9"/>
    <cellStyle name="Porcentaje 3 2 2" xfId="11"/>
    <cellStyle name="Porcentaje 4" xfId="7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447675</xdr:colOff>
      <xdr:row>0</xdr:row>
      <xdr:rowOff>0</xdr:rowOff>
    </xdr:from>
    <xdr:to>
      <xdr:col>19</xdr:col>
      <xdr:colOff>76199</xdr:colOff>
      <xdr:row>8</xdr:row>
      <xdr:rowOff>79468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A724F2B-852D-4E01-99F0-D55D0607B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683231"/>
          <a:ext cx="3895725" cy="1698717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0</xdr:row>
      <xdr:rowOff>0</xdr:rowOff>
    </xdr:from>
    <xdr:to>
      <xdr:col>19</xdr:col>
      <xdr:colOff>233603</xdr:colOff>
      <xdr:row>7</xdr:row>
      <xdr:rowOff>70105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3DDAC1C-74D4-4DDE-A97C-15F18909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9725" y="2381250"/>
          <a:ext cx="3995979" cy="1543679"/>
        </a:xfrm>
        <a:prstGeom prst="rect">
          <a:avLst/>
        </a:prstGeom>
      </xdr:spPr>
    </xdr:pic>
    <xdr:clientData/>
  </xdr:twoCellAnchor>
  <xdr:twoCellAnchor editAs="oneCell">
    <xdr:from>
      <xdr:col>9</xdr:col>
      <xdr:colOff>76201</xdr:colOff>
      <xdr:row>0</xdr:row>
      <xdr:rowOff>0</xdr:rowOff>
    </xdr:from>
    <xdr:to>
      <xdr:col>11</xdr:col>
      <xdr:colOff>460618</xdr:colOff>
      <xdr:row>14</xdr:row>
      <xdr:rowOff>71746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ED09FE0-505A-455D-BA37-0629E3D2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01" y="619124"/>
          <a:ext cx="1451216" cy="2667589"/>
        </a:xfrm>
        <a:prstGeom prst="rect">
          <a:avLst/>
        </a:prstGeom>
      </xdr:spPr>
    </xdr:pic>
    <xdr:clientData/>
  </xdr:twoCellAnchor>
  <xdr:twoCellAnchor editAs="oneCell">
    <xdr:from>
      <xdr:col>8</xdr:col>
      <xdr:colOff>407335</xdr:colOff>
      <xdr:row>14</xdr:row>
      <xdr:rowOff>61793</xdr:rowOff>
    </xdr:from>
    <xdr:to>
      <xdr:col>15</xdr:col>
      <xdr:colOff>26335</xdr:colOff>
      <xdr:row>19</xdr:row>
      <xdr:rowOff>153578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67C3B4A-9862-4CA8-939D-40DC9EA6C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93717" y="2583117"/>
          <a:ext cx="3384177" cy="1257196"/>
        </a:xfrm>
        <a:prstGeom prst="rect">
          <a:avLst/>
        </a:prstGeom>
      </xdr:spPr>
    </xdr:pic>
    <xdr:clientData/>
  </xdr:twoCellAnchor>
  <xdr:twoCellAnchor editAs="oneCell">
    <xdr:from>
      <xdr:col>8</xdr:col>
      <xdr:colOff>449356</xdr:colOff>
      <xdr:row>21</xdr:row>
      <xdr:rowOff>0</xdr:rowOff>
    </xdr:from>
    <xdr:to>
      <xdr:col>14</xdr:col>
      <xdr:colOff>449357</xdr:colOff>
      <xdr:row>28</xdr:row>
      <xdr:rowOff>117542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8A84CB7-C95C-4B8B-8A2B-51BF4FCEA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5738" y="4060112"/>
          <a:ext cx="3227295" cy="1372601"/>
        </a:xfrm>
        <a:prstGeom prst="rect">
          <a:avLst/>
        </a:prstGeom>
      </xdr:spPr>
    </xdr:pic>
    <xdr:clientData/>
  </xdr:twoCellAnchor>
  <xdr:twoCellAnchor editAs="oneCell">
    <xdr:from>
      <xdr:col>14</xdr:col>
      <xdr:colOff>397810</xdr:colOff>
      <xdr:row>10</xdr:row>
      <xdr:rowOff>17403</xdr:rowOff>
    </xdr:from>
    <xdr:to>
      <xdr:col>20</xdr:col>
      <xdr:colOff>497541</xdr:colOff>
      <xdr:row>17</xdr:row>
      <xdr:rowOff>335705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0942EEC-272B-4836-A8B1-B0C65FA8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1486" y="1911197"/>
          <a:ext cx="3327026" cy="1416479"/>
        </a:xfrm>
        <a:prstGeom prst="rect">
          <a:avLst/>
        </a:prstGeom>
      </xdr:spPr>
    </xdr:pic>
    <xdr:clientData/>
  </xdr:twoCellAnchor>
  <xdr:twoCellAnchor editAs="oneCell">
    <xdr:from>
      <xdr:col>8</xdr:col>
      <xdr:colOff>406213</xdr:colOff>
      <xdr:row>28</xdr:row>
      <xdr:rowOff>0</xdr:rowOff>
    </xdr:from>
    <xdr:to>
      <xdr:col>14</xdr:col>
      <xdr:colOff>496963</xdr:colOff>
      <xdr:row>36</xdr:row>
      <xdr:rowOff>51934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27EFF78-9C45-48D3-BA38-595231219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92595" y="6034928"/>
          <a:ext cx="3318044" cy="1302684"/>
        </a:xfrm>
        <a:prstGeom prst="rect">
          <a:avLst/>
        </a:prstGeom>
      </xdr:spPr>
    </xdr:pic>
    <xdr:clientData/>
  </xdr:twoCellAnchor>
  <xdr:twoCellAnchor editAs="oneCell">
    <xdr:from>
      <xdr:col>15</xdr:col>
      <xdr:colOff>34739</xdr:colOff>
      <xdr:row>29</xdr:row>
      <xdr:rowOff>5792</xdr:rowOff>
    </xdr:from>
    <xdr:to>
      <xdr:col>20</xdr:col>
      <xdr:colOff>34739</xdr:colOff>
      <xdr:row>35</xdr:row>
      <xdr:rowOff>109842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91F71E6-46AF-4945-8626-EEF56C36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86298" y="6202645"/>
          <a:ext cx="2689412" cy="1045344"/>
        </a:xfrm>
        <a:prstGeom prst="rect">
          <a:avLst/>
        </a:prstGeom>
      </xdr:spPr>
    </xdr:pic>
    <xdr:clientData/>
  </xdr:twoCellAnchor>
  <xdr:twoCellAnchor editAs="oneCell">
    <xdr:from>
      <xdr:col>15</xdr:col>
      <xdr:colOff>112620</xdr:colOff>
      <xdr:row>20</xdr:row>
      <xdr:rowOff>80681</xdr:rowOff>
    </xdr:from>
    <xdr:to>
      <xdr:col>21</xdr:col>
      <xdr:colOff>400362</xdr:colOff>
      <xdr:row>28</xdr:row>
      <xdr:rowOff>52719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8FAA099-8AE2-4553-B852-498455ED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64179" y="3924299"/>
          <a:ext cx="3515036" cy="1383979"/>
        </a:xfrm>
        <a:prstGeom prst="rect">
          <a:avLst/>
        </a:prstGeom>
      </xdr:spPr>
    </xdr:pic>
    <xdr:clientData/>
  </xdr:twoCellAnchor>
  <xdr:twoCellAnchor editAs="oneCell">
    <xdr:from>
      <xdr:col>8</xdr:col>
      <xdr:colOff>324969</xdr:colOff>
      <xdr:row>36</xdr:row>
      <xdr:rowOff>100853</xdr:rowOff>
    </xdr:from>
    <xdr:to>
      <xdr:col>12</xdr:col>
      <xdr:colOff>486819</xdr:colOff>
      <xdr:row>44</xdr:row>
      <xdr:rowOff>127289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0E324DF-887E-4226-8337-C60C4309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11351" y="7395882"/>
          <a:ext cx="2313380" cy="1281494"/>
        </a:xfrm>
        <a:prstGeom prst="rect">
          <a:avLst/>
        </a:prstGeom>
      </xdr:spPr>
    </xdr:pic>
    <xdr:clientData/>
  </xdr:twoCellAnchor>
  <xdr:twoCellAnchor editAs="oneCell">
    <xdr:from>
      <xdr:col>13</xdr:col>
      <xdr:colOff>437029</xdr:colOff>
      <xdr:row>36</xdr:row>
      <xdr:rowOff>123265</xdr:rowOff>
    </xdr:from>
    <xdr:to>
      <xdr:col>20</xdr:col>
      <xdr:colOff>374117</xdr:colOff>
      <xdr:row>49</xdr:row>
      <xdr:rowOff>86402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7819BE2-E988-4F25-95B4-F3453A71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12823" y="7418294"/>
          <a:ext cx="3702265" cy="2002607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</xdr:colOff>
      <xdr:row>46</xdr:row>
      <xdr:rowOff>56028</xdr:rowOff>
    </xdr:from>
    <xdr:to>
      <xdr:col>14</xdr:col>
      <xdr:colOff>215605</xdr:colOff>
      <xdr:row>53</xdr:row>
      <xdr:rowOff>51023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A789D5C-9179-428C-A8CE-D8EEE19E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57882" y="8919881"/>
          <a:ext cx="2871399" cy="1093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719667</xdr:colOff>
      <xdr:row>6</xdr:row>
      <xdr:rowOff>19853</xdr:rowOff>
    </xdr:from>
    <xdr:to>
      <xdr:col>9</xdr:col>
      <xdr:colOff>138642</xdr:colOff>
      <xdr:row>8</xdr:row>
      <xdr:rowOff>115096</xdr:rowOff>
    </xdr:to>
    <xdr:sp macro="" textlink="">
      <xdr:nvSpPr>
        <xdr:cNvPr id="2" name="Flecha: hacia la izqui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B40C90-75D8-4F30-93C8-40DE353C3EAD}"/>
            </a:ext>
          </a:extLst>
        </xdr:cNvPr>
        <xdr:cNvSpPr/>
      </xdr:nvSpPr>
      <xdr:spPr>
        <a:xfrm>
          <a:off x="8720667" y="1162853"/>
          <a:ext cx="942975" cy="476243"/>
        </a:xfrm>
        <a:prstGeom prst="leftArrow">
          <a:avLst/>
        </a:prstGeom>
        <a:solidFill>
          <a:srgbClr val="99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Ir a Indice</a:t>
          </a:r>
        </a:p>
      </xdr:txBody>
    </xdr:sp>
    <xdr:clientData/>
  </xdr:twoCellAnchor>
  <xdr:twoCellAnchor>
    <xdr:from>
      <xdr:col>7</xdr:col>
      <xdr:colOff>719667</xdr:colOff>
      <xdr:row>6</xdr:row>
      <xdr:rowOff>19853</xdr:rowOff>
    </xdr:from>
    <xdr:to>
      <xdr:col>9</xdr:col>
      <xdr:colOff>138642</xdr:colOff>
      <xdr:row>8</xdr:row>
      <xdr:rowOff>115096</xdr:rowOff>
    </xdr:to>
    <xdr:sp macro="" textlink="">
      <xdr:nvSpPr>
        <xdr:cNvPr id="3" name="Flecha: hacia la izqui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1B2723-DE0A-4C8C-ADC8-B233CF37A005}"/>
            </a:ext>
          </a:extLst>
        </xdr:cNvPr>
        <xdr:cNvSpPr/>
      </xdr:nvSpPr>
      <xdr:spPr>
        <a:xfrm>
          <a:off x="8720667" y="1162853"/>
          <a:ext cx="942975" cy="476243"/>
        </a:xfrm>
        <a:prstGeom prst="leftArrow">
          <a:avLst/>
        </a:prstGeom>
        <a:solidFill>
          <a:srgbClr val="99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Ir a Indice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719667</xdr:colOff>
      <xdr:row>6</xdr:row>
      <xdr:rowOff>19853</xdr:rowOff>
    </xdr:from>
    <xdr:to>
      <xdr:col>9</xdr:col>
      <xdr:colOff>138642</xdr:colOff>
      <xdr:row>8</xdr:row>
      <xdr:rowOff>115096</xdr:rowOff>
    </xdr:to>
    <xdr:sp macro="" textlink="">
      <xdr:nvSpPr>
        <xdr:cNvPr id="2" name="Flecha: hacia la izqui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867A49-D1F1-473C-BFBD-FBFBD833E55E}"/>
            </a:ext>
          </a:extLst>
        </xdr:cNvPr>
        <xdr:cNvSpPr/>
      </xdr:nvSpPr>
      <xdr:spPr>
        <a:xfrm>
          <a:off x="8720667" y="1162853"/>
          <a:ext cx="942975" cy="476243"/>
        </a:xfrm>
        <a:prstGeom prst="leftArrow">
          <a:avLst/>
        </a:prstGeom>
        <a:solidFill>
          <a:srgbClr val="99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Ir a Indice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1062037</xdr:colOff>
      <xdr:row>25</xdr:row>
      <xdr:rowOff>76200</xdr:rowOff>
    </xdr:from>
    <xdr:ext cx="2843213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8125A82-3DBA-4CA9-936B-CEFE50CF5317}"/>
                </a:ext>
              </a:extLst>
            </xdr:cNvPr>
            <xdr:cNvSpPr txBox="1"/>
          </xdr:nvSpPr>
          <xdr:spPr>
            <a:xfrm>
              <a:off x="1747837" y="4819650"/>
              <a:ext cx="2843213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MX" sz="1200"/>
                <a:t>ROI</a:t>
              </a:r>
              <a14:m>
                <m:oMath xmlns:m="http://schemas.openxmlformats.org/officeDocument/2006/math">
                  <m:r>
                    <a:rPr lang="es-MX" sz="12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s-MX" sz="12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𝑈𝐴𝐼𝐼</m:t>
                      </m:r>
                    </m:num>
                    <m:den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𝐴𝑐𝑡𝑖𝑣𝑜𝑠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𝑜𝑝𝑒𝑟𝑎𝑡𝑖𝑣𝑜𝑠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𝑜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𝑖𝑛𝑣𝑒𝑟𝑠𝑖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ó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𝑜𝑝𝑒𝑟𝑎𝑡𝑖𝑣𝑎</m:t>
                      </m:r>
                    </m:den>
                  </m:f>
                </m:oMath>
              </a14:m>
              <a:endParaRPr lang="es-MX" sz="12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8125A82-3DBA-4CA9-936B-CEFE50CF5317}"/>
                </a:ext>
              </a:extLst>
            </xdr:cNvPr>
            <xdr:cNvSpPr txBox="1"/>
          </xdr:nvSpPr>
          <xdr:spPr>
            <a:xfrm>
              <a:off x="1747837" y="4819650"/>
              <a:ext cx="2843213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MX" sz="1200"/>
                <a:t>ROI</a:t>
              </a:r>
              <a:r>
                <a:rPr lang="es-MX" sz="1200" i="0">
                  <a:latin typeface="Cambria Math" panose="02040503050406030204" pitchFamily="18" charset="0"/>
                </a:rPr>
                <a:t>=</a:t>
              </a:r>
              <a:r>
                <a:rPr lang="es-MX" sz="1200" b="0" i="0">
                  <a:latin typeface="Cambria Math" panose="02040503050406030204" pitchFamily="18" charset="0"/>
                </a:rPr>
                <a:t>𝑈𝐴𝐼𝐼/(𝐴𝑐𝑡𝑖𝑣𝑜𝑠 𝑜𝑝𝑒𝑟𝑎𝑡𝑖𝑣𝑜𝑠 𝑜 𝑖𝑛𝑣𝑒𝑟𝑠𝑖ó𝑛 𝑜𝑝𝑒𝑟𝑎𝑡𝑖𝑣𝑎)</a:t>
              </a:r>
              <a:endParaRPr lang="es-MX" sz="1200"/>
            </a:p>
          </xdr:txBody>
        </xdr:sp>
      </mc:Fallback>
    </mc:AlternateContent>
    <xdr:clientData/>
  </xdr:oneCellAnchor>
  <xdr:twoCellAnchor>
    <xdr:from>
      <xdr:col>1</xdr:col>
      <xdr:colOff>1552574</xdr:colOff>
      <xdr:row>29</xdr:row>
      <xdr:rowOff>85725</xdr:rowOff>
    </xdr:from>
    <xdr:to>
      <xdr:col>1</xdr:col>
      <xdr:colOff>2628899</xdr:colOff>
      <xdr:row>31</xdr:row>
      <xdr:rowOff>123824</xdr:rowOff>
    </xdr:to>
    <xdr:sp macro="" textlink="">
      <xdr:nvSpPr>
        <xdr:cNvPr id="5" name="Flecha: a la derecha 4">
          <a:extLst>
            <a:ext uri="{FF2B5EF4-FFF2-40B4-BE49-F238E27FC236}">
              <a16:creationId xmlns:a16="http://schemas.microsoft.com/office/drawing/2014/main" id="{214D06A7-DBDA-42D7-91C4-94EF0B7FAD3B}"/>
            </a:ext>
          </a:extLst>
        </xdr:cNvPr>
        <xdr:cNvSpPr/>
      </xdr:nvSpPr>
      <xdr:spPr>
        <a:xfrm>
          <a:off x="2238374" y="5476875"/>
          <a:ext cx="1076325" cy="419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1447800</xdr:colOff>
      <xdr:row>18</xdr:row>
      <xdr:rowOff>0</xdr:rowOff>
    </xdr:from>
    <xdr:ext cx="2843213" cy="381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D19EFF8-94E2-4F4F-9934-F6EBCC158D5D}"/>
                </a:ext>
              </a:extLst>
            </xdr:cNvPr>
            <xdr:cNvSpPr txBox="1"/>
          </xdr:nvSpPr>
          <xdr:spPr>
            <a:xfrm>
              <a:off x="2133600" y="3629025"/>
              <a:ext cx="2843213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MX" sz="1200"/>
                <a:t>ROI</a:t>
              </a:r>
              <a14:m>
                <m:oMath xmlns:m="http://schemas.openxmlformats.org/officeDocument/2006/math">
                  <m:r>
                    <a:rPr lang="es-MX" sz="120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s-MX" sz="12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𝑈𝐴𝐼𝐼</m:t>
                      </m:r>
                    </m:num>
                    <m:den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𝐴𝑐𝑡𝑖𝑣𝑜𝑠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𝑜𝑝𝑒𝑟𝑎𝑡𝑖𝑣𝑜𝑠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𝑜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𝑖𝑛𝑣𝑒𝑟𝑠𝑖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ó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 </m:t>
                      </m:r>
                      <m:r>
                        <a:rPr lang="es-MX" sz="1200" b="0" i="1">
                          <a:latin typeface="Cambria Math" panose="02040503050406030204" pitchFamily="18" charset="0"/>
                        </a:rPr>
                        <m:t>𝑜𝑝𝑒𝑟𝑎𝑡𝑖𝑣𝑎</m:t>
                      </m:r>
                    </m:den>
                  </m:f>
                </m:oMath>
              </a14:m>
              <a:endParaRPr lang="es-MX" sz="12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D19EFF8-94E2-4F4F-9934-F6EBCC158D5D}"/>
                </a:ext>
              </a:extLst>
            </xdr:cNvPr>
            <xdr:cNvSpPr txBox="1"/>
          </xdr:nvSpPr>
          <xdr:spPr>
            <a:xfrm>
              <a:off x="2133600" y="3629025"/>
              <a:ext cx="2843213" cy="3810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MX" sz="1200"/>
                <a:t>ROI</a:t>
              </a:r>
              <a:r>
                <a:rPr lang="es-MX" sz="1200" i="0">
                  <a:latin typeface="Cambria Math" panose="02040503050406030204" pitchFamily="18" charset="0"/>
                </a:rPr>
                <a:t>=</a:t>
              </a:r>
              <a:r>
                <a:rPr lang="es-MX" sz="1200" b="0" i="0">
                  <a:latin typeface="Cambria Math" panose="02040503050406030204" pitchFamily="18" charset="0"/>
                </a:rPr>
                <a:t>𝑈𝐴𝐼𝐼/(𝐴𝑐𝑡𝑖𝑣𝑜𝑠 𝑜𝑝𝑒𝑟𝑎𝑡𝑖𝑣𝑜𝑠 𝑜 𝑖𝑛𝑣𝑒𝑟𝑠𝑖ó𝑛 𝑜𝑝𝑒𝑟𝑎𝑡𝑖𝑣𝑎)</a:t>
              </a:r>
              <a:endParaRPr lang="es-MX" sz="1200"/>
            </a:p>
          </xdr:txBody>
        </xdr:sp>
      </mc:Fallback>
    </mc:AlternateContent>
    <xdr:clientData/>
  </xdr:oneCellAnchor>
  <xdr:twoCellAnchor>
    <xdr:from>
      <xdr:col>1</xdr:col>
      <xdr:colOff>1419224</xdr:colOff>
      <xdr:row>21</xdr:row>
      <xdr:rowOff>9525</xdr:rowOff>
    </xdr:from>
    <xdr:to>
      <xdr:col>1</xdr:col>
      <xdr:colOff>2162174</xdr:colOff>
      <xdr:row>23</xdr:row>
      <xdr:rowOff>47624</xdr:rowOff>
    </xdr:to>
    <xdr:sp macro="" textlink="">
      <xdr:nvSpPr>
        <xdr:cNvPr id="3" name="Flecha: a la derecha 2">
          <a:extLst>
            <a:ext uri="{FF2B5EF4-FFF2-40B4-BE49-F238E27FC236}">
              <a16:creationId xmlns:a16="http://schemas.microsoft.com/office/drawing/2014/main" id="{DE4AB179-64D2-4233-98B8-D5ED339E7D51}"/>
            </a:ext>
          </a:extLst>
        </xdr:cNvPr>
        <xdr:cNvSpPr/>
      </xdr:nvSpPr>
      <xdr:spPr>
        <a:xfrm>
          <a:off x="2105024" y="4152900"/>
          <a:ext cx="742950" cy="4190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95253</xdr:rowOff>
    </xdr:from>
    <xdr:to>
      <xdr:col>12</xdr:col>
      <xdr:colOff>180975</xdr:colOff>
      <xdr:row>2</xdr:row>
      <xdr:rowOff>190503</xdr:rowOff>
    </xdr:to>
    <xdr:sp macro="" textlink="">
      <xdr:nvSpPr>
        <xdr:cNvPr id="2" name="Flecha: hacia la izqui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95116-F408-4FEA-BB60-1C4CDC1035DA}"/>
            </a:ext>
          </a:extLst>
        </xdr:cNvPr>
        <xdr:cNvSpPr/>
      </xdr:nvSpPr>
      <xdr:spPr>
        <a:xfrm>
          <a:off x="9963150" y="95253"/>
          <a:ext cx="942975" cy="476250"/>
        </a:xfrm>
        <a:prstGeom prst="leftArrow">
          <a:avLst/>
        </a:prstGeom>
        <a:solidFill>
          <a:srgbClr val="99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Ir a Indice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95253</xdr:rowOff>
    </xdr:from>
    <xdr:to>
      <xdr:col>12</xdr:col>
      <xdr:colOff>180975</xdr:colOff>
      <xdr:row>2</xdr:row>
      <xdr:rowOff>190503</xdr:rowOff>
    </xdr:to>
    <xdr:sp macro="" textlink="">
      <xdr:nvSpPr>
        <xdr:cNvPr id="2" name="Flecha: hacia la izqui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B0A6BF-1081-4D7F-9D6A-AD899BC910FE}"/>
            </a:ext>
          </a:extLst>
        </xdr:cNvPr>
        <xdr:cNvSpPr/>
      </xdr:nvSpPr>
      <xdr:spPr>
        <a:xfrm>
          <a:off x="9963150" y="95253"/>
          <a:ext cx="942975" cy="476250"/>
        </a:xfrm>
        <a:prstGeom prst="leftArrow">
          <a:avLst/>
        </a:prstGeom>
        <a:solidFill>
          <a:srgbClr val="99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Ir a Indice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1247775</xdr:colOff>
      <xdr:row>6</xdr:row>
      <xdr:rowOff>152400</xdr:rowOff>
    </xdr:from>
    <xdr:to>
      <xdr:col>2</xdr:col>
      <xdr:colOff>9525</xdr:colOff>
      <xdr:row>8</xdr:row>
      <xdr:rowOff>151341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417292-9AE0-41B6-A2F0-0903CEEA6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3886200"/>
          <a:ext cx="685800" cy="322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57150</xdr:colOff>
      <xdr:row>2</xdr:row>
      <xdr:rowOff>123825</xdr:rowOff>
    </xdr:from>
    <xdr:to>
      <xdr:col>3</xdr:col>
      <xdr:colOff>561975</xdr:colOff>
      <xdr:row>2</xdr:row>
      <xdr:rowOff>285750</xdr:rowOff>
    </xdr:to>
    <xdr:sp macro="" textlink="">
      <xdr:nvSpPr>
        <xdr:cNvPr id="3" name="Flecha: hacia la izquierda 2">
          <a:extLst>
            <a:ext uri="{FF2B5EF4-FFF2-40B4-BE49-F238E27FC236}">
              <a16:creationId xmlns:a16="http://schemas.microsoft.com/office/drawing/2014/main" id="{EDBB1A04-23D3-436E-80D4-E9A3BDBA9E13}"/>
            </a:ext>
          </a:extLst>
        </xdr:cNvPr>
        <xdr:cNvSpPr/>
      </xdr:nvSpPr>
      <xdr:spPr>
        <a:xfrm>
          <a:off x="3352800" y="447675"/>
          <a:ext cx="504825" cy="1619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57150</xdr:colOff>
      <xdr:row>9</xdr:row>
      <xdr:rowOff>95250</xdr:rowOff>
    </xdr:from>
    <xdr:to>
      <xdr:col>3</xdr:col>
      <xdr:colOff>561975</xdr:colOff>
      <xdr:row>9</xdr:row>
      <xdr:rowOff>257175</xdr:rowOff>
    </xdr:to>
    <xdr:sp macro="" textlink="">
      <xdr:nvSpPr>
        <xdr:cNvPr id="4" name="Flecha: hacia la izquierda 3">
          <a:extLst>
            <a:ext uri="{FF2B5EF4-FFF2-40B4-BE49-F238E27FC236}">
              <a16:creationId xmlns:a16="http://schemas.microsoft.com/office/drawing/2014/main" id="{22D36F67-F4D6-4744-B888-B3ACD5DD66F2}"/>
            </a:ext>
          </a:extLst>
        </xdr:cNvPr>
        <xdr:cNvSpPr/>
      </xdr:nvSpPr>
      <xdr:spPr>
        <a:xfrm>
          <a:off x="3352800" y="1771650"/>
          <a:ext cx="504825" cy="1619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66675</xdr:colOff>
      <xdr:row>11</xdr:row>
      <xdr:rowOff>57150</xdr:rowOff>
    </xdr:from>
    <xdr:to>
      <xdr:col>3</xdr:col>
      <xdr:colOff>571500</xdr:colOff>
      <xdr:row>11</xdr:row>
      <xdr:rowOff>219075</xdr:rowOff>
    </xdr:to>
    <xdr:sp macro="" textlink="">
      <xdr:nvSpPr>
        <xdr:cNvPr id="5" name="Flecha: hacia la izquierda 4">
          <a:extLst>
            <a:ext uri="{FF2B5EF4-FFF2-40B4-BE49-F238E27FC236}">
              <a16:creationId xmlns:a16="http://schemas.microsoft.com/office/drawing/2014/main" id="{319AAACC-54C5-4FC3-BF4E-6F291B26128F}"/>
            </a:ext>
          </a:extLst>
        </xdr:cNvPr>
        <xdr:cNvSpPr/>
      </xdr:nvSpPr>
      <xdr:spPr>
        <a:xfrm>
          <a:off x="3362325" y="2324100"/>
          <a:ext cx="504825" cy="1619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719667</xdr:colOff>
      <xdr:row>6</xdr:row>
      <xdr:rowOff>19853</xdr:rowOff>
    </xdr:from>
    <xdr:to>
      <xdr:col>9</xdr:col>
      <xdr:colOff>138642</xdr:colOff>
      <xdr:row>8</xdr:row>
      <xdr:rowOff>115096</xdr:rowOff>
    </xdr:to>
    <xdr:sp macro="" textlink="">
      <xdr:nvSpPr>
        <xdr:cNvPr id="2" name="Flecha: hacia la izqui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32AB42-5C03-485D-AC3F-5530681CD9E4}"/>
            </a:ext>
          </a:extLst>
        </xdr:cNvPr>
        <xdr:cNvSpPr/>
      </xdr:nvSpPr>
      <xdr:spPr>
        <a:xfrm>
          <a:off x="8720667" y="1162853"/>
          <a:ext cx="942975" cy="476243"/>
        </a:xfrm>
        <a:prstGeom prst="leftArrow">
          <a:avLst/>
        </a:prstGeom>
        <a:solidFill>
          <a:srgbClr val="99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rgbClr val="FFFF00"/>
              </a:solidFill>
            </a:rPr>
            <a:t>Ir a Indice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briel%20La%20Cruz/Downloads/Plantilla%20ANALISIS%20FINANCIER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briel%20La%20Cruz/Downloads/AF%20-%20DN2%20-%20MI%20PATITA%20ENTREGA%204_02.12.2021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Leyenda"/>
      <sheetName val="Supuestos"/>
      <sheetName val="Inversión"/>
      <sheetName val="Ventas"/>
      <sheetName val="Presupuesto Producción"/>
      <sheetName val="Gasto Adm y Ventas"/>
      <sheetName val="IGV"/>
      <sheetName val="Planilla Personal"/>
      <sheetName val="Financiamiento"/>
      <sheetName val="Estado de Resultados"/>
      <sheetName val="Flujo de Caja"/>
      <sheetName val="Determinación COK y WACC"/>
      <sheetName val="Análisis de Sensibilidad"/>
      <sheetName val="Análisis de escenarios"/>
      <sheetName val="Conclusiones"/>
    </sheetNames>
    <sheetDataSet>
      <sheetData sheetId="0"/>
      <sheetData sheetId="1"/>
      <sheetData sheetId="2"/>
      <sheetData sheetId="3">
        <row r="71">
          <cell r="J71">
            <v>5872.5</v>
          </cell>
          <cell r="K71">
            <v>489.37500000000006</v>
          </cell>
        </row>
      </sheetData>
      <sheetData sheetId="4">
        <row r="4">
          <cell r="E4">
            <v>0.18</v>
          </cell>
        </row>
        <row r="66">
          <cell r="B66">
            <v>16945</v>
          </cell>
          <cell r="C66">
            <v>17581.284749999999</v>
          </cell>
          <cell r="D66">
            <v>18241.461992362496</v>
          </cell>
          <cell r="E66">
            <v>18926.42889017571</v>
          </cell>
          <cell r="F66">
            <v>19637.116295001804</v>
          </cell>
          <cell r="G66">
            <v>20374.490011879127</v>
          </cell>
          <cell r="H66">
            <v>21139.552111825185</v>
          </cell>
          <cell r="I66">
            <v>21933.34229362422</v>
          </cell>
          <cell r="J66">
            <v>22756.93929674981</v>
          </cell>
          <cell r="K66">
            <v>23611.462367342763</v>
          </cell>
          <cell r="L66">
            <v>24498.072779236481</v>
          </cell>
          <cell r="M66">
            <v>25417.97541209681</v>
          </cell>
          <cell r="N66">
            <v>251063.12620029435</v>
          </cell>
          <cell r="O66">
            <v>364041.53299042693</v>
          </cell>
          <cell r="P66">
            <v>527860.22283611901</v>
          </cell>
        </row>
      </sheetData>
      <sheetData sheetId="5"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</sheetData>
      <sheetData sheetId="6">
        <row r="52">
          <cell r="C52">
            <v>3925.8700000000003</v>
          </cell>
          <cell r="D52">
            <v>3925.8700000000003</v>
          </cell>
          <cell r="E52">
            <v>3925.8700000000003</v>
          </cell>
          <cell r="F52">
            <v>3925.8700000000003</v>
          </cell>
          <cell r="G52">
            <v>3925.8700000000003</v>
          </cell>
          <cell r="H52">
            <v>3925.8700000000003</v>
          </cell>
          <cell r="I52">
            <v>3925.8700000000003</v>
          </cell>
          <cell r="J52">
            <v>3925.8700000000003</v>
          </cell>
          <cell r="K52">
            <v>3925.8700000000003</v>
          </cell>
          <cell r="L52">
            <v>3925.8700000000003</v>
          </cell>
          <cell r="M52">
            <v>3925.8700000000003</v>
          </cell>
          <cell r="N52">
            <v>3925.8700000000003</v>
          </cell>
          <cell r="O52">
            <v>47110.44</v>
          </cell>
        </row>
      </sheetData>
      <sheetData sheetId="7"/>
      <sheetData sheetId="8"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79">
          <cell r="C79">
            <v>15600.08</v>
          </cell>
          <cell r="D79">
            <v>15600.08</v>
          </cell>
          <cell r="E79">
            <v>15600.08</v>
          </cell>
          <cell r="F79">
            <v>15600.08</v>
          </cell>
          <cell r="G79">
            <v>15600.08</v>
          </cell>
          <cell r="H79">
            <v>15600.08</v>
          </cell>
          <cell r="I79">
            <v>15600.08</v>
          </cell>
          <cell r="J79">
            <v>15600.08</v>
          </cell>
          <cell r="K79">
            <v>15600.08</v>
          </cell>
          <cell r="L79">
            <v>15600.08</v>
          </cell>
          <cell r="M79">
            <v>15600.08</v>
          </cell>
          <cell r="N79">
            <v>15600.08</v>
          </cell>
          <cell r="O79">
            <v>187200.95999999996</v>
          </cell>
        </row>
      </sheetData>
      <sheetData sheetId="9"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</row>
      </sheetData>
      <sheetData sheetId="10"/>
      <sheetData sheetId="11"/>
      <sheetData sheetId="12">
        <row r="33">
          <cell r="C33">
            <v>0.13658431372549029</v>
          </cell>
        </row>
        <row r="40">
          <cell r="F40">
            <v>0.13658431372549029</v>
          </cell>
        </row>
      </sheetData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Leyenda"/>
      <sheetName val="8.1 Supuestos"/>
      <sheetName val="8.4 Planilla Personal"/>
      <sheetName val="8.2 - 8.5 Inversión"/>
      <sheetName val="8.3 Ventas"/>
      <sheetName val="8.4 Presupuesto Producción"/>
      <sheetName val="8.4 Gasto Adm y Ventas"/>
      <sheetName val="IGV"/>
      <sheetName val="8.6 Financiamiento"/>
      <sheetName val="Sbs - Tasa de referencia"/>
      <sheetName val="8.7 Estado de Resultados"/>
      <sheetName val="8.7 Est. de Sit. financiera"/>
      <sheetName val="8.6 - 8.9 Det. COK y WACC"/>
      <sheetName val="8.7 - 8.8 - 8.10 Flujo de Caja"/>
      <sheetName val="8.11.1 Análisis de Sensibilidad"/>
      <sheetName val="Análisis multidimensional"/>
      <sheetName val="8.11.2 Análisis de escenarios"/>
      <sheetName val="Base - Escenarios"/>
      <sheetName val="8.11.3 Punto de Equilibrio"/>
      <sheetName val="Conclusiones"/>
      <sheetName val="Hoja1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80">
          <cell r="C80">
            <v>0.12669809999999981</v>
          </cell>
        </row>
      </sheetData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30"/>
  <sheetViews>
    <sheetView topLeftCell="A22" zoomScale="130" zoomScaleNormal="130" workbookViewId="0">
      <selection activeCell="D20" sqref="D20"/>
    </sheetView>
  </sheetViews>
  <sheetFormatPr baseColWidth="10" defaultColWidth="9.33203125" defaultRowHeight="12.75" x14ac:dyDescent="0.2"/>
  <cols>
    <col min="1" max="1" width="44.83203125" bestFit="1" customWidth="1"/>
    <col min="2" max="2" width="21.83203125" bestFit="1" customWidth="1"/>
    <col min="3" max="3" width="9.6640625" bestFit="1" customWidth="1"/>
    <col min="4" max="4" width="14.1640625" customWidth="1"/>
    <col min="5" max="5" width="11.6640625" bestFit="1" customWidth="1"/>
    <col min="6" max="6" width="11.83203125" bestFit="1" customWidth="1"/>
  </cols>
  <sheetData>
    <row r="4" spans="1:6" x14ac:dyDescent="0.2">
      <c r="A4" s="12" t="s">
        <v>28</v>
      </c>
    </row>
    <row r="5" spans="1:6" ht="25.5" x14ac:dyDescent="0.2">
      <c r="A5" s="13" t="s">
        <v>6</v>
      </c>
      <c r="B5" s="14" t="s">
        <v>7</v>
      </c>
      <c r="C5" s="14" t="s">
        <v>8</v>
      </c>
      <c r="D5" s="14" t="s">
        <v>9</v>
      </c>
      <c r="E5" s="14" t="s">
        <v>10</v>
      </c>
    </row>
    <row r="6" spans="1:6" x14ac:dyDescent="0.2">
      <c r="A6" s="1" t="s">
        <v>15</v>
      </c>
      <c r="B6" s="2" t="s">
        <v>0</v>
      </c>
      <c r="C6" s="25">
        <v>5</v>
      </c>
      <c r="D6" s="26">
        <v>1694.0677966101696</v>
      </c>
      <c r="E6" s="15">
        <f>C6*D6</f>
        <v>8470.3389830508477</v>
      </c>
      <c r="F6" s="27"/>
    </row>
    <row r="7" spans="1:6" x14ac:dyDescent="0.2">
      <c r="A7" s="3" t="s">
        <v>17</v>
      </c>
      <c r="B7" s="4" t="s">
        <v>0</v>
      </c>
      <c r="C7" s="22">
        <v>1</v>
      </c>
      <c r="D7" s="23">
        <v>1005.0847457627119</v>
      </c>
      <c r="E7" s="16">
        <f t="shared" ref="E7:E12" si="0">C7*D7</f>
        <v>1005.0847457627119</v>
      </c>
      <c r="F7" s="27"/>
    </row>
    <row r="8" spans="1:6" x14ac:dyDescent="0.2">
      <c r="A8" s="3" t="s">
        <v>18</v>
      </c>
      <c r="B8" s="4" t="s">
        <v>1</v>
      </c>
      <c r="C8" s="22">
        <v>1</v>
      </c>
      <c r="D8" s="23">
        <v>1863.5593220338983</v>
      </c>
      <c r="E8" s="16">
        <f t="shared" si="0"/>
        <v>1863.5593220338983</v>
      </c>
      <c r="F8" s="27"/>
    </row>
    <row r="9" spans="1:6" x14ac:dyDescent="0.2">
      <c r="A9" s="3" t="s">
        <v>13</v>
      </c>
      <c r="B9" s="4" t="s">
        <v>2</v>
      </c>
      <c r="C9" s="22">
        <v>5</v>
      </c>
      <c r="D9" s="23">
        <v>211.0169491525424</v>
      </c>
      <c r="E9" s="16">
        <f t="shared" si="0"/>
        <v>1055.0847457627119</v>
      </c>
      <c r="F9" s="27"/>
    </row>
    <row r="10" spans="1:6" x14ac:dyDescent="0.2">
      <c r="A10" s="3" t="s">
        <v>16</v>
      </c>
      <c r="B10" s="4" t="s">
        <v>2</v>
      </c>
      <c r="C10" s="22">
        <v>1</v>
      </c>
      <c r="D10" s="23">
        <v>397.4576271186441</v>
      </c>
      <c r="E10" s="16">
        <f t="shared" si="0"/>
        <v>397.4576271186441</v>
      </c>
      <c r="F10" s="27"/>
    </row>
    <row r="11" spans="1:6" x14ac:dyDescent="0.2">
      <c r="A11" s="3" t="s">
        <v>14</v>
      </c>
      <c r="B11" s="4" t="s">
        <v>2</v>
      </c>
      <c r="C11" s="22">
        <v>1</v>
      </c>
      <c r="D11" s="23">
        <v>566.61016949152543</v>
      </c>
      <c r="E11" s="16">
        <f t="shared" si="0"/>
        <v>566.61016949152543</v>
      </c>
      <c r="F11" s="27"/>
    </row>
    <row r="12" spans="1:6" x14ac:dyDescent="0.2">
      <c r="A12" s="3" t="s">
        <v>48</v>
      </c>
      <c r="B12" s="4" t="s">
        <v>2</v>
      </c>
      <c r="C12" s="22">
        <v>2</v>
      </c>
      <c r="D12" s="23">
        <v>219.49152542372883</v>
      </c>
      <c r="E12" s="16">
        <f t="shared" si="0"/>
        <v>438.98305084745766</v>
      </c>
      <c r="F12" s="27"/>
    </row>
    <row r="13" spans="1:6" x14ac:dyDescent="0.2">
      <c r="A13" s="5" t="s">
        <v>19</v>
      </c>
      <c r="B13" s="6" t="s">
        <v>2</v>
      </c>
      <c r="C13" s="24">
        <v>6</v>
      </c>
      <c r="D13" s="21">
        <v>92.372881355932194</v>
      </c>
      <c r="E13" s="17">
        <f>C13*D13</f>
        <v>554.23728813559319</v>
      </c>
      <c r="F13" s="27"/>
    </row>
    <row r="14" spans="1:6" x14ac:dyDescent="0.2">
      <c r="A14" s="260" t="s">
        <v>11</v>
      </c>
      <c r="B14" s="260"/>
      <c r="C14" s="260"/>
      <c r="D14" s="260"/>
      <c r="E14" s="18">
        <f>SUM(E6:E13)</f>
        <v>14351.355932203387</v>
      </c>
    </row>
    <row r="17" spans="1:6" x14ac:dyDescent="0.2">
      <c r="A17" t="s">
        <v>28</v>
      </c>
    </row>
    <row r="18" spans="1:6" ht="42" customHeight="1" x14ac:dyDescent="0.2">
      <c r="A18" s="14" t="s">
        <v>20</v>
      </c>
      <c r="B18" s="14" t="s">
        <v>7</v>
      </c>
      <c r="C18" s="14" t="s">
        <v>8</v>
      </c>
      <c r="D18" s="14" t="s">
        <v>9</v>
      </c>
      <c r="E18" s="14" t="s">
        <v>10</v>
      </c>
    </row>
    <row r="19" spans="1:6" x14ac:dyDescent="0.2">
      <c r="A19" s="1" t="s">
        <v>21</v>
      </c>
      <c r="B19" s="2" t="s">
        <v>0</v>
      </c>
      <c r="C19" s="28">
        <v>1</v>
      </c>
      <c r="D19" s="15">
        <v>3384.6101694915255</v>
      </c>
      <c r="E19" s="15">
        <f>C19*D19</f>
        <v>3384.6101694915255</v>
      </c>
      <c r="F19" s="27"/>
    </row>
    <row r="20" spans="1:6" x14ac:dyDescent="0.2">
      <c r="A20" s="3" t="s">
        <v>22</v>
      </c>
      <c r="B20" s="4" t="s">
        <v>0</v>
      </c>
      <c r="C20" s="29">
        <v>1</v>
      </c>
      <c r="D20" s="16">
        <v>2620.4491525423732</v>
      </c>
      <c r="E20" s="16">
        <f t="shared" ref="E20:E21" si="1">C20*D20</f>
        <v>2620.4491525423732</v>
      </c>
      <c r="F20" s="27"/>
    </row>
    <row r="21" spans="1:6" x14ac:dyDescent="0.2">
      <c r="A21" s="3" t="s">
        <v>24</v>
      </c>
      <c r="B21" s="4" t="s">
        <v>25</v>
      </c>
      <c r="C21" s="29">
        <v>1</v>
      </c>
      <c r="D21" s="16">
        <v>677.11864406779659</v>
      </c>
      <c r="E21" s="16">
        <f t="shared" si="1"/>
        <v>677.11864406779659</v>
      </c>
      <c r="F21" s="27"/>
    </row>
    <row r="22" spans="1:6" x14ac:dyDescent="0.2">
      <c r="A22" s="261" t="s">
        <v>23</v>
      </c>
      <c r="B22" s="260"/>
      <c r="C22" s="260"/>
      <c r="D22" s="260"/>
      <c r="E22" s="18">
        <f>SUM(E19:E21)</f>
        <v>6682.1779661016953</v>
      </c>
    </row>
    <row r="26" spans="1:6" x14ac:dyDescent="0.2">
      <c r="A26" t="s">
        <v>41</v>
      </c>
    </row>
    <row r="27" spans="1:6" ht="25.5" x14ac:dyDescent="0.2">
      <c r="A27" s="14" t="s">
        <v>20</v>
      </c>
      <c r="B27" s="14" t="s">
        <v>7</v>
      </c>
      <c r="C27" s="14" t="s">
        <v>8</v>
      </c>
      <c r="D27" s="14" t="s">
        <v>9</v>
      </c>
      <c r="E27" s="14" t="s">
        <v>10</v>
      </c>
    </row>
    <row r="28" spans="1:6" x14ac:dyDescent="0.2">
      <c r="A28" s="1" t="s">
        <v>42</v>
      </c>
      <c r="B28" s="2" t="s">
        <v>44</v>
      </c>
      <c r="C28" s="28">
        <v>1</v>
      </c>
      <c r="D28" s="15">
        <v>4000</v>
      </c>
      <c r="E28" s="15">
        <f>C28*D28</f>
        <v>4000</v>
      </c>
    </row>
    <row r="29" spans="1:6" x14ac:dyDescent="0.2">
      <c r="A29" s="3" t="s">
        <v>43</v>
      </c>
      <c r="B29" s="4" t="s">
        <v>44</v>
      </c>
      <c r="C29" s="29">
        <v>1</v>
      </c>
      <c r="D29" s="16">
        <v>1000</v>
      </c>
      <c r="E29" s="16">
        <f t="shared" ref="E29" si="2">C29*D29</f>
        <v>1000</v>
      </c>
    </row>
    <row r="30" spans="1:6" x14ac:dyDescent="0.2">
      <c r="A30" s="261" t="s">
        <v>45</v>
      </c>
      <c r="B30" s="260"/>
      <c r="C30" s="260"/>
      <c r="D30" s="260"/>
      <c r="E30" s="18">
        <f>SUM(E28:E29)</f>
        <v>5000</v>
      </c>
    </row>
  </sheetData>
  <mergeCells count="3">
    <mergeCell ref="A14:D14"/>
    <mergeCell ref="A22:D22"/>
    <mergeCell ref="A30:D3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2"/>
  <sheetViews>
    <sheetView showGridLines="0" topLeftCell="A19" workbookViewId="0">
      <selection activeCell="C31" sqref="C31"/>
    </sheetView>
  </sheetViews>
  <sheetFormatPr baseColWidth="10" defaultRowHeight="12.75" x14ac:dyDescent="0.2"/>
  <cols>
    <col min="1" max="1" width="53.5" bestFit="1" customWidth="1"/>
  </cols>
  <sheetData>
    <row r="2" spans="1:11" ht="18.75" x14ac:dyDescent="0.2">
      <c r="A2" s="36" t="s">
        <v>49</v>
      </c>
    </row>
    <row r="4" spans="1:11" ht="18.75" x14ac:dyDescent="0.3">
      <c r="A4" s="37" t="s">
        <v>231</v>
      </c>
    </row>
    <row r="5" spans="1:11" ht="45" x14ac:dyDescent="0.25">
      <c r="A5" s="38" t="s">
        <v>50</v>
      </c>
      <c r="B5" s="40" t="s">
        <v>52</v>
      </c>
      <c r="C5" s="38" t="s">
        <v>53</v>
      </c>
      <c r="D5" s="41" t="s">
        <v>54</v>
      </c>
      <c r="E5" s="41" t="s">
        <v>55</v>
      </c>
      <c r="F5" s="41" t="s">
        <v>56</v>
      </c>
      <c r="G5" s="41" t="s">
        <v>57</v>
      </c>
      <c r="H5" s="42" t="s">
        <v>58</v>
      </c>
      <c r="I5" s="41" t="s">
        <v>59</v>
      </c>
      <c r="J5" s="41" t="s">
        <v>60</v>
      </c>
      <c r="K5" s="41" t="s">
        <v>61</v>
      </c>
    </row>
    <row r="6" spans="1:11" x14ac:dyDescent="0.2">
      <c r="A6" s="39" t="s">
        <v>15</v>
      </c>
      <c r="B6" s="43">
        <v>1694</v>
      </c>
      <c r="C6" s="43">
        <v>5</v>
      </c>
      <c r="D6" s="44">
        <f>+B6*C6</f>
        <v>8470</v>
      </c>
      <c r="E6" s="45" t="s">
        <v>62</v>
      </c>
      <c r="F6" s="44">
        <f>+IF(E6= "SI",D6*[1]Ventas!$E$4,0)</f>
        <v>0</v>
      </c>
      <c r="G6" s="44">
        <f>+D6+F6</f>
        <v>8470</v>
      </c>
      <c r="H6" s="46">
        <v>0.2</v>
      </c>
      <c r="I6" s="47">
        <f>100%/H6</f>
        <v>5</v>
      </c>
      <c r="J6" s="44">
        <f>+D6*H6</f>
        <v>1694</v>
      </c>
      <c r="K6" s="44">
        <f>+J6/12</f>
        <v>141.16666666666666</v>
      </c>
    </row>
    <row r="7" spans="1:11" x14ac:dyDescent="0.2">
      <c r="A7" s="39" t="s">
        <v>17</v>
      </c>
      <c r="B7" s="43">
        <v>1005</v>
      </c>
      <c r="C7" s="43">
        <v>1</v>
      </c>
      <c r="D7" s="44">
        <f t="shared" ref="D7:D16" si="0">+B7*C7</f>
        <v>1005</v>
      </c>
      <c r="E7" s="45" t="s">
        <v>62</v>
      </c>
      <c r="F7" s="44">
        <f>+IF(E7= "SI",D7*[1]Ventas!$E$4,0)</f>
        <v>0</v>
      </c>
      <c r="G7" s="44">
        <f t="shared" ref="G7:G16" si="1">+D7+F7</f>
        <v>1005</v>
      </c>
      <c r="H7" s="46">
        <v>0.2</v>
      </c>
      <c r="I7" s="47">
        <f t="shared" ref="I7:I16" si="2">100%/H7</f>
        <v>5</v>
      </c>
      <c r="J7" s="44">
        <f>+D7*H7</f>
        <v>201</v>
      </c>
      <c r="K7" s="44">
        <f t="shared" ref="K7:K16" si="3">+J7/12</f>
        <v>16.75</v>
      </c>
    </row>
    <row r="8" spans="1:11" x14ac:dyDescent="0.2">
      <c r="A8" s="39" t="s">
        <v>18</v>
      </c>
      <c r="B8" s="43">
        <v>1864</v>
      </c>
      <c r="C8" s="43">
        <v>1</v>
      </c>
      <c r="D8" s="44">
        <f t="shared" si="0"/>
        <v>1864</v>
      </c>
      <c r="E8" s="45" t="s">
        <v>62</v>
      </c>
      <c r="F8" s="44">
        <f>+IF(E8= "SI",D8*[1]Ventas!$E$4,0)</f>
        <v>0</v>
      </c>
      <c r="G8" s="44">
        <f t="shared" si="1"/>
        <v>1864</v>
      </c>
      <c r="H8" s="46">
        <v>0.2</v>
      </c>
      <c r="I8" s="47">
        <f t="shared" si="2"/>
        <v>5</v>
      </c>
      <c r="J8" s="44">
        <f t="shared" ref="J8:J16" si="4">+D8*H8</f>
        <v>372.8</v>
      </c>
      <c r="K8" s="44">
        <f t="shared" si="3"/>
        <v>31.066666666666666</v>
      </c>
    </row>
    <row r="9" spans="1:11" x14ac:dyDescent="0.2">
      <c r="A9" s="39" t="s">
        <v>13</v>
      </c>
      <c r="B9" s="43">
        <v>211</v>
      </c>
      <c r="C9" s="43">
        <v>5</v>
      </c>
      <c r="D9" s="44">
        <f t="shared" si="0"/>
        <v>1055</v>
      </c>
      <c r="E9" s="45" t="s">
        <v>62</v>
      </c>
      <c r="F9" s="44">
        <f>+IF(E9= "SI",D9*[1]Ventas!$E$4,0)</f>
        <v>0</v>
      </c>
      <c r="G9" s="44">
        <f t="shared" si="1"/>
        <v>1055</v>
      </c>
      <c r="H9" s="46">
        <v>0.2</v>
      </c>
      <c r="I9" s="47">
        <f t="shared" si="2"/>
        <v>5</v>
      </c>
      <c r="J9" s="44">
        <f t="shared" si="4"/>
        <v>211</v>
      </c>
      <c r="K9" s="44">
        <f t="shared" si="3"/>
        <v>17.583333333333332</v>
      </c>
    </row>
    <row r="10" spans="1:11" x14ac:dyDescent="0.2">
      <c r="A10" s="39" t="s">
        <v>16</v>
      </c>
      <c r="B10" s="43">
        <v>397</v>
      </c>
      <c r="C10" s="43">
        <v>1</v>
      </c>
      <c r="D10" s="44">
        <f t="shared" si="0"/>
        <v>397</v>
      </c>
      <c r="E10" s="45" t="s">
        <v>62</v>
      </c>
      <c r="F10" s="44">
        <f>+IF(E10= "SI",D10*[1]Ventas!$E$4,0)</f>
        <v>0</v>
      </c>
      <c r="G10" s="44">
        <f t="shared" si="1"/>
        <v>397</v>
      </c>
      <c r="H10" s="46">
        <v>0.2</v>
      </c>
      <c r="I10" s="47">
        <f t="shared" si="2"/>
        <v>5</v>
      </c>
      <c r="J10" s="44">
        <f t="shared" si="4"/>
        <v>79.400000000000006</v>
      </c>
      <c r="K10" s="44">
        <f t="shared" si="3"/>
        <v>6.6166666666666671</v>
      </c>
    </row>
    <row r="11" spans="1:11" x14ac:dyDescent="0.2">
      <c r="A11" s="39" t="s">
        <v>14</v>
      </c>
      <c r="B11" s="43">
        <v>567</v>
      </c>
      <c r="C11" s="43">
        <v>1</v>
      </c>
      <c r="D11" s="44">
        <f t="shared" si="0"/>
        <v>567</v>
      </c>
      <c r="E11" s="45" t="s">
        <v>62</v>
      </c>
      <c r="F11" s="44">
        <f>+IF(E11= "SI",D11*[1]Ventas!$E$4,0)</f>
        <v>0</v>
      </c>
      <c r="G11" s="44">
        <f t="shared" si="1"/>
        <v>567</v>
      </c>
      <c r="H11" s="46">
        <v>0.2</v>
      </c>
      <c r="I11" s="47">
        <f t="shared" si="2"/>
        <v>5</v>
      </c>
      <c r="J11" s="44">
        <f t="shared" si="4"/>
        <v>113.4</v>
      </c>
      <c r="K11" s="44">
        <f t="shared" si="3"/>
        <v>9.4500000000000011</v>
      </c>
    </row>
    <row r="12" spans="1:11" x14ac:dyDescent="0.2">
      <c r="A12" s="39" t="s">
        <v>51</v>
      </c>
      <c r="B12" s="43">
        <v>219</v>
      </c>
      <c r="C12" s="43">
        <v>2</v>
      </c>
      <c r="D12" s="44">
        <f t="shared" si="0"/>
        <v>438</v>
      </c>
      <c r="E12" s="45" t="s">
        <v>62</v>
      </c>
      <c r="F12" s="44">
        <f>+IF(E12= "SI",D12*[1]Ventas!$E$4,0)</f>
        <v>0</v>
      </c>
      <c r="G12" s="44">
        <f t="shared" si="1"/>
        <v>438</v>
      </c>
      <c r="H12" s="46">
        <v>0.2</v>
      </c>
      <c r="I12" s="47">
        <f t="shared" si="2"/>
        <v>5</v>
      </c>
      <c r="J12" s="44">
        <f t="shared" si="4"/>
        <v>87.600000000000009</v>
      </c>
      <c r="K12" s="44">
        <f t="shared" si="3"/>
        <v>7.3000000000000007</v>
      </c>
    </row>
    <row r="13" spans="1:11" x14ac:dyDescent="0.2">
      <c r="A13" s="39" t="s">
        <v>19</v>
      </c>
      <c r="B13" s="43">
        <v>92</v>
      </c>
      <c r="C13" s="43">
        <v>6</v>
      </c>
      <c r="D13" s="44">
        <f t="shared" si="0"/>
        <v>552</v>
      </c>
      <c r="E13" s="45" t="s">
        <v>62</v>
      </c>
      <c r="F13" s="44">
        <f>+IF(E13= "SI",D13*[1]Ventas!$E$4,0)</f>
        <v>0</v>
      </c>
      <c r="G13" s="44">
        <f t="shared" si="1"/>
        <v>552</v>
      </c>
      <c r="H13" s="46">
        <v>0.2</v>
      </c>
      <c r="I13" s="47">
        <f t="shared" si="2"/>
        <v>5</v>
      </c>
      <c r="J13" s="44">
        <f t="shared" si="4"/>
        <v>110.4</v>
      </c>
      <c r="K13" s="44">
        <f t="shared" si="3"/>
        <v>9.2000000000000011</v>
      </c>
    </row>
    <row r="14" spans="1:11" x14ac:dyDescent="0.2">
      <c r="A14" s="39" t="s">
        <v>21</v>
      </c>
      <c r="B14" s="43">
        <v>3385</v>
      </c>
      <c r="C14" s="43">
        <v>1</v>
      </c>
      <c r="D14" s="44">
        <f t="shared" si="0"/>
        <v>3385</v>
      </c>
      <c r="E14" s="45" t="s">
        <v>62</v>
      </c>
      <c r="F14" s="44">
        <f>+IF(E14= "SI",D14*[1]Ventas!$E$4,0)</f>
        <v>0</v>
      </c>
      <c r="G14" s="44">
        <f t="shared" si="1"/>
        <v>3385</v>
      </c>
      <c r="H14" s="46">
        <v>0.2</v>
      </c>
      <c r="I14" s="47">
        <f t="shared" si="2"/>
        <v>5</v>
      </c>
      <c r="J14" s="44">
        <f t="shared" si="4"/>
        <v>677</v>
      </c>
      <c r="K14" s="44">
        <f t="shared" si="3"/>
        <v>56.416666666666664</v>
      </c>
    </row>
    <row r="15" spans="1:11" x14ac:dyDescent="0.2">
      <c r="A15" s="39" t="s">
        <v>22</v>
      </c>
      <c r="B15" s="43">
        <v>2620</v>
      </c>
      <c r="C15" s="43">
        <v>1</v>
      </c>
      <c r="D15" s="44">
        <f t="shared" si="0"/>
        <v>2620</v>
      </c>
      <c r="E15" s="45" t="s">
        <v>62</v>
      </c>
      <c r="F15" s="44">
        <f>+IF(E15= "SI",D15*[1]Ventas!$E$4,0)</f>
        <v>0</v>
      </c>
      <c r="G15" s="44">
        <f t="shared" si="1"/>
        <v>2620</v>
      </c>
      <c r="H15" s="46">
        <v>0.2</v>
      </c>
      <c r="I15" s="47">
        <f t="shared" si="2"/>
        <v>5</v>
      </c>
      <c r="J15" s="44">
        <f t="shared" si="4"/>
        <v>524</v>
      </c>
      <c r="K15" s="44">
        <f t="shared" si="3"/>
        <v>43.666666666666664</v>
      </c>
    </row>
    <row r="16" spans="1:11" x14ac:dyDescent="0.2">
      <c r="A16" s="39" t="s">
        <v>24</v>
      </c>
      <c r="B16" s="43">
        <v>677</v>
      </c>
      <c r="C16" s="43">
        <v>1</v>
      </c>
      <c r="D16" s="44">
        <f t="shared" si="0"/>
        <v>677</v>
      </c>
      <c r="E16" s="45" t="s">
        <v>62</v>
      </c>
      <c r="F16" s="44">
        <f>+IF(E16= "SI",D16*[1]Ventas!$E$4,0)</f>
        <v>0</v>
      </c>
      <c r="G16" s="44">
        <f t="shared" si="1"/>
        <v>677</v>
      </c>
      <c r="H16" s="46">
        <v>0.2</v>
      </c>
      <c r="I16" s="47">
        <f t="shared" si="2"/>
        <v>5</v>
      </c>
      <c r="J16" s="44">
        <f t="shared" si="4"/>
        <v>135.4</v>
      </c>
      <c r="K16" s="44">
        <f t="shared" si="3"/>
        <v>11.283333333333333</v>
      </c>
    </row>
    <row r="17" spans="1:11" ht="15" x14ac:dyDescent="0.25">
      <c r="A17" s="48" t="s">
        <v>63</v>
      </c>
      <c r="B17" s="49"/>
      <c r="C17" s="49"/>
      <c r="D17" s="50">
        <f>SUM(D6:D16)</f>
        <v>21030</v>
      </c>
      <c r="E17" s="51"/>
      <c r="F17" s="50">
        <f>SUM(F6:F16)</f>
        <v>0</v>
      </c>
      <c r="G17" s="50">
        <f>SUM(G6:G16)</f>
        <v>21030</v>
      </c>
      <c r="H17" s="51"/>
      <c r="I17" s="51"/>
      <c r="J17" s="50">
        <f>SUM(J6:J16)</f>
        <v>4206</v>
      </c>
      <c r="K17" s="50">
        <f>SUM(K6:K16)</f>
        <v>350.50000000000006</v>
      </c>
    </row>
    <row r="21" spans="1:11" ht="18.75" x14ac:dyDescent="0.3">
      <c r="A21" s="52" t="s">
        <v>64</v>
      </c>
    </row>
    <row r="23" spans="1:11" ht="18.75" x14ac:dyDescent="0.3">
      <c r="A23" s="37" t="s">
        <v>232</v>
      </c>
    </row>
    <row r="24" spans="1:11" ht="45" x14ac:dyDescent="0.25">
      <c r="A24" s="53" t="s">
        <v>50</v>
      </c>
      <c r="B24" s="40" t="s">
        <v>52</v>
      </c>
      <c r="C24" s="38" t="s">
        <v>53</v>
      </c>
      <c r="D24" s="41" t="s">
        <v>54</v>
      </c>
      <c r="E24" s="41" t="s">
        <v>55</v>
      </c>
      <c r="F24" s="41" t="s">
        <v>56</v>
      </c>
      <c r="G24" s="41" t="s">
        <v>57</v>
      </c>
      <c r="H24" s="42" t="s">
        <v>65</v>
      </c>
      <c r="I24" s="41" t="s">
        <v>59</v>
      </c>
      <c r="J24" s="41" t="s">
        <v>66</v>
      </c>
      <c r="K24" s="41" t="s">
        <v>67</v>
      </c>
    </row>
    <row r="25" spans="1:11" x14ac:dyDescent="0.2">
      <c r="A25" s="39" t="s">
        <v>42</v>
      </c>
      <c r="B25" s="43">
        <v>4000</v>
      </c>
      <c r="C25" s="43">
        <v>1</v>
      </c>
      <c r="D25" s="44">
        <f>+B25*C25</f>
        <v>4000</v>
      </c>
      <c r="E25" s="45" t="s">
        <v>62</v>
      </c>
      <c r="F25" s="44">
        <f>+IF(E25= "SI",D25*[1]Ventas!$E$4,0)</f>
        <v>0</v>
      </c>
      <c r="G25" s="44">
        <f t="shared" ref="G25" si="5">+D25+F25</f>
        <v>4000</v>
      </c>
      <c r="H25" s="46">
        <v>0.33329999999999999</v>
      </c>
      <c r="I25" s="47">
        <f t="shared" ref="I25:I26" si="6">100%/H25</f>
        <v>3.0003000300030003</v>
      </c>
      <c r="J25" s="44">
        <f>+D25*H25</f>
        <v>1333.2</v>
      </c>
      <c r="K25" s="44">
        <f>+J25/12</f>
        <v>111.10000000000001</v>
      </c>
    </row>
    <row r="26" spans="1:11" x14ac:dyDescent="0.2">
      <c r="A26" s="39" t="s">
        <v>68</v>
      </c>
      <c r="B26" s="43">
        <v>1000</v>
      </c>
      <c r="C26" s="43">
        <v>1</v>
      </c>
      <c r="D26" s="44">
        <f>+B26*C26</f>
        <v>1000</v>
      </c>
      <c r="E26" s="45" t="s">
        <v>62</v>
      </c>
      <c r="F26" s="44">
        <f>+IF(E26= "SI",D26*[1]Ventas!$E$4,0)</f>
        <v>0</v>
      </c>
      <c r="G26" s="44">
        <f>+D26+F26</f>
        <v>1000</v>
      </c>
      <c r="H26" s="46">
        <v>0.33329999999999999</v>
      </c>
      <c r="I26" s="47">
        <f t="shared" si="6"/>
        <v>3.0003000300030003</v>
      </c>
      <c r="J26" s="44">
        <f t="shared" ref="J26" si="7">+D26*H26</f>
        <v>333.3</v>
      </c>
      <c r="K26" s="44">
        <f t="shared" ref="K26" si="8">+J26/12</f>
        <v>27.775000000000002</v>
      </c>
    </row>
    <row r="27" spans="1:11" ht="15" x14ac:dyDescent="0.25">
      <c r="A27" s="48" t="s">
        <v>69</v>
      </c>
      <c r="B27" s="49"/>
      <c r="C27" s="49"/>
      <c r="D27" s="50">
        <f>SUM(D25:D26)</f>
        <v>5000</v>
      </c>
      <c r="E27" s="51"/>
      <c r="F27" s="50">
        <f t="shared" ref="F27:G27" si="9">SUM(F25:F26)</f>
        <v>0</v>
      </c>
      <c r="G27" s="50">
        <f t="shared" si="9"/>
        <v>5000</v>
      </c>
      <c r="H27" s="54"/>
      <c r="I27" s="55"/>
      <c r="J27" s="50">
        <f t="shared" ref="J27" si="10">SUM(J25:J26)</f>
        <v>1666.5</v>
      </c>
      <c r="K27" s="50">
        <f t="shared" ref="K27" si="11">SUM(K25:K26)</f>
        <v>138.875</v>
      </c>
    </row>
    <row r="31" spans="1:11" ht="45" x14ac:dyDescent="0.2">
      <c r="J31" s="41" t="s">
        <v>66</v>
      </c>
      <c r="K31" s="41" t="s">
        <v>67</v>
      </c>
    </row>
    <row r="32" spans="1:11" ht="15" x14ac:dyDescent="0.25">
      <c r="A32" s="53" t="s">
        <v>70</v>
      </c>
      <c r="B32" s="51"/>
      <c r="C32" s="51"/>
      <c r="D32" s="50">
        <f>D17+D27</f>
        <v>26030</v>
      </c>
      <c r="E32" s="51"/>
      <c r="F32" s="50">
        <f>F17+F27</f>
        <v>0</v>
      </c>
      <c r="G32" s="50">
        <f>G17+G27</f>
        <v>26030</v>
      </c>
      <c r="H32" s="56"/>
      <c r="I32" s="57"/>
      <c r="J32" s="50">
        <f t="shared" ref="J32:K32" si="12">J17+J27</f>
        <v>5872.5</v>
      </c>
      <c r="K32" s="50">
        <f t="shared" si="12"/>
        <v>489.37500000000006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zoomScaleNormal="100" workbookViewId="0">
      <selection activeCell="D17" sqref="D17"/>
    </sheetView>
  </sheetViews>
  <sheetFormatPr baseColWidth="10" defaultColWidth="9.33203125" defaultRowHeight="12.75" x14ac:dyDescent="0.2"/>
  <cols>
    <col min="1" max="1" width="41.83203125" customWidth="1"/>
    <col min="2" max="13" width="9.83203125" customWidth="1"/>
    <col min="14" max="16" width="14" customWidth="1"/>
    <col min="17" max="17" width="12" bestFit="1" customWidth="1"/>
  </cols>
  <sheetData>
    <row r="1" spans="1:20" ht="83.1" customHeight="1" x14ac:dyDescent="0.2">
      <c r="A1" s="262" t="s">
        <v>39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3"/>
      <c r="O1" s="263"/>
      <c r="P1" s="263"/>
      <c r="Q1" s="263"/>
      <c r="R1" s="263"/>
      <c r="S1" s="263"/>
      <c r="T1" s="263"/>
    </row>
    <row r="3" spans="1:20" x14ac:dyDescent="0.2">
      <c r="A3" s="12" t="s">
        <v>12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34" t="s">
        <v>47</v>
      </c>
      <c r="O3" s="35"/>
      <c r="P3" s="35"/>
    </row>
    <row r="4" spans="1:20" x14ac:dyDescent="0.2">
      <c r="A4" s="7" t="s">
        <v>3</v>
      </c>
      <c r="B4" s="31">
        <v>44562</v>
      </c>
      <c r="C4" s="31">
        <v>44593</v>
      </c>
      <c r="D4" s="31">
        <v>44621</v>
      </c>
      <c r="E4" s="31">
        <v>44652</v>
      </c>
      <c r="F4" s="31">
        <v>44682</v>
      </c>
      <c r="G4" s="31">
        <v>44713</v>
      </c>
      <c r="H4" s="31">
        <v>44743</v>
      </c>
      <c r="I4" s="31">
        <v>44774</v>
      </c>
      <c r="J4" s="31">
        <v>44805</v>
      </c>
      <c r="K4" s="31">
        <v>44835</v>
      </c>
      <c r="L4" s="31">
        <v>44866</v>
      </c>
      <c r="M4" s="31">
        <v>44896</v>
      </c>
      <c r="N4" s="20">
        <v>2023</v>
      </c>
      <c r="O4" s="20">
        <v>2024</v>
      </c>
      <c r="P4" s="20">
        <v>2025</v>
      </c>
    </row>
    <row r="5" spans="1:20" x14ac:dyDescent="0.2">
      <c r="A5" s="8" t="s">
        <v>4</v>
      </c>
      <c r="B5" s="32">
        <f>$N$5/12</f>
        <v>12150</v>
      </c>
      <c r="C5" s="32">
        <f t="shared" ref="C5:M5" si="0">$N$5/12</f>
        <v>12150</v>
      </c>
      <c r="D5" s="32">
        <f t="shared" si="0"/>
        <v>12150</v>
      </c>
      <c r="E5" s="32">
        <f t="shared" si="0"/>
        <v>12150</v>
      </c>
      <c r="F5" s="32">
        <f t="shared" si="0"/>
        <v>12150</v>
      </c>
      <c r="G5" s="32">
        <f t="shared" si="0"/>
        <v>12150</v>
      </c>
      <c r="H5" s="32">
        <f t="shared" si="0"/>
        <v>12150</v>
      </c>
      <c r="I5" s="32">
        <f t="shared" si="0"/>
        <v>12150</v>
      </c>
      <c r="J5" s="32">
        <f t="shared" si="0"/>
        <v>12150</v>
      </c>
      <c r="K5" s="32">
        <f t="shared" si="0"/>
        <v>12150</v>
      </c>
      <c r="L5" s="32">
        <f t="shared" si="0"/>
        <v>12150</v>
      </c>
      <c r="M5" s="32">
        <f t="shared" si="0"/>
        <v>12150</v>
      </c>
      <c r="N5" s="30">
        <v>145800</v>
      </c>
      <c r="O5" s="19">
        <f t="shared" ref="O5:P7" si="1">N5*1.05</f>
        <v>153090</v>
      </c>
      <c r="P5" s="19">
        <f t="shared" si="1"/>
        <v>160744.5</v>
      </c>
      <c r="Q5" s="12" t="s">
        <v>30</v>
      </c>
      <c r="R5" s="12" t="s">
        <v>32</v>
      </c>
    </row>
    <row r="6" spans="1:20" x14ac:dyDescent="0.2">
      <c r="A6" s="9" t="s">
        <v>38</v>
      </c>
      <c r="B6" s="32">
        <f>$N$6/12</f>
        <v>500</v>
      </c>
      <c r="C6" s="32">
        <f t="shared" ref="C6:M6" si="2">$N$6/12</f>
        <v>500</v>
      </c>
      <c r="D6" s="32">
        <f t="shared" si="2"/>
        <v>500</v>
      </c>
      <c r="E6" s="32">
        <f t="shared" si="2"/>
        <v>500</v>
      </c>
      <c r="F6" s="32">
        <f t="shared" si="2"/>
        <v>500</v>
      </c>
      <c r="G6" s="32">
        <f t="shared" si="2"/>
        <v>500</v>
      </c>
      <c r="H6" s="32">
        <f t="shared" si="2"/>
        <v>500</v>
      </c>
      <c r="I6" s="32">
        <f t="shared" si="2"/>
        <v>500</v>
      </c>
      <c r="J6" s="32">
        <f t="shared" si="2"/>
        <v>500</v>
      </c>
      <c r="K6" s="32">
        <f t="shared" si="2"/>
        <v>500</v>
      </c>
      <c r="L6" s="32">
        <f t="shared" si="2"/>
        <v>500</v>
      </c>
      <c r="M6" s="32">
        <f t="shared" si="2"/>
        <v>500</v>
      </c>
      <c r="N6" s="19">
        <v>6000</v>
      </c>
      <c r="O6" s="19">
        <f t="shared" si="1"/>
        <v>6300</v>
      </c>
      <c r="P6" s="19">
        <f t="shared" si="1"/>
        <v>6615</v>
      </c>
      <c r="Q6" s="12" t="s">
        <v>30</v>
      </c>
      <c r="R6" s="12" t="s">
        <v>33</v>
      </c>
    </row>
    <row r="7" spans="1:20" x14ac:dyDescent="0.2">
      <c r="A7" s="9" t="s">
        <v>71</v>
      </c>
      <c r="B7" s="32">
        <f>$N$7/12</f>
        <v>50</v>
      </c>
      <c r="C7" s="32">
        <f t="shared" ref="C7:M7" si="3">$N$7/12</f>
        <v>50</v>
      </c>
      <c r="D7" s="32">
        <f t="shared" si="3"/>
        <v>50</v>
      </c>
      <c r="E7" s="32">
        <f t="shared" si="3"/>
        <v>50</v>
      </c>
      <c r="F7" s="32">
        <f t="shared" si="3"/>
        <v>50</v>
      </c>
      <c r="G7" s="32">
        <f t="shared" si="3"/>
        <v>50</v>
      </c>
      <c r="H7" s="32">
        <f t="shared" si="3"/>
        <v>50</v>
      </c>
      <c r="I7" s="32">
        <f t="shared" si="3"/>
        <v>50</v>
      </c>
      <c r="J7" s="32">
        <f t="shared" si="3"/>
        <v>50</v>
      </c>
      <c r="K7" s="32">
        <f t="shared" si="3"/>
        <v>50</v>
      </c>
      <c r="L7" s="32">
        <f t="shared" si="3"/>
        <v>50</v>
      </c>
      <c r="M7" s="32">
        <f t="shared" si="3"/>
        <v>50</v>
      </c>
      <c r="N7" s="19">
        <v>600</v>
      </c>
      <c r="O7" s="19">
        <f t="shared" si="1"/>
        <v>630</v>
      </c>
      <c r="P7" s="19">
        <f t="shared" si="1"/>
        <v>661.5</v>
      </c>
      <c r="Q7" s="12" t="s">
        <v>31</v>
      </c>
    </row>
    <row r="8" spans="1:20" x14ac:dyDescent="0.2">
      <c r="A8" s="9" t="s">
        <v>26</v>
      </c>
      <c r="B8" s="32">
        <f>$N$8/12</f>
        <v>1720</v>
      </c>
      <c r="C8" s="32">
        <f t="shared" ref="C8:M8" si="4">$N$8/12</f>
        <v>1720</v>
      </c>
      <c r="D8" s="32">
        <f t="shared" si="4"/>
        <v>1720</v>
      </c>
      <c r="E8" s="32">
        <f t="shared" si="4"/>
        <v>1720</v>
      </c>
      <c r="F8" s="32">
        <f t="shared" si="4"/>
        <v>1720</v>
      </c>
      <c r="G8" s="32">
        <f t="shared" si="4"/>
        <v>1720</v>
      </c>
      <c r="H8" s="32">
        <f t="shared" si="4"/>
        <v>1720</v>
      </c>
      <c r="I8" s="32">
        <f t="shared" si="4"/>
        <v>1720</v>
      </c>
      <c r="J8" s="32">
        <f t="shared" si="4"/>
        <v>1720</v>
      </c>
      <c r="K8" s="32">
        <f t="shared" si="4"/>
        <v>1720</v>
      </c>
      <c r="L8" s="32">
        <f t="shared" si="4"/>
        <v>1720</v>
      </c>
      <c r="M8" s="32">
        <f t="shared" si="4"/>
        <v>1720</v>
      </c>
      <c r="N8" s="19">
        <v>20640</v>
      </c>
      <c r="O8" s="19">
        <f>N8*1.05</f>
        <v>21672</v>
      </c>
      <c r="P8" s="19">
        <f t="shared" ref="P8" si="5">O8*1.05</f>
        <v>22755.600000000002</v>
      </c>
      <c r="Q8" s="12" t="s">
        <v>29</v>
      </c>
      <c r="R8" s="12" t="s">
        <v>34</v>
      </c>
    </row>
    <row r="9" spans="1:20" x14ac:dyDescent="0.2">
      <c r="A9" s="9" t="s">
        <v>72</v>
      </c>
      <c r="B9" s="33">
        <f>$N$9/12</f>
        <v>432.96610169491527</v>
      </c>
      <c r="C9" s="33">
        <f t="shared" ref="C9:M9" si="6">$N$9/12</f>
        <v>432.96610169491527</v>
      </c>
      <c r="D9" s="33">
        <f t="shared" si="6"/>
        <v>432.96610169491527</v>
      </c>
      <c r="E9" s="33">
        <f t="shared" si="6"/>
        <v>432.96610169491527</v>
      </c>
      <c r="F9" s="33">
        <f t="shared" si="6"/>
        <v>432.96610169491527</v>
      </c>
      <c r="G9" s="33">
        <f t="shared" si="6"/>
        <v>432.96610169491527</v>
      </c>
      <c r="H9" s="33">
        <f t="shared" si="6"/>
        <v>432.96610169491527</v>
      </c>
      <c r="I9" s="33">
        <f t="shared" si="6"/>
        <v>432.96610169491527</v>
      </c>
      <c r="J9" s="33">
        <f t="shared" si="6"/>
        <v>432.96610169491527</v>
      </c>
      <c r="K9" s="33">
        <f t="shared" si="6"/>
        <v>432.96610169491527</v>
      </c>
      <c r="L9" s="33">
        <f t="shared" si="6"/>
        <v>432.96610169491527</v>
      </c>
      <c r="M9" s="33">
        <f t="shared" si="6"/>
        <v>432.96610169491527</v>
      </c>
      <c r="N9" s="19">
        <v>5195.593220338983</v>
      </c>
      <c r="O9" s="19">
        <f>N9*1.05</f>
        <v>5455.3728813559328</v>
      </c>
      <c r="P9" s="19">
        <f t="shared" ref="P9" si="7">O9*1.05</f>
        <v>5728.1415254237299</v>
      </c>
      <c r="Q9" t="s">
        <v>29</v>
      </c>
      <c r="R9" s="12" t="s">
        <v>35</v>
      </c>
    </row>
    <row r="10" spans="1:20" x14ac:dyDescent="0.2">
      <c r="A10" s="9" t="s">
        <v>27</v>
      </c>
      <c r="B10" s="32">
        <f>$N$10/12</f>
        <v>140</v>
      </c>
      <c r="C10" s="32">
        <f t="shared" ref="C10:M10" si="8">$N$10/12</f>
        <v>140</v>
      </c>
      <c r="D10" s="32">
        <f t="shared" si="8"/>
        <v>140</v>
      </c>
      <c r="E10" s="32">
        <f t="shared" si="8"/>
        <v>140</v>
      </c>
      <c r="F10" s="32">
        <f t="shared" si="8"/>
        <v>140</v>
      </c>
      <c r="G10" s="32">
        <f t="shared" si="8"/>
        <v>140</v>
      </c>
      <c r="H10" s="32">
        <f t="shared" si="8"/>
        <v>140</v>
      </c>
      <c r="I10" s="32">
        <f t="shared" si="8"/>
        <v>140</v>
      </c>
      <c r="J10" s="32">
        <f t="shared" si="8"/>
        <v>140</v>
      </c>
      <c r="K10" s="32">
        <f t="shared" si="8"/>
        <v>140</v>
      </c>
      <c r="L10" s="32">
        <f t="shared" si="8"/>
        <v>140</v>
      </c>
      <c r="M10" s="32">
        <f t="shared" si="8"/>
        <v>140</v>
      </c>
      <c r="N10" s="19">
        <v>1680</v>
      </c>
      <c r="O10" s="19">
        <f>N10*1.05</f>
        <v>1764</v>
      </c>
      <c r="P10" s="19">
        <f t="shared" ref="P10" si="9">O10*1.05</f>
        <v>1852.2</v>
      </c>
      <c r="Q10" t="s">
        <v>29</v>
      </c>
      <c r="R10" s="12" t="s">
        <v>36</v>
      </c>
    </row>
    <row r="11" spans="1:20" x14ac:dyDescent="0.2">
      <c r="A11" s="9" t="s">
        <v>73</v>
      </c>
      <c r="B11" s="33">
        <f>$N$11/12</f>
        <v>423.72881355932208</v>
      </c>
      <c r="C11" s="33">
        <f t="shared" ref="C11:M11" si="10">$N$11/12</f>
        <v>423.72881355932208</v>
      </c>
      <c r="D11" s="33">
        <f t="shared" si="10"/>
        <v>423.72881355932208</v>
      </c>
      <c r="E11" s="33">
        <f t="shared" si="10"/>
        <v>423.72881355932208</v>
      </c>
      <c r="F11" s="33">
        <f t="shared" si="10"/>
        <v>423.72881355932208</v>
      </c>
      <c r="G11" s="33">
        <f t="shared" si="10"/>
        <v>423.72881355932208</v>
      </c>
      <c r="H11" s="33">
        <f t="shared" si="10"/>
        <v>423.72881355932208</v>
      </c>
      <c r="I11" s="33">
        <f t="shared" si="10"/>
        <v>423.72881355932208</v>
      </c>
      <c r="J11" s="33">
        <f t="shared" si="10"/>
        <v>423.72881355932208</v>
      </c>
      <c r="K11" s="33">
        <f t="shared" si="10"/>
        <v>423.72881355932208</v>
      </c>
      <c r="L11" s="33">
        <f t="shared" si="10"/>
        <v>423.72881355932208</v>
      </c>
      <c r="M11" s="33">
        <f t="shared" si="10"/>
        <v>423.72881355932208</v>
      </c>
      <c r="N11" s="19">
        <v>5084.7457627118647</v>
      </c>
      <c r="O11" s="19">
        <f>N11*1.05</f>
        <v>5338.9830508474579</v>
      </c>
      <c r="P11" s="19">
        <f t="shared" ref="P11:P12" si="11">O11*1.05</f>
        <v>5605.9322033898306</v>
      </c>
      <c r="Q11" t="s">
        <v>29</v>
      </c>
      <c r="R11" s="12" t="s">
        <v>37</v>
      </c>
    </row>
    <row r="12" spans="1:20" ht="15" customHeight="1" x14ac:dyDescent="0.2">
      <c r="A12" s="9" t="s">
        <v>46</v>
      </c>
      <c r="B12" s="32">
        <f>$N$12/12</f>
        <v>9.1666666666666661</v>
      </c>
      <c r="C12" s="32">
        <f t="shared" ref="C12:M12" si="12">$N$12/12</f>
        <v>9.1666666666666661</v>
      </c>
      <c r="D12" s="32">
        <f t="shared" si="12"/>
        <v>9.1666666666666661</v>
      </c>
      <c r="E12" s="32">
        <f t="shared" si="12"/>
        <v>9.1666666666666661</v>
      </c>
      <c r="F12" s="32">
        <f t="shared" si="12"/>
        <v>9.1666666666666661</v>
      </c>
      <c r="G12" s="32">
        <f t="shared" si="12"/>
        <v>9.1666666666666661</v>
      </c>
      <c r="H12" s="32">
        <f t="shared" si="12"/>
        <v>9.1666666666666661</v>
      </c>
      <c r="I12" s="32">
        <f t="shared" si="12"/>
        <v>9.1666666666666661</v>
      </c>
      <c r="J12" s="32">
        <f t="shared" si="12"/>
        <v>9.1666666666666661</v>
      </c>
      <c r="K12" s="32">
        <f t="shared" si="12"/>
        <v>9.1666666666666661</v>
      </c>
      <c r="L12" s="32">
        <f t="shared" si="12"/>
        <v>9.1666666666666661</v>
      </c>
      <c r="M12" s="32">
        <f t="shared" si="12"/>
        <v>9.1666666666666661</v>
      </c>
      <c r="N12" s="19">
        <v>110</v>
      </c>
      <c r="O12" s="19">
        <f t="shared" ref="O12" si="13">N12*1.05</f>
        <v>115.5</v>
      </c>
      <c r="P12" s="19">
        <f t="shared" si="11"/>
        <v>121.27500000000001</v>
      </c>
      <c r="R12" s="12" t="s">
        <v>40</v>
      </c>
    </row>
    <row r="13" spans="1:20" x14ac:dyDescent="0.2">
      <c r="A13" s="10" t="s">
        <v>5</v>
      </c>
      <c r="B13" s="11">
        <f>SUM(B5:B12)</f>
        <v>15425.861581920904</v>
      </c>
      <c r="C13" s="11">
        <f t="shared" ref="C13:M13" si="14">SUM(C5:C12)</f>
        <v>15425.861581920904</v>
      </c>
      <c r="D13" s="11">
        <f t="shared" si="14"/>
        <v>15425.861581920904</v>
      </c>
      <c r="E13" s="11">
        <f t="shared" si="14"/>
        <v>15425.861581920904</v>
      </c>
      <c r="F13" s="11">
        <f t="shared" si="14"/>
        <v>15425.861581920904</v>
      </c>
      <c r="G13" s="11">
        <f t="shared" si="14"/>
        <v>15425.861581920904</v>
      </c>
      <c r="H13" s="11">
        <f t="shared" si="14"/>
        <v>15425.861581920904</v>
      </c>
      <c r="I13" s="11">
        <f t="shared" si="14"/>
        <v>15425.861581920904</v>
      </c>
      <c r="J13" s="11">
        <f t="shared" si="14"/>
        <v>15425.861581920904</v>
      </c>
      <c r="K13" s="11">
        <f t="shared" si="14"/>
        <v>15425.861581920904</v>
      </c>
      <c r="L13" s="11">
        <f t="shared" si="14"/>
        <v>15425.861581920904</v>
      </c>
      <c r="M13" s="11">
        <f t="shared" si="14"/>
        <v>15425.861581920904</v>
      </c>
      <c r="N13" s="11">
        <f>SUM(N5:N11)</f>
        <v>185000.33898305084</v>
      </c>
      <c r="O13" s="11">
        <f>SUM(O5:O12)</f>
        <v>194365.85593220338</v>
      </c>
      <c r="P13" s="11">
        <f>SUM(P5:P12)</f>
        <v>204084.14872881357</v>
      </c>
    </row>
    <row r="15" spans="1:20" x14ac:dyDescent="0.2">
      <c r="N15">
        <f>140*12</f>
        <v>1680</v>
      </c>
    </row>
    <row r="18" spans="15:15" x14ac:dyDescent="0.2">
      <c r="O18" s="12"/>
    </row>
  </sheetData>
  <mergeCells count="1">
    <mergeCell ref="A1:T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J33"/>
  <sheetViews>
    <sheetView topLeftCell="D19" workbookViewId="0">
      <selection activeCell="A16" sqref="A16:S25"/>
    </sheetView>
  </sheetViews>
  <sheetFormatPr baseColWidth="10" defaultRowHeight="12.75" x14ac:dyDescent="0.2"/>
  <cols>
    <col min="1" max="1" width="55.5" bestFit="1" customWidth="1"/>
    <col min="2" max="2" width="22.33203125" customWidth="1"/>
    <col min="3" max="13" width="12" customWidth="1"/>
    <col min="14" max="15" width="12" hidden="1" customWidth="1"/>
    <col min="16" max="17" width="12" customWidth="1"/>
  </cols>
  <sheetData>
    <row r="3" spans="1:19" ht="18.75" x14ac:dyDescent="0.3">
      <c r="A3" s="37" t="s">
        <v>74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</row>
    <row r="4" spans="1:19" ht="15" x14ac:dyDescent="0.25">
      <c r="A4" s="59"/>
      <c r="B4" s="60" t="s">
        <v>75</v>
      </c>
      <c r="C4" s="60" t="s">
        <v>76</v>
      </c>
      <c r="D4" s="60" t="s">
        <v>77</v>
      </c>
      <c r="E4" s="60" t="s">
        <v>78</v>
      </c>
      <c r="F4" s="60" t="s">
        <v>79</v>
      </c>
      <c r="G4" s="60" t="s">
        <v>80</v>
      </c>
      <c r="H4" s="60" t="s">
        <v>81</v>
      </c>
      <c r="I4" s="60" t="s">
        <v>82</v>
      </c>
      <c r="J4" s="60" t="s">
        <v>83</v>
      </c>
      <c r="K4" s="60" t="s">
        <v>84</v>
      </c>
      <c r="L4" s="60" t="s">
        <v>85</v>
      </c>
      <c r="M4" s="60" t="s">
        <v>86</v>
      </c>
      <c r="N4" s="60" t="s">
        <v>87</v>
      </c>
      <c r="O4" s="60" t="s">
        <v>88</v>
      </c>
      <c r="P4" s="60" t="s">
        <v>89</v>
      </c>
      <c r="Q4" s="60" t="s">
        <v>90</v>
      </c>
    </row>
    <row r="5" spans="1:19" x14ac:dyDescent="0.2">
      <c r="A5" s="61" t="s">
        <v>38</v>
      </c>
      <c r="B5" s="43">
        <v>0</v>
      </c>
      <c r="C5" s="43">
        <v>500</v>
      </c>
      <c r="D5" s="43">
        <v>500</v>
      </c>
      <c r="E5" s="43">
        <v>500</v>
      </c>
      <c r="F5" s="43">
        <v>500</v>
      </c>
      <c r="G5" s="43">
        <v>500</v>
      </c>
      <c r="H5" s="43">
        <v>500</v>
      </c>
      <c r="I5" s="43">
        <v>500</v>
      </c>
      <c r="J5" s="43">
        <v>500</v>
      </c>
      <c r="K5" s="43">
        <v>500</v>
      </c>
      <c r="L5" s="43">
        <v>500</v>
      </c>
      <c r="M5" s="43">
        <v>500</v>
      </c>
      <c r="N5" s="43">
        <v>500</v>
      </c>
      <c r="O5" s="62">
        <f>SUM(C5:N5)</f>
        <v>6000</v>
      </c>
      <c r="P5" s="43">
        <f>O5*1.05</f>
        <v>6300</v>
      </c>
      <c r="Q5" s="43">
        <f>P5*1.05</f>
        <v>6615</v>
      </c>
    </row>
    <row r="6" spans="1:19" x14ac:dyDescent="0.2">
      <c r="A6" s="61" t="s">
        <v>71</v>
      </c>
      <c r="B6" s="43">
        <v>0</v>
      </c>
      <c r="C6" s="43">
        <v>50</v>
      </c>
      <c r="D6" s="43">
        <v>50</v>
      </c>
      <c r="E6" s="43">
        <v>50</v>
      </c>
      <c r="F6" s="43">
        <v>50</v>
      </c>
      <c r="G6" s="43">
        <v>50</v>
      </c>
      <c r="H6" s="43">
        <v>50</v>
      </c>
      <c r="I6" s="43">
        <v>50</v>
      </c>
      <c r="J6" s="43">
        <v>50</v>
      </c>
      <c r="K6" s="43">
        <v>50</v>
      </c>
      <c r="L6" s="43">
        <v>50</v>
      </c>
      <c r="M6" s="43">
        <v>50</v>
      </c>
      <c r="N6" s="43">
        <v>50</v>
      </c>
      <c r="O6" s="62">
        <f t="shared" ref="O6:O13" si="0">SUM(C6:N6)</f>
        <v>600</v>
      </c>
      <c r="P6" s="43">
        <f t="shared" ref="P6:Q13" si="1">O6*1.05</f>
        <v>630</v>
      </c>
      <c r="Q6" s="43">
        <f t="shared" si="1"/>
        <v>661.5</v>
      </c>
    </row>
    <row r="7" spans="1:19" x14ac:dyDescent="0.2">
      <c r="A7" s="61" t="s">
        <v>26</v>
      </c>
      <c r="B7" s="43">
        <v>0</v>
      </c>
      <c r="C7" s="43">
        <v>1720</v>
      </c>
      <c r="D7" s="43">
        <v>1720</v>
      </c>
      <c r="E7" s="43">
        <v>1720</v>
      </c>
      <c r="F7" s="43">
        <v>1720</v>
      </c>
      <c r="G7" s="43">
        <v>1720</v>
      </c>
      <c r="H7" s="43">
        <v>1720</v>
      </c>
      <c r="I7" s="43">
        <v>1720</v>
      </c>
      <c r="J7" s="43">
        <v>1720</v>
      </c>
      <c r="K7" s="43">
        <v>1720</v>
      </c>
      <c r="L7" s="43">
        <v>1720</v>
      </c>
      <c r="M7" s="43">
        <v>1720</v>
      </c>
      <c r="N7" s="43">
        <v>1720</v>
      </c>
      <c r="O7" s="62">
        <f t="shared" si="0"/>
        <v>20640</v>
      </c>
      <c r="P7" s="43">
        <f t="shared" si="1"/>
        <v>21672</v>
      </c>
      <c r="Q7" s="43">
        <f t="shared" si="1"/>
        <v>22755.600000000002</v>
      </c>
    </row>
    <row r="8" spans="1:19" x14ac:dyDescent="0.2">
      <c r="A8" s="61" t="s">
        <v>72</v>
      </c>
      <c r="B8" s="43">
        <v>0</v>
      </c>
      <c r="C8" s="43">
        <v>432.97</v>
      </c>
      <c r="D8" s="43">
        <v>432.97</v>
      </c>
      <c r="E8" s="43">
        <v>432.97</v>
      </c>
      <c r="F8" s="43">
        <v>432.97</v>
      </c>
      <c r="G8" s="43">
        <v>432.97</v>
      </c>
      <c r="H8" s="43">
        <v>432.97</v>
      </c>
      <c r="I8" s="43">
        <v>432.97</v>
      </c>
      <c r="J8" s="43">
        <v>432.97</v>
      </c>
      <c r="K8" s="43">
        <v>432.97</v>
      </c>
      <c r="L8" s="43">
        <v>432.97</v>
      </c>
      <c r="M8" s="43">
        <v>432.97</v>
      </c>
      <c r="N8" s="43">
        <v>432.97</v>
      </c>
      <c r="O8" s="62">
        <f t="shared" si="0"/>
        <v>5195.6400000000021</v>
      </c>
      <c r="P8" s="43">
        <f t="shared" si="1"/>
        <v>5455.4220000000023</v>
      </c>
      <c r="Q8" s="43">
        <f t="shared" si="1"/>
        <v>5728.1931000000022</v>
      </c>
    </row>
    <row r="9" spans="1:19" x14ac:dyDescent="0.2">
      <c r="A9" s="61" t="s">
        <v>27</v>
      </c>
      <c r="B9" s="43">
        <v>0</v>
      </c>
      <c r="C9" s="43">
        <v>140</v>
      </c>
      <c r="D9" s="43">
        <v>140</v>
      </c>
      <c r="E9" s="43">
        <v>140</v>
      </c>
      <c r="F9" s="43">
        <v>140</v>
      </c>
      <c r="G9" s="43">
        <v>140</v>
      </c>
      <c r="H9" s="43">
        <v>140</v>
      </c>
      <c r="I9" s="43">
        <v>140</v>
      </c>
      <c r="J9" s="43">
        <v>140</v>
      </c>
      <c r="K9" s="43">
        <v>140</v>
      </c>
      <c r="L9" s="43">
        <v>140</v>
      </c>
      <c r="M9" s="43">
        <v>140</v>
      </c>
      <c r="N9" s="43">
        <v>140</v>
      </c>
      <c r="O9" s="62">
        <f t="shared" si="0"/>
        <v>1680</v>
      </c>
      <c r="P9" s="43">
        <f t="shared" si="1"/>
        <v>1764</v>
      </c>
      <c r="Q9" s="43">
        <f t="shared" si="1"/>
        <v>1852.2</v>
      </c>
    </row>
    <row r="10" spans="1:19" x14ac:dyDescent="0.2">
      <c r="A10" s="61" t="s">
        <v>73</v>
      </c>
      <c r="B10" s="43">
        <v>0</v>
      </c>
      <c r="C10" s="43">
        <v>423.73</v>
      </c>
      <c r="D10" s="43">
        <v>423.73</v>
      </c>
      <c r="E10" s="43">
        <v>423.73</v>
      </c>
      <c r="F10" s="43">
        <v>423.73</v>
      </c>
      <c r="G10" s="43">
        <v>423.73</v>
      </c>
      <c r="H10" s="43">
        <v>423.73</v>
      </c>
      <c r="I10" s="43">
        <v>423.73</v>
      </c>
      <c r="J10" s="43">
        <v>423.73</v>
      </c>
      <c r="K10" s="43">
        <v>423.73</v>
      </c>
      <c r="L10" s="43">
        <v>423.73</v>
      </c>
      <c r="M10" s="43">
        <v>423.73</v>
      </c>
      <c r="N10" s="43">
        <v>423.73</v>
      </c>
      <c r="O10" s="62">
        <f t="shared" si="0"/>
        <v>5084.76</v>
      </c>
      <c r="P10" s="43">
        <f t="shared" si="1"/>
        <v>5338.9980000000005</v>
      </c>
      <c r="Q10" s="43">
        <f t="shared" si="1"/>
        <v>5605.947900000001</v>
      </c>
    </row>
    <row r="11" spans="1:19" ht="15" x14ac:dyDescent="0.2">
      <c r="A11" s="63" t="s">
        <v>46</v>
      </c>
      <c r="B11" s="43">
        <v>0</v>
      </c>
      <c r="C11" s="43">
        <v>9.17</v>
      </c>
      <c r="D11" s="43">
        <v>9.17</v>
      </c>
      <c r="E11" s="43">
        <v>9.17</v>
      </c>
      <c r="F11" s="43">
        <v>9.17</v>
      </c>
      <c r="G11" s="43">
        <v>9.17</v>
      </c>
      <c r="H11" s="43">
        <v>9.17</v>
      </c>
      <c r="I11" s="43">
        <v>9.17</v>
      </c>
      <c r="J11" s="43">
        <v>9.17</v>
      </c>
      <c r="K11" s="43">
        <v>9.17</v>
      </c>
      <c r="L11" s="43">
        <v>9.17</v>
      </c>
      <c r="M11" s="43">
        <v>9.17</v>
      </c>
      <c r="N11" s="43">
        <v>9.17</v>
      </c>
      <c r="O11" s="62">
        <f t="shared" si="0"/>
        <v>110.04</v>
      </c>
      <c r="P11" s="43">
        <f t="shared" si="1"/>
        <v>115.54200000000002</v>
      </c>
      <c r="Q11" s="43">
        <f t="shared" si="1"/>
        <v>121.31910000000002</v>
      </c>
    </row>
    <row r="12" spans="1:19" ht="15" x14ac:dyDescent="0.2">
      <c r="A12" s="63" t="s">
        <v>91</v>
      </c>
      <c r="B12" s="43">
        <v>0</v>
      </c>
      <c r="C12" s="43">
        <v>150</v>
      </c>
      <c r="D12" s="43">
        <v>150</v>
      </c>
      <c r="E12" s="43">
        <v>150</v>
      </c>
      <c r="F12" s="43">
        <v>150</v>
      </c>
      <c r="G12" s="43">
        <v>150</v>
      </c>
      <c r="H12" s="43">
        <v>150</v>
      </c>
      <c r="I12" s="43">
        <v>150</v>
      </c>
      <c r="J12" s="43">
        <v>150</v>
      </c>
      <c r="K12" s="43">
        <v>150</v>
      </c>
      <c r="L12" s="43">
        <v>150</v>
      </c>
      <c r="M12" s="43">
        <v>150</v>
      </c>
      <c r="N12" s="43">
        <v>150</v>
      </c>
      <c r="O12" s="62">
        <f t="shared" si="0"/>
        <v>1800</v>
      </c>
      <c r="P12" s="43">
        <f t="shared" si="1"/>
        <v>1890</v>
      </c>
      <c r="Q12" s="43">
        <f t="shared" si="1"/>
        <v>1984.5</v>
      </c>
    </row>
    <row r="13" spans="1:19" ht="15" x14ac:dyDescent="0.2">
      <c r="A13" s="63" t="s">
        <v>154</v>
      </c>
      <c r="B13" s="43">
        <v>0</v>
      </c>
      <c r="C13" s="43">
        <v>500</v>
      </c>
      <c r="D13" s="43">
        <v>500</v>
      </c>
      <c r="E13" s="43">
        <v>500</v>
      </c>
      <c r="F13" s="43">
        <v>400</v>
      </c>
      <c r="G13" s="43">
        <v>400</v>
      </c>
      <c r="H13" s="43">
        <v>400</v>
      </c>
      <c r="I13" s="43">
        <v>400</v>
      </c>
      <c r="J13" s="43">
        <v>400</v>
      </c>
      <c r="K13" s="43">
        <v>400</v>
      </c>
      <c r="L13" s="43">
        <v>400</v>
      </c>
      <c r="M13" s="43">
        <v>400</v>
      </c>
      <c r="N13" s="43">
        <v>400</v>
      </c>
      <c r="O13" s="62">
        <f t="shared" si="0"/>
        <v>5100</v>
      </c>
      <c r="P13" s="43">
        <f t="shared" si="1"/>
        <v>5355</v>
      </c>
      <c r="Q13" s="43">
        <f t="shared" si="1"/>
        <v>5622.75</v>
      </c>
    </row>
    <row r="14" spans="1:19" ht="15" x14ac:dyDescent="0.25">
      <c r="A14" s="64" t="s">
        <v>92</v>
      </c>
      <c r="B14" s="65">
        <f t="shared" ref="B14:Q14" si="2">SUM(B5:B13)</f>
        <v>0</v>
      </c>
      <c r="C14" s="65">
        <f t="shared" si="2"/>
        <v>3925.8700000000003</v>
      </c>
      <c r="D14" s="65">
        <f t="shared" si="2"/>
        <v>3925.8700000000003</v>
      </c>
      <c r="E14" s="65">
        <f t="shared" si="2"/>
        <v>3925.8700000000003</v>
      </c>
      <c r="F14" s="65">
        <f t="shared" si="2"/>
        <v>3825.8700000000003</v>
      </c>
      <c r="G14" s="65">
        <f t="shared" si="2"/>
        <v>3825.8700000000003</v>
      </c>
      <c r="H14" s="65">
        <f t="shared" si="2"/>
        <v>3825.8700000000003</v>
      </c>
      <c r="I14" s="65">
        <f t="shared" si="2"/>
        <v>3825.8700000000003</v>
      </c>
      <c r="J14" s="65">
        <f t="shared" si="2"/>
        <v>3825.8700000000003</v>
      </c>
      <c r="K14" s="65">
        <f t="shared" si="2"/>
        <v>3825.8700000000003</v>
      </c>
      <c r="L14" s="65">
        <f t="shared" si="2"/>
        <v>3825.8700000000003</v>
      </c>
      <c r="M14" s="65">
        <f t="shared" si="2"/>
        <v>3825.8700000000003</v>
      </c>
      <c r="N14" s="65">
        <f t="shared" si="2"/>
        <v>3825.8700000000003</v>
      </c>
      <c r="O14" s="65">
        <f t="shared" si="2"/>
        <v>46210.44</v>
      </c>
      <c r="P14" s="65">
        <f t="shared" si="2"/>
        <v>48520.962000000007</v>
      </c>
      <c r="Q14" s="65">
        <f t="shared" si="2"/>
        <v>50947.0101</v>
      </c>
    </row>
    <row r="16" spans="1:19" ht="19.5" thickBot="1" x14ac:dyDescent="0.35">
      <c r="A16" s="37" t="s">
        <v>235</v>
      </c>
      <c r="B16" s="66"/>
      <c r="C16" s="67"/>
      <c r="D16" s="68"/>
      <c r="E16" s="68"/>
      <c r="F16" s="68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</row>
    <row r="17" spans="1:36" ht="15.75" thickBot="1" x14ac:dyDescent="0.3">
      <c r="A17" s="69"/>
      <c r="B17" s="69"/>
      <c r="C17" s="68"/>
      <c r="D17" s="68"/>
      <c r="E17" s="264" t="s">
        <v>88</v>
      </c>
      <c r="F17" s="265"/>
      <c r="G17" s="265"/>
      <c r="H17" s="265"/>
      <c r="I17" s="265"/>
      <c r="J17" s="265"/>
      <c r="K17" s="266"/>
      <c r="L17" s="69"/>
      <c r="M17" s="69"/>
      <c r="N17" s="69"/>
      <c r="O17" s="69"/>
      <c r="P17" s="69"/>
      <c r="Q17" s="69"/>
      <c r="R17" s="69"/>
      <c r="S17" s="69"/>
    </row>
    <row r="18" spans="1:36" ht="15.75" thickBot="1" x14ac:dyDescent="0.3">
      <c r="A18" s="69"/>
      <c r="B18" s="267" t="s">
        <v>93</v>
      </c>
      <c r="C18" s="268"/>
      <c r="D18" s="269"/>
      <c r="E18" s="70" t="s">
        <v>94</v>
      </c>
      <c r="F18" s="70" t="s">
        <v>95</v>
      </c>
      <c r="G18" s="70" t="s">
        <v>95</v>
      </c>
      <c r="H18" s="70" t="s">
        <v>96</v>
      </c>
      <c r="I18" s="70" t="s">
        <v>97</v>
      </c>
      <c r="J18" s="70" t="s">
        <v>98</v>
      </c>
      <c r="K18" s="70" t="s">
        <v>99</v>
      </c>
      <c r="L18" s="264" t="s">
        <v>100</v>
      </c>
      <c r="M18" s="265"/>
      <c r="N18" s="265"/>
      <c r="O18" s="266"/>
      <c r="P18" s="264" t="s">
        <v>101</v>
      </c>
      <c r="Q18" s="265"/>
      <c r="R18" s="264" t="s">
        <v>99</v>
      </c>
      <c r="S18" s="265"/>
    </row>
    <row r="19" spans="1:36" ht="15.75" thickBot="1" x14ac:dyDescent="0.3">
      <c r="A19" s="69"/>
      <c r="B19" s="53" t="s">
        <v>102</v>
      </c>
      <c r="C19" s="53" t="s">
        <v>103</v>
      </c>
      <c r="D19" s="71" t="s">
        <v>104</v>
      </c>
      <c r="E19" s="72" t="s">
        <v>105</v>
      </c>
      <c r="F19" s="73" t="s">
        <v>106</v>
      </c>
      <c r="G19" s="73" t="s">
        <v>107</v>
      </c>
      <c r="H19" s="73" t="s">
        <v>108</v>
      </c>
      <c r="I19" s="73" t="s">
        <v>109</v>
      </c>
      <c r="J19" s="73" t="s">
        <v>109</v>
      </c>
      <c r="K19" s="73" t="s">
        <v>110</v>
      </c>
      <c r="L19" s="74" t="s">
        <v>111</v>
      </c>
      <c r="M19" s="75" t="s">
        <v>112</v>
      </c>
      <c r="N19" s="74" t="s">
        <v>113</v>
      </c>
      <c r="O19" s="76" t="s">
        <v>114</v>
      </c>
      <c r="P19" s="74" t="s">
        <v>111</v>
      </c>
      <c r="Q19" s="75" t="s">
        <v>112</v>
      </c>
      <c r="R19" s="74" t="s">
        <v>111</v>
      </c>
      <c r="S19" s="77" t="s">
        <v>112</v>
      </c>
    </row>
    <row r="20" spans="1:36" ht="15" x14ac:dyDescent="0.25">
      <c r="A20" s="78" t="s">
        <v>115</v>
      </c>
      <c r="B20" s="79"/>
      <c r="C20" s="79"/>
      <c r="D20" s="80">
        <f>+B20*C20</f>
        <v>0</v>
      </c>
      <c r="E20" s="79">
        <v>1</v>
      </c>
      <c r="F20" s="81">
        <v>4404</v>
      </c>
      <c r="G20" s="44">
        <f>+E20*F20</f>
        <v>4404</v>
      </c>
      <c r="H20" s="44">
        <f>G20*0.09</f>
        <v>396.36</v>
      </c>
      <c r="I20" s="44">
        <f t="shared" ref="I20:I24" si="3">+IF($E$7="GENERAL",$D$12,IF($E$7="MICRO",$E$12,IF($E$7="PEQUEÑA",$F$12)))*G20*2</f>
        <v>0</v>
      </c>
      <c r="J20" s="44">
        <f t="shared" ref="J20:J24" si="4">+IF($E$7="GENERAL",$D$11,IF($E$7="MICRO",$E$11,IF($E$7="PEQUEÑA",$F$11)))*G20*2</f>
        <v>0</v>
      </c>
      <c r="K20" s="44">
        <f>+(G20+H20)*12+I20+J20</f>
        <v>57604.319999999992</v>
      </c>
      <c r="L20" s="43">
        <v>1</v>
      </c>
      <c r="M20" s="43">
        <v>1</v>
      </c>
      <c r="N20" s="43">
        <v>1</v>
      </c>
      <c r="O20" s="43">
        <v>1</v>
      </c>
      <c r="P20" s="82">
        <v>0.05</v>
      </c>
      <c r="Q20" s="82">
        <v>0.05</v>
      </c>
      <c r="R20" s="83">
        <f>IF(ISERROR(K20/E20*L20*(1+P20))," ",K20/E20*L20*(1+P20))</f>
        <v>60484.535999999993</v>
      </c>
      <c r="S20" s="83">
        <f>+IF(ISERROR(K20/E20*M20*(1+P20)*(1+Q20))," ",K20/E20*M20*(1+P20)*(1+Q20))</f>
        <v>63508.762799999997</v>
      </c>
    </row>
    <row r="21" spans="1:36" ht="15" x14ac:dyDescent="0.25">
      <c r="A21" s="84" t="s">
        <v>116</v>
      </c>
      <c r="B21" s="79"/>
      <c r="C21" s="79"/>
      <c r="D21" s="80">
        <f t="shared" ref="D21:D24" si="5">+B21*C21</f>
        <v>0</v>
      </c>
      <c r="E21" s="79">
        <v>1</v>
      </c>
      <c r="F21" s="43">
        <v>2477</v>
      </c>
      <c r="G21" s="44">
        <f t="shared" ref="G21:G24" si="6">+E21*F21</f>
        <v>2477</v>
      </c>
      <c r="H21" s="44">
        <f t="shared" ref="H21:H24" si="7">G21*0.09</f>
        <v>222.92999999999998</v>
      </c>
      <c r="I21" s="44">
        <f t="shared" si="3"/>
        <v>0</v>
      </c>
      <c r="J21" s="44">
        <f t="shared" si="4"/>
        <v>0</v>
      </c>
      <c r="K21" s="44">
        <f>+(G21+H21)*12+I21+J21</f>
        <v>32399.159999999996</v>
      </c>
      <c r="L21" s="43">
        <v>1</v>
      </c>
      <c r="M21" s="43">
        <v>1</v>
      </c>
      <c r="N21" s="43">
        <v>1</v>
      </c>
      <c r="O21" s="43">
        <v>1</v>
      </c>
      <c r="P21" s="82">
        <v>0.05</v>
      </c>
      <c r="Q21" s="82">
        <v>0.05</v>
      </c>
      <c r="R21" s="83">
        <f>IF(ISERROR(K21/E21*L21*(1+P21))," ",K21/E21*L21*(1+P21))</f>
        <v>34019.117999999995</v>
      </c>
      <c r="S21" s="83">
        <f>+IF(ISERROR(K21/E21*M21*(1+P21)*(1+Q21))," ",K21/E21*M21*(1+P21)*(1+Q21))</f>
        <v>35720.073899999996</v>
      </c>
    </row>
    <row r="22" spans="1:36" ht="15" x14ac:dyDescent="0.25">
      <c r="A22" s="84" t="s">
        <v>117</v>
      </c>
      <c r="B22" s="79"/>
      <c r="C22" s="79"/>
      <c r="D22" s="80">
        <f t="shared" si="5"/>
        <v>0</v>
      </c>
      <c r="E22" s="79">
        <v>1</v>
      </c>
      <c r="F22" s="43">
        <v>2477</v>
      </c>
      <c r="G22" s="44">
        <f t="shared" si="6"/>
        <v>2477</v>
      </c>
      <c r="H22" s="44">
        <f t="shared" si="7"/>
        <v>222.92999999999998</v>
      </c>
      <c r="I22" s="44">
        <f t="shared" si="3"/>
        <v>0</v>
      </c>
      <c r="J22" s="44">
        <f t="shared" si="4"/>
        <v>0</v>
      </c>
      <c r="K22" s="44">
        <f t="shared" ref="K22:K24" si="8">+(G22+H22)*12+I22+J22</f>
        <v>32399.159999999996</v>
      </c>
      <c r="L22" s="43">
        <v>1</v>
      </c>
      <c r="M22" s="43">
        <v>1</v>
      </c>
      <c r="N22" s="43">
        <v>1</v>
      </c>
      <c r="O22" s="43">
        <v>1</v>
      </c>
      <c r="P22" s="82">
        <v>0.05</v>
      </c>
      <c r="Q22" s="82">
        <v>0.05</v>
      </c>
      <c r="R22" s="83">
        <f>IF(ISERROR(K22/E22*L22*(1+P22))," ",K22/E22*L22*(1+P22))</f>
        <v>34019.117999999995</v>
      </c>
      <c r="S22" s="83">
        <f>+IF(ISERROR(K22/E22*M22*(1+P22)*(1+Q22))," ",K22/E22*M22*(1+P22)*(1+Q22))</f>
        <v>35720.073899999996</v>
      </c>
    </row>
    <row r="23" spans="1:36" ht="15" x14ac:dyDescent="0.25">
      <c r="A23" s="84" t="s">
        <v>118</v>
      </c>
      <c r="B23" s="79"/>
      <c r="C23" s="79"/>
      <c r="D23" s="80">
        <f t="shared" si="5"/>
        <v>0</v>
      </c>
      <c r="E23" s="79">
        <v>1</v>
      </c>
      <c r="F23" s="43">
        <v>2477</v>
      </c>
      <c r="G23" s="44">
        <f t="shared" si="6"/>
        <v>2477</v>
      </c>
      <c r="H23" s="44">
        <f t="shared" si="7"/>
        <v>222.92999999999998</v>
      </c>
      <c r="I23" s="44">
        <f t="shared" si="3"/>
        <v>0</v>
      </c>
      <c r="J23" s="44">
        <f t="shared" si="4"/>
        <v>0</v>
      </c>
      <c r="K23" s="44">
        <f t="shared" si="8"/>
        <v>32399.159999999996</v>
      </c>
      <c r="L23" s="43">
        <v>1</v>
      </c>
      <c r="M23" s="43">
        <v>1</v>
      </c>
      <c r="N23" s="43">
        <v>1</v>
      </c>
      <c r="O23" s="43">
        <v>1</v>
      </c>
      <c r="P23" s="82">
        <v>0.05</v>
      </c>
      <c r="Q23" s="82">
        <v>0.05</v>
      </c>
      <c r="R23" s="83">
        <f>IF(ISERROR(K23/E23*L23*(1+P23))," ",K23/E23*L23*(1+P23))</f>
        <v>34019.117999999995</v>
      </c>
      <c r="S23" s="83">
        <f>+IF(ISERROR(K23/E23*M23*(1+P23)*(1+Q23))," ",K23/E23*M23*(1+P23)*(1+Q23))</f>
        <v>35720.073899999996</v>
      </c>
    </row>
    <row r="24" spans="1:36" ht="15" x14ac:dyDescent="0.25">
      <c r="A24" s="84" t="s">
        <v>119</v>
      </c>
      <c r="B24" s="79"/>
      <c r="C24" s="79"/>
      <c r="D24" s="80">
        <f t="shared" si="5"/>
        <v>0</v>
      </c>
      <c r="E24" s="79">
        <v>1</v>
      </c>
      <c r="F24" s="43">
        <v>2477</v>
      </c>
      <c r="G24" s="44">
        <f t="shared" si="6"/>
        <v>2477</v>
      </c>
      <c r="H24" s="44">
        <f t="shared" si="7"/>
        <v>222.92999999999998</v>
      </c>
      <c r="I24" s="44">
        <f t="shared" si="3"/>
        <v>0</v>
      </c>
      <c r="J24" s="44">
        <f t="shared" si="4"/>
        <v>0</v>
      </c>
      <c r="K24" s="44">
        <f t="shared" si="8"/>
        <v>32399.159999999996</v>
      </c>
      <c r="L24" s="43">
        <v>1</v>
      </c>
      <c r="M24" s="43">
        <v>1</v>
      </c>
      <c r="N24" s="43">
        <v>1</v>
      </c>
      <c r="O24" s="43">
        <v>1</v>
      </c>
      <c r="P24" s="82">
        <v>0.05</v>
      </c>
      <c r="Q24" s="82">
        <v>0.05</v>
      </c>
      <c r="R24" s="83">
        <f>IF(ISERROR(K24/E24*L24*(1+P24))," ",K24/E24*L24*(1+P24))</f>
        <v>34019.117999999995</v>
      </c>
      <c r="S24" s="83">
        <f>+IF(ISERROR(K24/E24*M24*(1+P24)*(1+Q24))," ",K24/E24*M24*(1+P24)*(1+Q24))</f>
        <v>35720.073899999996</v>
      </c>
    </row>
    <row r="25" spans="1:36" s="92" customFormat="1" ht="15" x14ac:dyDescent="0.25">
      <c r="A25" s="90" t="s">
        <v>122</v>
      </c>
      <c r="B25" s="50">
        <f>SUM(B20:B24)</f>
        <v>0</v>
      </c>
      <c r="C25" s="50">
        <f>SUM(C20:C24)</f>
        <v>0</v>
      </c>
      <c r="D25" s="50">
        <f t="shared" ref="D25:M25" si="9">SUM(D20:D24)</f>
        <v>0</v>
      </c>
      <c r="E25" s="50">
        <f t="shared" si="9"/>
        <v>5</v>
      </c>
      <c r="F25" s="50">
        <f t="shared" si="9"/>
        <v>14312</v>
      </c>
      <c r="G25" s="50">
        <f t="shared" si="9"/>
        <v>14312</v>
      </c>
      <c r="H25" s="50">
        <f t="shared" si="9"/>
        <v>1288.08</v>
      </c>
      <c r="I25" s="50">
        <f t="shared" si="9"/>
        <v>0</v>
      </c>
      <c r="J25" s="50">
        <f t="shared" si="9"/>
        <v>0</v>
      </c>
      <c r="K25" s="50">
        <f t="shared" si="9"/>
        <v>187200.96</v>
      </c>
      <c r="L25" s="50">
        <f t="shared" si="9"/>
        <v>5</v>
      </c>
      <c r="M25" s="50">
        <f t="shared" si="9"/>
        <v>5</v>
      </c>
      <c r="N25" s="50">
        <f>SUM(N10:N24)</f>
        <v>4813.7700000000004</v>
      </c>
      <c r="O25" s="50">
        <f>SUM(O10:O24)</f>
        <v>58310.240000000005</v>
      </c>
      <c r="P25" s="91"/>
      <c r="Q25" s="91"/>
      <c r="R25" s="50">
        <f t="shared" ref="R25" si="10">SUM(R20:R24)</f>
        <v>196561.00799999994</v>
      </c>
      <c r="S25" s="50">
        <f t="shared" ref="S25" si="11">SUM(S20:S24)</f>
        <v>206389.05839999995</v>
      </c>
      <c r="T25"/>
      <c r="U25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</row>
    <row r="27" spans="1:36" ht="18.75" x14ac:dyDescent="0.3">
      <c r="A27" s="37" t="s">
        <v>235</v>
      </c>
      <c r="B27" s="66"/>
      <c r="C27" s="67"/>
      <c r="D27" s="68"/>
      <c r="E27" s="68"/>
      <c r="F27" s="68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</row>
    <row r="28" spans="1:36" ht="15" x14ac:dyDescent="0.25">
      <c r="A28" s="69"/>
      <c r="B28" s="60" t="s">
        <v>75</v>
      </c>
      <c r="C28" s="60" t="s">
        <v>76</v>
      </c>
      <c r="D28" s="60" t="s">
        <v>77</v>
      </c>
      <c r="E28" s="60" t="s">
        <v>78</v>
      </c>
      <c r="F28" s="60" t="s">
        <v>79</v>
      </c>
      <c r="G28" s="60" t="s">
        <v>80</v>
      </c>
      <c r="H28" s="60" t="s">
        <v>81</v>
      </c>
      <c r="I28" s="60" t="s">
        <v>82</v>
      </c>
      <c r="J28" s="60" t="s">
        <v>83</v>
      </c>
      <c r="K28" s="60" t="s">
        <v>84</v>
      </c>
      <c r="L28" s="60" t="s">
        <v>85</v>
      </c>
      <c r="M28" s="60" t="s">
        <v>86</v>
      </c>
      <c r="N28" s="60" t="s">
        <v>87</v>
      </c>
      <c r="O28" s="60" t="s">
        <v>110</v>
      </c>
      <c r="P28" s="60" t="s">
        <v>111</v>
      </c>
      <c r="Q28" s="60" t="s">
        <v>112</v>
      </c>
    </row>
    <row r="29" spans="1:36" x14ac:dyDescent="0.2">
      <c r="A29" s="85" t="s">
        <v>120</v>
      </c>
      <c r="B29" s="86">
        <f>+D25</f>
        <v>0</v>
      </c>
      <c r="C29" s="87">
        <f t="shared" ref="C29:N29" si="12">$F$25</f>
        <v>14312</v>
      </c>
      <c r="D29" s="87">
        <f t="shared" si="12"/>
        <v>14312</v>
      </c>
      <c r="E29" s="87">
        <f t="shared" si="12"/>
        <v>14312</v>
      </c>
      <c r="F29" s="87">
        <f t="shared" si="12"/>
        <v>14312</v>
      </c>
      <c r="G29" s="87">
        <f t="shared" si="12"/>
        <v>14312</v>
      </c>
      <c r="H29" s="87">
        <f t="shared" si="12"/>
        <v>14312</v>
      </c>
      <c r="I29" s="87">
        <f t="shared" si="12"/>
        <v>14312</v>
      </c>
      <c r="J29" s="87">
        <f t="shared" si="12"/>
        <v>14312</v>
      </c>
      <c r="K29" s="87">
        <f t="shared" si="12"/>
        <v>14312</v>
      </c>
      <c r="L29" s="87">
        <f t="shared" si="12"/>
        <v>14312</v>
      </c>
      <c r="M29" s="87">
        <f t="shared" si="12"/>
        <v>14312</v>
      </c>
      <c r="N29" s="87">
        <f t="shared" si="12"/>
        <v>14312</v>
      </c>
      <c r="O29" s="87">
        <f>SUM(C29:N29)</f>
        <v>171744</v>
      </c>
      <c r="P29" s="87">
        <f>O29*(1+R27)</f>
        <v>171744</v>
      </c>
      <c r="Q29" s="87">
        <f>P29*(1+S27)</f>
        <v>171744</v>
      </c>
    </row>
    <row r="30" spans="1:36" x14ac:dyDescent="0.2">
      <c r="A30" s="39" t="s">
        <v>96</v>
      </c>
      <c r="B30" s="87">
        <f>+IF($E$7="GENERAL",$D$13,IF($E$7="MICRO",$E$13,IF($E$7="PEQUEÑA",$F$13)))*D25</f>
        <v>0</v>
      </c>
      <c r="C30" s="87">
        <f t="shared" ref="C30:N30" si="13">$H$25</f>
        <v>1288.08</v>
      </c>
      <c r="D30" s="87">
        <f t="shared" si="13"/>
        <v>1288.08</v>
      </c>
      <c r="E30" s="87">
        <f t="shared" si="13"/>
        <v>1288.08</v>
      </c>
      <c r="F30" s="87">
        <f t="shared" si="13"/>
        <v>1288.08</v>
      </c>
      <c r="G30" s="87">
        <f t="shared" si="13"/>
        <v>1288.08</v>
      </c>
      <c r="H30" s="87">
        <f t="shared" si="13"/>
        <v>1288.08</v>
      </c>
      <c r="I30" s="87">
        <f t="shared" si="13"/>
        <v>1288.08</v>
      </c>
      <c r="J30" s="87">
        <f t="shared" si="13"/>
        <v>1288.08</v>
      </c>
      <c r="K30" s="87">
        <f t="shared" si="13"/>
        <v>1288.08</v>
      </c>
      <c r="L30" s="87">
        <f t="shared" si="13"/>
        <v>1288.08</v>
      </c>
      <c r="M30" s="87">
        <f t="shared" si="13"/>
        <v>1288.08</v>
      </c>
      <c r="N30" s="87">
        <f t="shared" si="13"/>
        <v>1288.08</v>
      </c>
      <c r="O30" s="87">
        <f>SUM(C30:N30)</f>
        <v>15456.96</v>
      </c>
      <c r="P30" s="87">
        <f>O30*(1+R27)</f>
        <v>15456.96</v>
      </c>
      <c r="Q30" s="87">
        <f>P30*(1+S27)</f>
        <v>15456.96</v>
      </c>
    </row>
    <row r="31" spans="1:36" x14ac:dyDescent="0.2">
      <c r="A31" s="88" t="s">
        <v>98</v>
      </c>
      <c r="B31" s="89"/>
      <c r="C31" s="87"/>
      <c r="D31" s="87"/>
      <c r="E31" s="87"/>
      <c r="F31" s="87"/>
      <c r="G31" s="87">
        <f>+$J$69/2</f>
        <v>0</v>
      </c>
      <c r="H31" s="87"/>
      <c r="I31" s="87"/>
      <c r="J31" s="87"/>
      <c r="K31" s="87"/>
      <c r="L31" s="87"/>
      <c r="M31" s="87">
        <f>+$J$69/2</f>
        <v>0</v>
      </c>
      <c r="N31" s="87">
        <f t="shared" ref="N31:Q31" si="14">+$J$69/2</f>
        <v>0</v>
      </c>
      <c r="O31" s="87">
        <f t="shared" si="14"/>
        <v>0</v>
      </c>
      <c r="P31" s="87">
        <f t="shared" si="14"/>
        <v>0</v>
      </c>
      <c r="Q31" s="87">
        <f t="shared" si="14"/>
        <v>0</v>
      </c>
    </row>
    <row r="32" spans="1:36" x14ac:dyDescent="0.2">
      <c r="A32" s="88" t="s">
        <v>97</v>
      </c>
      <c r="B32" s="89"/>
      <c r="C32" s="87"/>
      <c r="D32" s="87"/>
      <c r="E32" s="87"/>
      <c r="F32" s="87"/>
      <c r="G32" s="87"/>
      <c r="H32" s="87"/>
      <c r="I32" s="87">
        <f>+$I$69/2</f>
        <v>0</v>
      </c>
      <c r="J32" s="87"/>
      <c r="K32" s="87"/>
      <c r="L32" s="87"/>
      <c r="M32" s="87"/>
      <c r="N32" s="87"/>
      <c r="O32" s="87"/>
      <c r="P32" s="87"/>
      <c r="Q32" s="87"/>
    </row>
    <row r="33" spans="1:17" x14ac:dyDescent="0.2">
      <c r="A33" s="39" t="s">
        <v>121</v>
      </c>
      <c r="B33" s="150">
        <f>SUM(B29:B32)</f>
        <v>0</v>
      </c>
      <c r="C33" s="150">
        <f t="shared" ref="C33:M33" si="15">SUM(C29:C32)</f>
        <v>15600.08</v>
      </c>
      <c r="D33" s="150">
        <f t="shared" si="15"/>
        <v>15600.08</v>
      </c>
      <c r="E33" s="150">
        <f t="shared" si="15"/>
        <v>15600.08</v>
      </c>
      <c r="F33" s="150">
        <f t="shared" si="15"/>
        <v>15600.08</v>
      </c>
      <c r="G33" s="150">
        <f t="shared" si="15"/>
        <v>15600.08</v>
      </c>
      <c r="H33" s="150">
        <f t="shared" si="15"/>
        <v>15600.08</v>
      </c>
      <c r="I33" s="150">
        <f t="shared" si="15"/>
        <v>15600.08</v>
      </c>
      <c r="J33" s="150">
        <f t="shared" si="15"/>
        <v>15600.08</v>
      </c>
      <c r="K33" s="150">
        <f t="shared" si="15"/>
        <v>15600.08</v>
      </c>
      <c r="L33" s="150">
        <f t="shared" si="15"/>
        <v>15600.08</v>
      </c>
      <c r="M33" s="150">
        <f t="shared" si="15"/>
        <v>15600.08</v>
      </c>
      <c r="N33" s="150">
        <f t="shared" ref="N33" si="16">SUM(N29:N32)</f>
        <v>15600.08</v>
      </c>
      <c r="O33" s="150">
        <f>SUM(O29:O32)</f>
        <v>187200.96</v>
      </c>
      <c r="P33" s="150">
        <f>O33*1.05</f>
        <v>196561.008</v>
      </c>
      <c r="Q33" s="150">
        <f>P33*1.05</f>
        <v>206389.05840000001</v>
      </c>
    </row>
  </sheetData>
  <mergeCells count="5">
    <mergeCell ref="E17:K17"/>
    <mergeCell ref="B18:D18"/>
    <mergeCell ref="L18:O18"/>
    <mergeCell ref="P18:Q18"/>
    <mergeCell ref="R18:S18"/>
  </mergeCells>
  <phoneticPr fontId="2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6"/>
  <sheetViews>
    <sheetView topLeftCell="A10" workbookViewId="0">
      <selection activeCell="C26" sqref="C26:L26"/>
    </sheetView>
  </sheetViews>
  <sheetFormatPr baseColWidth="10" defaultColWidth="13.33203125" defaultRowHeight="12.75" x14ac:dyDescent="0.2"/>
  <cols>
    <col min="1" max="1" width="59.1640625" style="93" bestFit="1" customWidth="1"/>
    <col min="2" max="2" width="9.5" style="92" bestFit="1" customWidth="1"/>
    <col min="3" max="3" width="12.6640625" style="92" customWidth="1"/>
    <col min="4" max="4" width="11.1640625" style="92" customWidth="1"/>
    <col min="5" max="5" width="10.5" style="92" customWidth="1"/>
    <col min="6" max="6" width="9.83203125" style="92" customWidth="1"/>
    <col min="7" max="7" width="9.5" style="92" customWidth="1"/>
    <col min="8" max="8" width="10.33203125" style="92" customWidth="1"/>
    <col min="9" max="9" width="9.33203125" style="92" customWidth="1"/>
    <col min="10" max="10" width="10.83203125" style="92" customWidth="1"/>
    <col min="11" max="11" width="11" style="92" customWidth="1"/>
    <col min="12" max="14" width="8.5" style="92" customWidth="1"/>
    <col min="15" max="15" width="9.33203125" style="92" bestFit="1" customWidth="1"/>
    <col min="16" max="17" width="8.83203125" style="92" bestFit="1" customWidth="1"/>
    <col min="18" max="18" width="13.33203125" style="92"/>
    <col min="19" max="19" width="16.33203125" style="92" bestFit="1" customWidth="1"/>
    <col min="20" max="26" width="13.33203125" style="92"/>
    <col min="27" max="16384" width="13.33203125" style="93"/>
  </cols>
  <sheetData>
    <row r="1" spans="1:35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</row>
    <row r="2" spans="1:35" ht="15" x14ac:dyDescent="0.25">
      <c r="A2" s="94" t="s">
        <v>123</v>
      </c>
      <c r="B2" s="95">
        <v>1.4999999999999999E-2</v>
      </c>
      <c r="C2" s="91" t="s">
        <v>124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 ht="15" x14ac:dyDescent="0.25">
      <c r="A3" s="69"/>
      <c r="B3" s="69"/>
      <c r="C3" s="91" t="s">
        <v>125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x14ac:dyDescent="0.2">
      <c r="A4" s="69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 ht="15" x14ac:dyDescent="0.25">
      <c r="A5" s="94"/>
      <c r="B5" s="69"/>
      <c r="C5" s="96" t="s">
        <v>126</v>
      </c>
      <c r="D5" s="97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 ht="15" x14ac:dyDescent="0.25">
      <c r="A6" s="69"/>
      <c r="B6" s="69"/>
      <c r="C6" s="97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 x14ac:dyDescent="0.2">
      <c r="A7" s="69"/>
      <c r="B7" s="69"/>
      <c r="C7" s="69"/>
      <c r="D7" s="98"/>
      <c r="E7" s="69"/>
      <c r="F7" s="98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</row>
    <row r="8" spans="1:35" x14ac:dyDescent="0.2">
      <c r="A8" s="69"/>
      <c r="B8" s="69"/>
      <c r="C8" s="68"/>
      <c r="D8" s="99"/>
      <c r="E8" s="99"/>
      <c r="F8" s="99"/>
      <c r="G8" s="99"/>
      <c r="H8" s="99"/>
      <c r="I8" s="68"/>
      <c r="J8" s="68"/>
      <c r="K8" s="68"/>
      <c r="L8" s="68"/>
      <c r="M8" s="69"/>
      <c r="N8" s="69"/>
      <c r="O8" s="98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</row>
    <row r="9" spans="1:35" ht="19.5" thickBot="1" x14ac:dyDescent="0.35">
      <c r="A9" s="37" t="s">
        <v>127</v>
      </c>
      <c r="B9" s="69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1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</row>
    <row r="10" spans="1:35" ht="15.75" thickBot="1" x14ac:dyDescent="0.3">
      <c r="A10" s="102" t="s">
        <v>128</v>
      </c>
      <c r="B10" s="53" t="s">
        <v>75</v>
      </c>
      <c r="C10" s="60" t="s">
        <v>76</v>
      </c>
      <c r="D10" s="60" t="s">
        <v>77</v>
      </c>
      <c r="E10" s="60" t="s">
        <v>78</v>
      </c>
      <c r="F10" s="60" t="s">
        <v>79</v>
      </c>
      <c r="G10" s="60" t="s">
        <v>80</v>
      </c>
      <c r="H10" s="60" t="s">
        <v>81</v>
      </c>
      <c r="I10" s="60" t="s">
        <v>82</v>
      </c>
      <c r="J10" s="60" t="s">
        <v>83</v>
      </c>
      <c r="K10" s="60" t="s">
        <v>84</v>
      </c>
      <c r="L10" s="60" t="s">
        <v>85</v>
      </c>
      <c r="M10" s="60" t="s">
        <v>86</v>
      </c>
      <c r="N10" s="60" t="s">
        <v>87</v>
      </c>
      <c r="O10" s="60" t="s">
        <v>88</v>
      </c>
      <c r="P10" s="60" t="s">
        <v>89</v>
      </c>
      <c r="Q10" s="60" t="s">
        <v>90</v>
      </c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</row>
    <row r="11" spans="1:35" x14ac:dyDescent="0.2">
      <c r="A11" s="103" t="s">
        <v>129</v>
      </c>
      <c r="B11" s="104"/>
      <c r="C11" s="104">
        <v>16945</v>
      </c>
      <c r="D11" s="104">
        <v>17453.349999999999</v>
      </c>
      <c r="E11" s="104">
        <v>17976.950499999995</v>
      </c>
      <c r="F11" s="104">
        <v>18516.259015</v>
      </c>
      <c r="G11" s="104">
        <v>19071.746785449999</v>
      </c>
      <c r="H11" s="104">
        <v>19643.8991890135</v>
      </c>
      <c r="I11" s="104">
        <v>20233.216164683905</v>
      </c>
      <c r="J11" s="104">
        <v>20840.21264962442</v>
      </c>
      <c r="K11" s="104">
        <v>21465.419029113156</v>
      </c>
      <c r="L11" s="104">
        <v>22109.381599986547</v>
      </c>
      <c r="M11" s="104">
        <v>22772.663047986149</v>
      </c>
      <c r="N11" s="104">
        <v>23455.842939425733</v>
      </c>
      <c r="O11" s="104">
        <v>240483.94092028344</v>
      </c>
      <c r="P11" s="104">
        <v>327058.15965158539</v>
      </c>
      <c r="Q11" s="104">
        <v>444799.09712615609</v>
      </c>
      <c r="R11" s="99"/>
      <c r="S11" s="69"/>
      <c r="T11" s="98"/>
      <c r="U11" s="98"/>
      <c r="V11" s="98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</row>
    <row r="12" spans="1:35" x14ac:dyDescent="0.2">
      <c r="A12" s="105" t="s">
        <v>130</v>
      </c>
      <c r="B12" s="106"/>
      <c r="C12" s="106">
        <v>0</v>
      </c>
      <c r="D12" s="106">
        <v>0</v>
      </c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99"/>
      <c r="S12" s="69"/>
      <c r="T12" s="98"/>
      <c r="U12" s="98"/>
      <c r="V12" s="98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x14ac:dyDescent="0.2">
      <c r="A13" s="105" t="s">
        <v>131</v>
      </c>
      <c r="B13" s="106"/>
      <c r="C13" s="106">
        <v>0</v>
      </c>
      <c r="D13" s="106">
        <v>0</v>
      </c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99"/>
      <c r="S13" s="69"/>
      <c r="T13" s="98"/>
      <c r="U13" s="99"/>
      <c r="V13" s="98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15" x14ac:dyDescent="0.25">
      <c r="A14" s="107" t="s">
        <v>132</v>
      </c>
      <c r="B14" s="106"/>
      <c r="C14" s="108">
        <f>C11-C12-C13</f>
        <v>16945</v>
      </c>
      <c r="D14" s="108">
        <f t="shared" ref="D14:Q14" si="0">D11-D12-D13</f>
        <v>17453.349999999999</v>
      </c>
      <c r="E14" s="108">
        <f t="shared" si="0"/>
        <v>17976.950499999995</v>
      </c>
      <c r="F14" s="108">
        <f t="shared" si="0"/>
        <v>18516.259015</v>
      </c>
      <c r="G14" s="108">
        <f t="shared" si="0"/>
        <v>19071.746785449999</v>
      </c>
      <c r="H14" s="108">
        <f t="shared" si="0"/>
        <v>19643.8991890135</v>
      </c>
      <c r="I14" s="108">
        <f t="shared" si="0"/>
        <v>20233.216164683905</v>
      </c>
      <c r="J14" s="108">
        <f t="shared" si="0"/>
        <v>20840.21264962442</v>
      </c>
      <c r="K14" s="108">
        <f t="shared" si="0"/>
        <v>21465.419029113156</v>
      </c>
      <c r="L14" s="108">
        <f t="shared" si="0"/>
        <v>22109.381599986547</v>
      </c>
      <c r="M14" s="108">
        <f t="shared" si="0"/>
        <v>22772.663047986149</v>
      </c>
      <c r="N14" s="108">
        <f t="shared" si="0"/>
        <v>23455.842939425733</v>
      </c>
      <c r="O14" s="108">
        <f t="shared" si="0"/>
        <v>240483.94092028344</v>
      </c>
      <c r="P14" s="108">
        <f t="shared" si="0"/>
        <v>327058.15965158539</v>
      </c>
      <c r="Q14" s="108">
        <f t="shared" si="0"/>
        <v>444799.09712615609</v>
      </c>
      <c r="R14" s="99"/>
      <c r="S14" s="69"/>
      <c r="T14" s="98"/>
      <c r="U14" s="98"/>
      <c r="V14" s="98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</row>
    <row r="15" spans="1:35" x14ac:dyDescent="0.2">
      <c r="A15" s="105" t="s">
        <v>133</v>
      </c>
      <c r="B15" s="106"/>
      <c r="C15" s="106">
        <v>12000</v>
      </c>
      <c r="D15" s="106">
        <v>12000</v>
      </c>
      <c r="E15" s="106">
        <v>12000</v>
      </c>
      <c r="F15" s="106">
        <v>12000</v>
      </c>
      <c r="G15" s="106">
        <v>12000</v>
      </c>
      <c r="H15" s="106">
        <v>12000</v>
      </c>
      <c r="I15" s="106">
        <v>12000</v>
      </c>
      <c r="J15" s="106">
        <v>12000</v>
      </c>
      <c r="K15" s="106">
        <v>12000</v>
      </c>
      <c r="L15" s="106">
        <v>12000</v>
      </c>
      <c r="M15" s="106">
        <v>12000</v>
      </c>
      <c r="N15" s="106">
        <v>12000</v>
      </c>
      <c r="O15" s="106">
        <f>SUM(C15:N15)</f>
        <v>144000</v>
      </c>
      <c r="P15" s="106">
        <f>O15*1.05</f>
        <v>151200</v>
      </c>
      <c r="Q15" s="106">
        <f>P15*1.05</f>
        <v>158760</v>
      </c>
      <c r="R15" s="99"/>
      <c r="S15" s="69"/>
      <c r="T15" s="69"/>
      <c r="U15" s="98"/>
      <c r="V15" s="98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</row>
    <row r="16" spans="1:35" x14ac:dyDescent="0.2">
      <c r="A16" s="105" t="s">
        <v>134</v>
      </c>
      <c r="B16" s="106"/>
      <c r="C16" s="106">
        <v>3925.8700000000003</v>
      </c>
      <c r="D16" s="106">
        <v>3925.8700000000003</v>
      </c>
      <c r="E16" s="106">
        <v>3925.8700000000003</v>
      </c>
      <c r="F16" s="106">
        <v>3825.8700000000003</v>
      </c>
      <c r="G16" s="106">
        <v>3825.8700000000003</v>
      </c>
      <c r="H16" s="106">
        <v>3825.8700000000003</v>
      </c>
      <c r="I16" s="106">
        <v>3825.8700000000003</v>
      </c>
      <c r="J16" s="106">
        <v>3825.8700000000003</v>
      </c>
      <c r="K16" s="106">
        <v>3825.8700000000003</v>
      </c>
      <c r="L16" s="106">
        <v>3825.8700000000003</v>
      </c>
      <c r="M16" s="106">
        <v>3825.8700000000003</v>
      </c>
      <c r="N16" s="106">
        <v>3825.8700000000003</v>
      </c>
      <c r="O16" s="106">
        <f>SUM(C16:N16)</f>
        <v>46210.44000000001</v>
      </c>
      <c r="P16" s="106">
        <f t="shared" ref="P16:Q16" si="1">O16*1.05</f>
        <v>48520.962000000014</v>
      </c>
      <c r="Q16" s="106">
        <f t="shared" si="1"/>
        <v>50947.010100000014</v>
      </c>
      <c r="R16" s="99"/>
      <c r="S16" s="69"/>
      <c r="T16" s="109"/>
      <c r="U16" s="69"/>
      <c r="V16" s="98"/>
      <c r="W16" s="98"/>
      <c r="X16" s="98"/>
      <c r="Y16" s="98"/>
      <c r="Z16" s="69"/>
      <c r="AA16" s="69"/>
      <c r="AB16" s="69"/>
      <c r="AC16" s="69"/>
      <c r="AD16" s="69"/>
      <c r="AE16" s="69"/>
      <c r="AF16" s="69"/>
      <c r="AG16" s="69"/>
      <c r="AH16" s="69"/>
      <c r="AI16" s="69"/>
    </row>
    <row r="17" spans="1:35" ht="13.5" thickBot="1" x14ac:dyDescent="0.25">
      <c r="A17" s="110" t="s">
        <v>135</v>
      </c>
      <c r="B17" s="111"/>
      <c r="C17" s="111">
        <v>350.50000000000006</v>
      </c>
      <c r="D17" s="111">
        <v>350.50000000000006</v>
      </c>
      <c r="E17" s="111">
        <v>350.50000000000006</v>
      </c>
      <c r="F17" s="111">
        <v>350.50000000000006</v>
      </c>
      <c r="G17" s="111">
        <v>350.50000000000006</v>
      </c>
      <c r="H17" s="111">
        <v>350.50000000000006</v>
      </c>
      <c r="I17" s="111">
        <v>350.50000000000006</v>
      </c>
      <c r="J17" s="111">
        <v>350.50000000000006</v>
      </c>
      <c r="K17" s="111">
        <v>350.50000000000006</v>
      </c>
      <c r="L17" s="111">
        <v>350.50000000000006</v>
      </c>
      <c r="M17" s="111">
        <v>350.50000000000006</v>
      </c>
      <c r="N17" s="111">
        <v>350.50000000000006</v>
      </c>
      <c r="O17" s="106">
        <f>SUM(C17:N17)</f>
        <v>4206.0000000000009</v>
      </c>
      <c r="P17" s="106">
        <f>O17*1.05</f>
        <v>4416.3000000000011</v>
      </c>
      <c r="Q17" s="106">
        <f>P17*1.05</f>
        <v>4637.1150000000016</v>
      </c>
      <c r="R17" s="99"/>
      <c r="S17" s="69"/>
      <c r="T17" s="69"/>
      <c r="U17" s="69"/>
      <c r="V17" s="98"/>
      <c r="W17" s="98"/>
      <c r="X17" s="98"/>
      <c r="Y17" s="98"/>
      <c r="Z17" s="69"/>
      <c r="AA17" s="69"/>
      <c r="AB17" s="69"/>
      <c r="AC17" s="69"/>
      <c r="AD17" s="69"/>
      <c r="AE17" s="69"/>
      <c r="AF17" s="69"/>
      <c r="AG17" s="69"/>
      <c r="AH17" s="69"/>
      <c r="AI17" s="69"/>
    </row>
    <row r="18" spans="1:35" ht="15.75" thickBot="1" x14ac:dyDescent="0.3">
      <c r="A18" s="112" t="s">
        <v>136</v>
      </c>
      <c r="B18" s="113"/>
      <c r="C18" s="114">
        <f>C14-C15-C16-C17</f>
        <v>668.62999999999965</v>
      </c>
      <c r="D18" s="114">
        <f t="shared" ref="D18:Q18" si="2">D14-D15-D16-D17</f>
        <v>1176.9799999999982</v>
      </c>
      <c r="E18" s="114">
        <f t="shared" si="2"/>
        <v>1700.580499999995</v>
      </c>
      <c r="F18" s="114">
        <f t="shared" si="2"/>
        <v>2339.8890149999993</v>
      </c>
      <c r="G18" s="114">
        <f t="shared" si="2"/>
        <v>2895.3767854499988</v>
      </c>
      <c r="H18" s="114">
        <f t="shared" si="2"/>
        <v>3467.5291890134999</v>
      </c>
      <c r="I18" s="114">
        <f t="shared" si="2"/>
        <v>4056.8461646839041</v>
      </c>
      <c r="J18" s="114">
        <f t="shared" si="2"/>
        <v>4663.8426496244192</v>
      </c>
      <c r="K18" s="114">
        <f t="shared" si="2"/>
        <v>5289.0490291131555</v>
      </c>
      <c r="L18" s="114">
        <f t="shared" si="2"/>
        <v>5933.0115999865466</v>
      </c>
      <c r="M18" s="114">
        <f t="shared" si="2"/>
        <v>6596.2930479861479</v>
      </c>
      <c r="N18" s="114">
        <f t="shared" si="2"/>
        <v>7279.472939425732</v>
      </c>
      <c r="O18" s="114">
        <f t="shared" si="2"/>
        <v>46067.500920283426</v>
      </c>
      <c r="P18" s="114">
        <f t="shared" si="2"/>
        <v>122920.89765158537</v>
      </c>
      <c r="Q18" s="114">
        <f t="shared" si="2"/>
        <v>230454.97202615609</v>
      </c>
      <c r="R18" s="99"/>
      <c r="S18" s="69"/>
      <c r="T18" s="98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</row>
    <row r="19" spans="1:35" x14ac:dyDescent="0.2">
      <c r="A19" s="115" t="s">
        <v>137</v>
      </c>
      <c r="B19" s="104"/>
      <c r="C19" s="104">
        <v>254.17499999999998</v>
      </c>
      <c r="D19" s="104">
        <v>261.80024999999995</v>
      </c>
      <c r="E19" s="104">
        <v>269.65425749999991</v>
      </c>
      <c r="F19" s="104">
        <v>277.74388522499999</v>
      </c>
      <c r="G19" s="104">
        <v>286.07620178175</v>
      </c>
      <c r="H19" s="104">
        <v>294.65848783520249</v>
      </c>
      <c r="I19" s="104">
        <v>303.49824247025856</v>
      </c>
      <c r="J19" s="104">
        <v>312.60318974436626</v>
      </c>
      <c r="K19" s="104">
        <v>321.98128543669731</v>
      </c>
      <c r="L19" s="104">
        <v>331.64072399979818</v>
      </c>
      <c r="M19" s="104">
        <v>341.58994571979224</v>
      </c>
      <c r="N19" s="104">
        <v>351.83764409138598</v>
      </c>
      <c r="O19" s="104">
        <v>3607.2591138042508</v>
      </c>
      <c r="P19" s="104">
        <v>44205.075664897049</v>
      </c>
      <c r="Q19" s="104">
        <v>68107.883107716014</v>
      </c>
      <c r="R19" s="9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x14ac:dyDescent="0.2">
      <c r="A20" s="116" t="s">
        <v>138</v>
      </c>
      <c r="B20" s="106"/>
      <c r="C20" s="106">
        <v>350.50000000000006</v>
      </c>
      <c r="D20" s="106">
        <v>350.50000000000006</v>
      </c>
      <c r="E20" s="106">
        <v>350.50000000000006</v>
      </c>
      <c r="F20" s="106">
        <v>350.50000000000006</v>
      </c>
      <c r="G20" s="106">
        <v>350.50000000000006</v>
      </c>
      <c r="H20" s="106">
        <v>350.50000000000006</v>
      </c>
      <c r="I20" s="106">
        <v>350.50000000000006</v>
      </c>
      <c r="J20" s="106">
        <v>350.50000000000006</v>
      </c>
      <c r="K20" s="106">
        <v>350.50000000000006</v>
      </c>
      <c r="L20" s="106">
        <v>350.50000000000006</v>
      </c>
      <c r="M20" s="106">
        <v>350.50000000000006</v>
      </c>
      <c r="N20" s="106">
        <v>350.50000000000006</v>
      </c>
      <c r="O20" s="106">
        <v>4206.0000000000009</v>
      </c>
      <c r="P20" s="106">
        <v>4206</v>
      </c>
      <c r="Q20" s="106">
        <v>4206</v>
      </c>
      <c r="R20" s="9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15" x14ac:dyDescent="0.25">
      <c r="A21" s="117" t="s">
        <v>139</v>
      </c>
      <c r="B21" s="106"/>
      <c r="C21" s="108">
        <f>C18-C19+C20</f>
        <v>764.9549999999997</v>
      </c>
      <c r="D21" s="108">
        <f t="shared" ref="D21:Q21" si="3">D18-D19+D20</f>
        <v>1265.6797499999982</v>
      </c>
      <c r="E21" s="108">
        <f t="shared" si="3"/>
        <v>1781.4262424999952</v>
      </c>
      <c r="F21" s="108">
        <f t="shared" si="3"/>
        <v>2412.6451297749991</v>
      </c>
      <c r="G21" s="108">
        <f t="shared" si="3"/>
        <v>2959.8005836682487</v>
      </c>
      <c r="H21" s="108">
        <f t="shared" si="3"/>
        <v>3523.3707011782976</v>
      </c>
      <c r="I21" s="108">
        <f t="shared" si="3"/>
        <v>4103.8479222136457</v>
      </c>
      <c r="J21" s="108">
        <f t="shared" si="3"/>
        <v>4701.7394598800529</v>
      </c>
      <c r="K21" s="108">
        <f t="shared" si="3"/>
        <v>5317.5677436764581</v>
      </c>
      <c r="L21" s="108">
        <f t="shared" si="3"/>
        <v>5951.8708759867486</v>
      </c>
      <c r="M21" s="108">
        <f t="shared" si="3"/>
        <v>6605.2031022663559</v>
      </c>
      <c r="N21" s="108">
        <f t="shared" si="3"/>
        <v>7278.1352953343458</v>
      </c>
      <c r="O21" s="108">
        <f t="shared" si="3"/>
        <v>46666.241806479178</v>
      </c>
      <c r="P21" s="108">
        <f t="shared" si="3"/>
        <v>82921.82198668833</v>
      </c>
      <c r="Q21" s="108">
        <f t="shared" si="3"/>
        <v>166553.08891844007</v>
      </c>
      <c r="R21" s="99"/>
      <c r="S21" s="69"/>
      <c r="T21" s="98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</row>
    <row r="22" spans="1:35" x14ac:dyDescent="0.2">
      <c r="A22" s="118" t="s">
        <v>140</v>
      </c>
      <c r="B22" s="106">
        <v>-26030</v>
      </c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>
        <v>0</v>
      </c>
      <c r="R22" s="99"/>
      <c r="S22" s="9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</row>
    <row r="23" spans="1:35" x14ac:dyDescent="0.2">
      <c r="A23" s="118" t="s">
        <v>141</v>
      </c>
      <c r="B23" s="111">
        <v>0</v>
      </c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99"/>
      <c r="S23" s="9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</row>
    <row r="24" spans="1:35" x14ac:dyDescent="0.2">
      <c r="A24" s="119" t="s">
        <v>142</v>
      </c>
      <c r="B24" s="111">
        <v>-5206</v>
      </c>
      <c r="C24" s="111">
        <v>-156.17699999999954</v>
      </c>
      <c r="D24" s="111">
        <v>-160.86230999999901</v>
      </c>
      <c r="E24" s="111">
        <v>-165.68817930000128</v>
      </c>
      <c r="F24" s="111">
        <v>-170.65882467899982</v>
      </c>
      <c r="G24" s="111">
        <v>-175.77858941937032</v>
      </c>
      <c r="H24" s="111">
        <v>-181.05194710195096</v>
      </c>
      <c r="I24" s="111">
        <v>-186.48350551500897</v>
      </c>
      <c r="J24" s="111">
        <v>-192.07801068046101</v>
      </c>
      <c r="K24" s="111">
        <v>-197.8403510008726</v>
      </c>
      <c r="L24" s="111">
        <v>-203.7755615309014</v>
      </c>
      <c r="M24" s="111">
        <v>-209.88882837682681</v>
      </c>
      <c r="N24" s="111">
        <v>-1167.1427177629157</v>
      </c>
      <c r="O24" s="111">
        <v>-3167.425825367307</v>
      </c>
      <c r="P24" s="111">
        <v>-3014.3972971322287</v>
      </c>
      <c r="Q24" s="111">
        <v>-4099.5803240998302</v>
      </c>
      <c r="R24" s="99"/>
      <c r="S24" s="9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</row>
    <row r="25" spans="1:35" ht="13.5" thickBot="1" x14ac:dyDescent="0.25">
      <c r="A25" s="120" t="s">
        <v>143</v>
      </c>
      <c r="B25" s="121"/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99"/>
      <c r="S25" s="9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</row>
    <row r="26" spans="1:35" ht="15.75" thickBot="1" x14ac:dyDescent="0.3">
      <c r="A26" s="122" t="s">
        <v>144</v>
      </c>
      <c r="B26" s="123">
        <f>B22+B24</f>
        <v>-31236</v>
      </c>
      <c r="C26" s="123">
        <f>C21+C24</f>
        <v>608.77800000000013</v>
      </c>
      <c r="D26" s="123">
        <f t="shared" ref="D26:Q26" si="4">D21+D24</f>
        <v>1104.8174399999991</v>
      </c>
      <c r="E26" s="123">
        <f t="shared" si="4"/>
        <v>1615.7380631999938</v>
      </c>
      <c r="F26" s="123">
        <f t="shared" si="4"/>
        <v>2241.9863050959993</v>
      </c>
      <c r="G26" s="123">
        <f t="shared" si="4"/>
        <v>2784.0219942488784</v>
      </c>
      <c r="H26" s="123">
        <f t="shared" si="4"/>
        <v>3342.3187540763465</v>
      </c>
      <c r="I26" s="123">
        <f t="shared" si="4"/>
        <v>3917.3644166986369</v>
      </c>
      <c r="J26" s="123">
        <f t="shared" si="4"/>
        <v>4509.6614491995915</v>
      </c>
      <c r="K26" s="123">
        <f t="shared" si="4"/>
        <v>5119.7273926755852</v>
      </c>
      <c r="L26" s="123">
        <f t="shared" si="4"/>
        <v>5748.0953144558471</v>
      </c>
      <c r="M26" s="123">
        <f t="shared" si="4"/>
        <v>6395.3142738895294</v>
      </c>
      <c r="N26" s="123">
        <f t="shared" si="4"/>
        <v>6110.99257757143</v>
      </c>
      <c r="O26" s="123">
        <f t="shared" si="4"/>
        <v>43498.815981111868</v>
      </c>
      <c r="P26" s="123">
        <f t="shared" si="4"/>
        <v>79907.424689556108</v>
      </c>
      <c r="Q26" s="123">
        <f t="shared" si="4"/>
        <v>162453.50859434024</v>
      </c>
      <c r="R26" s="99"/>
      <c r="S26" s="99"/>
      <c r="T26" s="98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x14ac:dyDescent="0.2">
      <c r="A27" s="124" t="s">
        <v>145</v>
      </c>
      <c r="B27" s="104">
        <v>0</v>
      </c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99"/>
      <c r="S27" s="69"/>
      <c r="T27" s="98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x14ac:dyDescent="0.2">
      <c r="A28" s="125" t="s">
        <v>146</v>
      </c>
      <c r="B28" s="106"/>
      <c r="C28" s="106">
        <v>0</v>
      </c>
      <c r="D28" s="106">
        <v>0</v>
      </c>
      <c r="E28" s="106">
        <v>0</v>
      </c>
      <c r="F28" s="106">
        <v>0</v>
      </c>
      <c r="G28" s="106">
        <v>0</v>
      </c>
      <c r="H28" s="106">
        <v>0</v>
      </c>
      <c r="I28" s="106">
        <v>0</v>
      </c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9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</row>
    <row r="29" spans="1:35" x14ac:dyDescent="0.2">
      <c r="A29" s="125" t="s">
        <v>147</v>
      </c>
      <c r="B29" s="106"/>
      <c r="C29" s="106">
        <v>0</v>
      </c>
      <c r="D29" s="106">
        <v>0</v>
      </c>
      <c r="E29" s="106">
        <v>0</v>
      </c>
      <c r="F29" s="106">
        <v>0</v>
      </c>
      <c r="G29" s="106">
        <v>0</v>
      </c>
      <c r="H29" s="106">
        <v>0</v>
      </c>
      <c r="I29" s="106">
        <v>0</v>
      </c>
      <c r="J29" s="106">
        <v>0</v>
      </c>
      <c r="K29" s="106">
        <v>0</v>
      </c>
      <c r="L29" s="106">
        <v>0</v>
      </c>
      <c r="M29" s="106">
        <v>0</v>
      </c>
      <c r="N29" s="106">
        <v>0</v>
      </c>
      <c r="O29" s="106">
        <v>0</v>
      </c>
      <c r="P29" s="106">
        <v>0</v>
      </c>
      <c r="Q29" s="106">
        <v>0</v>
      </c>
      <c r="R29" s="9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</row>
    <row r="30" spans="1:35" ht="13.5" thickBot="1" x14ac:dyDescent="0.25">
      <c r="A30" s="126" t="s">
        <v>148</v>
      </c>
      <c r="B30" s="111"/>
      <c r="C30" s="111">
        <v>0</v>
      </c>
      <c r="D30" s="111">
        <v>0</v>
      </c>
      <c r="E30" s="111">
        <v>0</v>
      </c>
      <c r="F30" s="111">
        <v>0</v>
      </c>
      <c r="G30" s="111">
        <v>0</v>
      </c>
      <c r="H30" s="111">
        <v>0</v>
      </c>
      <c r="I30" s="111">
        <v>0</v>
      </c>
      <c r="J30" s="111">
        <v>0</v>
      </c>
      <c r="K30" s="111">
        <v>0</v>
      </c>
      <c r="L30" s="111">
        <v>0</v>
      </c>
      <c r="M30" s="111">
        <v>0</v>
      </c>
      <c r="N30" s="111">
        <v>0</v>
      </c>
      <c r="O30" s="106">
        <v>0</v>
      </c>
      <c r="P30" s="106">
        <v>0</v>
      </c>
      <c r="Q30" s="106">
        <v>0</v>
      </c>
      <c r="R30" s="99"/>
      <c r="S30" s="199">
        <f>NPV(17%,O31:Q31)+B31</f>
        <v>165747.11931637977</v>
      </c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</row>
    <row r="31" spans="1:35" ht="15.75" thickBot="1" x14ac:dyDescent="0.3">
      <c r="A31" s="127" t="s">
        <v>149</v>
      </c>
      <c r="B31" s="200">
        <f>B26+B27-B28-B29+B30</f>
        <v>-31236</v>
      </c>
      <c r="C31" s="128">
        <f>C26+C27-C28-C29+C30</f>
        <v>608.77800000000013</v>
      </c>
      <c r="D31" s="128">
        <f t="shared" ref="D31:Q31" si="5">D26+D27-D28-D29+D30</f>
        <v>1104.8174399999991</v>
      </c>
      <c r="E31" s="128">
        <f t="shared" si="5"/>
        <v>1615.7380631999938</v>
      </c>
      <c r="F31" s="128">
        <f t="shared" si="5"/>
        <v>2241.9863050959993</v>
      </c>
      <c r="G31" s="128">
        <f t="shared" si="5"/>
        <v>2784.0219942488784</v>
      </c>
      <c r="H31" s="128">
        <f t="shared" si="5"/>
        <v>3342.3187540763465</v>
      </c>
      <c r="I31" s="128">
        <f t="shared" si="5"/>
        <v>3917.3644166986369</v>
      </c>
      <c r="J31" s="128">
        <f t="shared" si="5"/>
        <v>4509.6614491995915</v>
      </c>
      <c r="K31" s="128">
        <f t="shared" si="5"/>
        <v>5119.7273926755852</v>
      </c>
      <c r="L31" s="128">
        <f t="shared" si="5"/>
        <v>5748.0953144558471</v>
      </c>
      <c r="M31" s="128">
        <f t="shared" si="5"/>
        <v>6395.3142738895294</v>
      </c>
      <c r="N31" s="128">
        <f t="shared" si="5"/>
        <v>6110.99257757143</v>
      </c>
      <c r="O31" s="128">
        <f t="shared" si="5"/>
        <v>43498.815981111868</v>
      </c>
      <c r="P31" s="128">
        <f t="shared" si="5"/>
        <v>79907.424689556108</v>
      </c>
      <c r="Q31" s="128">
        <f t="shared" si="5"/>
        <v>162453.50859434024</v>
      </c>
      <c r="R31" s="9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</row>
    <row r="32" spans="1:35" ht="15" x14ac:dyDescent="0.25">
      <c r="A32" s="130" t="s">
        <v>225</v>
      </c>
      <c r="B32" s="201">
        <f>'8.9'!C22</f>
        <v>0.13658431372549029</v>
      </c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201">
        <v>0.17</v>
      </c>
      <c r="P32" s="129"/>
      <c r="Q32" s="129"/>
      <c r="R32" s="12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</row>
    <row r="33" spans="1:35" ht="15" x14ac:dyDescent="0.25">
      <c r="A33" s="130" t="s">
        <v>150</v>
      </c>
      <c r="B33" s="131">
        <f>+NPV('8.9'!C22,O26:Q26)+B26</f>
        <v>179534.85428846977</v>
      </c>
      <c r="C33" s="69"/>
      <c r="D33" s="101">
        <f>B26</f>
        <v>-31236</v>
      </c>
      <c r="E33" s="98">
        <f>O26</f>
        <v>43498.815981111868</v>
      </c>
      <c r="F33" s="98">
        <f>P26</f>
        <v>79907.424689556108</v>
      </c>
      <c r="G33" s="98">
        <f>Q26</f>
        <v>162453.50859434024</v>
      </c>
      <c r="H33" s="98"/>
      <c r="I33" s="98"/>
      <c r="J33" s="98"/>
      <c r="K33" s="98"/>
      <c r="L33" s="98"/>
      <c r="M33" s="132"/>
      <c r="N33" s="133"/>
      <c r="O33" s="131">
        <f>+NPV(O32,O26:Q26)+B26</f>
        <v>165747.11931637977</v>
      </c>
      <c r="P33" s="133"/>
      <c r="Q33" s="133"/>
      <c r="R33" s="133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</row>
    <row r="34" spans="1:35" ht="15" x14ac:dyDescent="0.25">
      <c r="A34" s="130" t="s">
        <v>151</v>
      </c>
      <c r="B34" s="134">
        <f>IRR(D33:G33)</f>
        <v>1.8960333946783616</v>
      </c>
      <c r="C34" s="69"/>
      <c r="D34" s="98"/>
      <c r="E34" s="98"/>
      <c r="F34" s="98"/>
      <c r="G34" s="98"/>
      <c r="H34" s="98"/>
      <c r="I34" s="98"/>
      <c r="J34" s="98"/>
      <c r="K34" s="98"/>
      <c r="L34" s="98"/>
      <c r="M34" s="135"/>
      <c r="N34" s="136">
        <v>-31057.4</v>
      </c>
      <c r="O34" s="136">
        <v>36495.773281514732</v>
      </c>
      <c r="P34" s="136">
        <v>80209.742402446864</v>
      </c>
      <c r="Q34" s="136">
        <v>163013.28308387162</v>
      </c>
      <c r="R34" s="136">
        <v>3911991.195320053</v>
      </c>
      <c r="S34" s="137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</row>
    <row r="35" spans="1:35" ht="15" x14ac:dyDescent="0.25">
      <c r="A35" s="138"/>
      <c r="B35" s="69"/>
      <c r="C35" s="69"/>
      <c r="D35" s="197"/>
      <c r="E35" s="98"/>
      <c r="F35" s="98"/>
      <c r="G35" s="98"/>
      <c r="H35" s="98"/>
      <c r="I35" s="98"/>
      <c r="J35" s="98"/>
      <c r="K35" s="98"/>
      <c r="L35" s="98"/>
      <c r="M35" s="135"/>
      <c r="N35" s="139"/>
      <c r="O35" s="139"/>
      <c r="P35" s="139"/>
      <c r="Q35" s="139"/>
      <c r="R35" s="139"/>
      <c r="S35" s="137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</row>
    <row r="36" spans="1:35" ht="15" x14ac:dyDescent="0.25">
      <c r="A36" s="69"/>
      <c r="B36" s="69"/>
      <c r="C36" s="69"/>
      <c r="D36" s="69"/>
      <c r="E36" s="98"/>
      <c r="F36" s="98"/>
      <c r="G36" s="98"/>
      <c r="H36" s="98"/>
      <c r="I36" s="98"/>
      <c r="J36" s="98"/>
      <c r="K36" s="98"/>
      <c r="L36" s="98"/>
      <c r="M36" s="135"/>
      <c r="N36" s="139"/>
      <c r="O36" s="139"/>
      <c r="P36" s="139"/>
      <c r="Q36" s="139"/>
      <c r="R36" s="139"/>
      <c r="S36" s="137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</row>
    <row r="37" spans="1:35" ht="15" x14ac:dyDescent="0.25">
      <c r="A37" s="130" t="s">
        <v>152</v>
      </c>
      <c r="B37" s="131">
        <f>NPV('[1]Determinación COK y WACC'!C33,O31:R31)+B31</f>
        <v>179534.85428846977</v>
      </c>
      <c r="C37" s="69"/>
      <c r="D37" s="91"/>
      <c r="E37" s="69"/>
      <c r="F37" s="98"/>
      <c r="G37" s="140"/>
      <c r="H37" s="98"/>
      <c r="I37" s="98"/>
      <c r="J37" s="98"/>
      <c r="K37" s="98"/>
      <c r="L37" s="98"/>
      <c r="M37" s="135"/>
      <c r="N37" s="139"/>
      <c r="O37" s="139"/>
      <c r="P37" s="139"/>
      <c r="Q37" s="139"/>
      <c r="R37" s="139"/>
      <c r="S37" s="137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</row>
    <row r="38" spans="1:35" ht="15" x14ac:dyDescent="0.25">
      <c r="A38" s="130" t="s">
        <v>153</v>
      </c>
      <c r="B38" s="134">
        <f>IRR(B31:Q31)</f>
        <v>0.20240785889792634</v>
      </c>
      <c r="C38" s="141"/>
      <c r="D38" s="91"/>
      <c r="E38" s="69"/>
      <c r="F38" s="98"/>
      <c r="G38" s="142"/>
      <c r="H38" s="98"/>
      <c r="I38" s="98"/>
      <c r="J38" s="98"/>
      <c r="K38" s="98"/>
      <c r="L38" s="98"/>
      <c r="M38" s="135"/>
      <c r="N38" s="136">
        <v>-31057.4</v>
      </c>
      <c r="O38" s="136">
        <v>36495.773281514732</v>
      </c>
      <c r="P38" s="136">
        <v>80209.742402446864</v>
      </c>
      <c r="Q38" s="136">
        <v>163013.28308387162</v>
      </c>
      <c r="R38" s="136">
        <v>3911991.195320053</v>
      </c>
      <c r="S38" s="137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</row>
    <row r="39" spans="1:35" ht="15" x14ac:dyDescent="0.25">
      <c r="A39" s="91"/>
      <c r="B39" s="142"/>
      <c r="C39" s="141"/>
      <c r="D39" s="69"/>
      <c r="E39" s="98"/>
      <c r="F39" s="98"/>
      <c r="G39" s="98"/>
      <c r="H39" s="98"/>
      <c r="I39" s="98"/>
      <c r="J39" s="98"/>
      <c r="K39" s="98"/>
      <c r="L39" s="98"/>
      <c r="M39" s="143"/>
      <c r="N39" s="144"/>
      <c r="O39" s="144"/>
      <c r="P39" s="144"/>
      <c r="Q39" s="144"/>
      <c r="R39" s="144"/>
      <c r="S39" s="137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</row>
    <row r="40" spans="1:35" ht="15" x14ac:dyDescent="0.25">
      <c r="A40" s="91"/>
      <c r="B40" s="142"/>
      <c r="C40" s="141"/>
      <c r="D40" s="69"/>
      <c r="E40" s="98"/>
      <c r="F40" s="98"/>
      <c r="G40" s="98"/>
      <c r="H40" s="98"/>
      <c r="I40" s="98"/>
      <c r="J40" s="98"/>
      <c r="K40" s="98"/>
      <c r="L40" s="98"/>
      <c r="M40" s="98"/>
      <c r="N40" s="99"/>
      <c r="O40" s="99"/>
      <c r="P40" s="99"/>
      <c r="Q40" s="99"/>
      <c r="R40" s="9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</row>
    <row r="41" spans="1:35" ht="18.75" x14ac:dyDescent="0.3">
      <c r="A41" s="37" t="s">
        <v>155</v>
      </c>
      <c r="B41" s="145">
        <f>26030*0.2</f>
        <v>5206</v>
      </c>
      <c r="C41" s="147" t="s">
        <v>158</v>
      </c>
      <c r="D41" s="147"/>
      <c r="E41" s="147"/>
      <c r="F41" s="147"/>
      <c r="G41" s="147"/>
      <c r="H41" s="147"/>
      <c r="I41" s="147"/>
      <c r="J41" s="147"/>
      <c r="K41" s="98"/>
      <c r="L41" s="98"/>
      <c r="M41" s="98"/>
      <c r="N41" s="99"/>
      <c r="O41" s="99"/>
      <c r="P41" s="99"/>
      <c r="Q41" s="99"/>
      <c r="R41" s="9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</row>
    <row r="42" spans="1:35" ht="18.75" x14ac:dyDescent="0.3">
      <c r="A42" s="37" t="s">
        <v>156</v>
      </c>
      <c r="B42" s="146"/>
      <c r="C42" s="141"/>
      <c r="D42" s="69"/>
      <c r="E42" s="98"/>
      <c r="F42" s="98"/>
      <c r="G42" s="98"/>
      <c r="H42" s="98"/>
      <c r="I42" s="98"/>
      <c r="J42" s="98"/>
      <c r="K42" s="98"/>
      <c r="L42" s="98"/>
      <c r="M42" s="98"/>
      <c r="N42" s="99"/>
      <c r="O42" s="99"/>
      <c r="P42" s="99"/>
      <c r="Q42" s="99"/>
      <c r="R42" s="9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</row>
    <row r="43" spans="1:35" ht="15" x14ac:dyDescent="0.25">
      <c r="A43" s="147" t="s">
        <v>157</v>
      </c>
      <c r="B43" s="148">
        <f>(B41/C11)*100%</f>
        <v>0.307229271171437</v>
      </c>
      <c r="C43" s="147" t="s">
        <v>159</v>
      </c>
      <c r="D43" s="147"/>
      <c r="E43" s="147"/>
      <c r="F43" s="147"/>
      <c r="G43" s="147"/>
      <c r="H43" s="147"/>
      <c r="I43" s="147"/>
      <c r="J43" s="147"/>
      <c r="K43" s="98"/>
      <c r="L43" s="98"/>
      <c r="M43" s="98"/>
      <c r="N43" s="99"/>
      <c r="O43" s="99"/>
      <c r="P43" s="99"/>
      <c r="Q43" s="99"/>
      <c r="R43" s="9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</row>
    <row r="44" spans="1:35" x14ac:dyDescent="0.2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</row>
    <row r="45" spans="1:35" x14ac:dyDescent="0.2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</row>
    <row r="46" spans="1:35" x14ac:dyDescent="0.2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</row>
    <row r="47" spans="1:35" x14ac:dyDescent="0.2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</row>
    <row r="48" spans="1:35" x14ac:dyDescent="0.2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</row>
    <row r="49" spans="1:35" x14ac:dyDescent="0.2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</row>
    <row r="50" spans="1:35" x14ac:dyDescent="0.2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</row>
    <row r="51" spans="1:35" x14ac:dyDescent="0.2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</row>
    <row r="52" spans="1:35" x14ac:dyDescent="0.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</row>
    <row r="53" spans="1:35" x14ac:dyDescent="0.2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</row>
    <row r="54" spans="1:35" x14ac:dyDescent="0.2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</row>
    <row r="55" spans="1:35" x14ac:dyDescent="0.2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</row>
    <row r="56" spans="1:35" x14ac:dyDescent="0.2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</row>
    <row r="57" spans="1:35" x14ac:dyDescent="0.2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</row>
    <row r="58" spans="1:35" x14ac:dyDescent="0.2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</row>
    <row r="59" spans="1:35" x14ac:dyDescent="0.2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</row>
    <row r="60" spans="1:35" x14ac:dyDescent="0.2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</row>
    <row r="61" spans="1:35" x14ac:dyDescent="0.2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</row>
    <row r="62" spans="1:35" x14ac:dyDescent="0.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</row>
    <row r="63" spans="1:35" x14ac:dyDescent="0.2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</row>
    <row r="64" spans="1:35" x14ac:dyDescent="0.2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</row>
    <row r="65" spans="1:35" x14ac:dyDescent="0.2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</row>
    <row r="66" spans="1:35" x14ac:dyDescent="0.2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</row>
    <row r="67" spans="1:35" x14ac:dyDescent="0.2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</row>
    <row r="68" spans="1:35" x14ac:dyDescent="0.2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</row>
    <row r="69" spans="1:35" x14ac:dyDescent="0.2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</row>
    <row r="70" spans="1:35" x14ac:dyDescent="0.2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</row>
    <row r="71" spans="1:35" x14ac:dyDescent="0.2"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</row>
    <row r="72" spans="1:35" x14ac:dyDescent="0.2"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</row>
    <row r="73" spans="1:35" x14ac:dyDescent="0.2"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</row>
    <row r="74" spans="1:35" x14ac:dyDescent="0.2"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</row>
    <row r="75" spans="1:35" x14ac:dyDescent="0.2"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</row>
    <row r="76" spans="1:35" x14ac:dyDescent="0.2"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</row>
    <row r="77" spans="1:35" x14ac:dyDescent="0.2"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</row>
    <row r="78" spans="1:35" x14ac:dyDescent="0.2"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</row>
    <row r="79" spans="1:35" x14ac:dyDescent="0.2"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</row>
    <row r="80" spans="1:35" x14ac:dyDescent="0.2"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</row>
    <row r="81" spans="1:18" x14ac:dyDescent="0.2"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</row>
    <row r="82" spans="1:18" x14ac:dyDescent="0.2"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</row>
    <row r="83" spans="1:18" x14ac:dyDescent="0.2"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</row>
    <row r="84" spans="1:18" x14ac:dyDescent="0.2"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</row>
    <row r="85" spans="1:18" x14ac:dyDescent="0.2"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</row>
    <row r="86" spans="1:18" x14ac:dyDescent="0.2"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</row>
    <row r="87" spans="1:18" x14ac:dyDescent="0.2"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</row>
    <row r="88" spans="1:18" x14ac:dyDescent="0.2"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</row>
    <row r="89" spans="1:18" x14ac:dyDescent="0.2"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</row>
    <row r="90" spans="1:18" x14ac:dyDescent="0.2"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</row>
    <row r="91" spans="1:18" x14ac:dyDescent="0.2"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</row>
    <row r="92" spans="1:18" x14ac:dyDescent="0.2"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</row>
    <row r="93" spans="1:18" x14ac:dyDescent="0.2"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</row>
    <row r="94" spans="1:18" x14ac:dyDescent="0.2"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</row>
    <row r="95" spans="1:18" x14ac:dyDescent="0.2"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</row>
    <row r="96" spans="1:18" x14ac:dyDescent="0.2">
      <c r="A96" s="92"/>
    </row>
    <row r="97" spans="1:1" x14ac:dyDescent="0.2">
      <c r="A97" s="92"/>
    </row>
    <row r="98" spans="1:1" x14ac:dyDescent="0.2">
      <c r="A98" s="92"/>
    </row>
    <row r="99" spans="1:1" x14ac:dyDescent="0.2">
      <c r="A99" s="92"/>
    </row>
    <row r="100" spans="1:1" x14ac:dyDescent="0.2">
      <c r="A100" s="92"/>
    </row>
    <row r="101" spans="1:1" x14ac:dyDescent="0.2">
      <c r="A101" s="92"/>
    </row>
    <row r="102" spans="1:1" x14ac:dyDescent="0.2">
      <c r="A102" s="92"/>
    </row>
    <row r="103" spans="1:1" x14ac:dyDescent="0.2">
      <c r="A103" s="92"/>
    </row>
    <row r="104" spans="1:1" x14ac:dyDescent="0.2">
      <c r="A104" s="92"/>
    </row>
    <row r="105" spans="1:1" x14ac:dyDescent="0.2">
      <c r="A105" s="92"/>
    </row>
    <row r="106" spans="1:1" x14ac:dyDescent="0.2">
      <c r="A106" s="92"/>
    </row>
    <row r="107" spans="1:1" x14ac:dyDescent="0.2">
      <c r="A107" s="92"/>
    </row>
    <row r="108" spans="1:1" x14ac:dyDescent="0.2">
      <c r="A108" s="92"/>
    </row>
    <row r="109" spans="1:1" x14ac:dyDescent="0.2">
      <c r="A109" s="92"/>
    </row>
    <row r="110" spans="1:1" x14ac:dyDescent="0.2">
      <c r="A110" s="92"/>
    </row>
    <row r="111" spans="1:1" x14ac:dyDescent="0.2">
      <c r="A111" s="92"/>
    </row>
    <row r="112" spans="1:1" x14ac:dyDescent="0.2">
      <c r="A112" s="92"/>
    </row>
    <row r="113" spans="1:1" x14ac:dyDescent="0.2">
      <c r="A113" s="92"/>
    </row>
    <row r="114" spans="1:1" x14ac:dyDescent="0.2">
      <c r="A114" s="92"/>
    </row>
    <row r="115" spans="1:1" x14ac:dyDescent="0.2">
      <c r="A115" s="92"/>
    </row>
    <row r="116" spans="1:1" x14ac:dyDescent="0.2">
      <c r="A116" s="92"/>
    </row>
    <row r="117" spans="1:1" x14ac:dyDescent="0.2">
      <c r="A117" s="92"/>
    </row>
    <row r="118" spans="1:1" x14ac:dyDescent="0.2">
      <c r="A118" s="92"/>
    </row>
    <row r="119" spans="1:1" x14ac:dyDescent="0.2">
      <c r="A119" s="92"/>
    </row>
    <row r="120" spans="1:1" x14ac:dyDescent="0.2">
      <c r="A120" s="92"/>
    </row>
    <row r="121" spans="1:1" x14ac:dyDescent="0.2">
      <c r="A121" s="92"/>
    </row>
    <row r="122" spans="1:1" x14ac:dyDescent="0.2">
      <c r="A122" s="92"/>
    </row>
    <row r="123" spans="1:1" x14ac:dyDescent="0.2">
      <c r="A123" s="92"/>
    </row>
    <row r="124" spans="1:1" x14ac:dyDescent="0.2">
      <c r="A124" s="92"/>
    </row>
    <row r="125" spans="1:1" x14ac:dyDescent="0.2">
      <c r="A125" s="92"/>
    </row>
    <row r="126" spans="1:1" x14ac:dyDescent="0.2">
      <c r="A126" s="92"/>
    </row>
    <row r="127" spans="1:1" x14ac:dyDescent="0.2">
      <c r="A127" s="92"/>
    </row>
    <row r="128" spans="1:1" x14ac:dyDescent="0.2">
      <c r="A128" s="92"/>
    </row>
    <row r="129" spans="1:1" x14ac:dyDescent="0.2">
      <c r="A129" s="92"/>
    </row>
    <row r="130" spans="1:1" x14ac:dyDescent="0.2">
      <c r="A130" s="92"/>
    </row>
    <row r="131" spans="1:1" x14ac:dyDescent="0.2">
      <c r="A131" s="92"/>
    </row>
    <row r="132" spans="1:1" x14ac:dyDescent="0.2">
      <c r="A132" s="92"/>
    </row>
    <row r="133" spans="1:1" x14ac:dyDescent="0.2">
      <c r="A133" s="92"/>
    </row>
    <row r="134" spans="1:1" x14ac:dyDescent="0.2">
      <c r="A134" s="92"/>
    </row>
    <row r="135" spans="1:1" x14ac:dyDescent="0.2">
      <c r="A135" s="92"/>
    </row>
    <row r="136" spans="1:1" x14ac:dyDescent="0.2">
      <c r="A136" s="92"/>
    </row>
    <row r="137" spans="1:1" x14ac:dyDescent="0.2">
      <c r="A137" s="92"/>
    </row>
    <row r="138" spans="1:1" x14ac:dyDescent="0.2">
      <c r="A138" s="92"/>
    </row>
    <row r="139" spans="1:1" x14ac:dyDescent="0.2">
      <c r="A139" s="92"/>
    </row>
    <row r="140" spans="1:1" x14ac:dyDescent="0.2">
      <c r="A140" s="92"/>
    </row>
    <row r="141" spans="1:1" x14ac:dyDescent="0.2">
      <c r="A141" s="92"/>
    </row>
    <row r="142" spans="1:1" x14ac:dyDescent="0.2">
      <c r="A142" s="92"/>
    </row>
    <row r="143" spans="1:1" x14ac:dyDescent="0.2">
      <c r="A143" s="92"/>
    </row>
    <row r="144" spans="1:1" x14ac:dyDescent="0.2">
      <c r="A144" s="92"/>
    </row>
    <row r="145" spans="1:1" x14ac:dyDescent="0.2">
      <c r="A145" s="92"/>
    </row>
    <row r="146" spans="1:1" x14ac:dyDescent="0.2">
      <c r="A146" s="92"/>
    </row>
    <row r="147" spans="1:1" x14ac:dyDescent="0.2">
      <c r="A147" s="92"/>
    </row>
    <row r="148" spans="1:1" x14ac:dyDescent="0.2">
      <c r="A148" s="92"/>
    </row>
    <row r="149" spans="1:1" x14ac:dyDescent="0.2">
      <c r="A149" s="92"/>
    </row>
    <row r="150" spans="1:1" x14ac:dyDescent="0.2">
      <c r="A150" s="92"/>
    </row>
    <row r="151" spans="1:1" x14ac:dyDescent="0.2">
      <c r="A151" s="92"/>
    </row>
    <row r="152" spans="1:1" x14ac:dyDescent="0.2">
      <c r="A152" s="92"/>
    </row>
    <row r="153" spans="1:1" x14ac:dyDescent="0.2">
      <c r="A153" s="92"/>
    </row>
    <row r="154" spans="1:1" x14ac:dyDescent="0.2">
      <c r="A154" s="92"/>
    </row>
    <row r="155" spans="1:1" x14ac:dyDescent="0.2">
      <c r="A155" s="92"/>
    </row>
    <row r="156" spans="1:1" x14ac:dyDescent="0.2">
      <c r="A156" s="92"/>
    </row>
    <row r="157" spans="1:1" x14ac:dyDescent="0.2">
      <c r="A157" s="92"/>
    </row>
    <row r="158" spans="1:1" x14ac:dyDescent="0.2">
      <c r="A158" s="92"/>
    </row>
    <row r="159" spans="1:1" x14ac:dyDescent="0.2">
      <c r="A159" s="92"/>
    </row>
    <row r="160" spans="1:1" x14ac:dyDescent="0.2">
      <c r="A160" s="92"/>
    </row>
    <row r="161" spans="1:1" x14ac:dyDescent="0.2">
      <c r="A161" s="92"/>
    </row>
    <row r="162" spans="1:1" x14ac:dyDescent="0.2">
      <c r="A162" s="92"/>
    </row>
    <row r="163" spans="1:1" x14ac:dyDescent="0.2">
      <c r="A163" s="92"/>
    </row>
    <row r="164" spans="1:1" x14ac:dyDescent="0.2">
      <c r="A164" s="92"/>
    </row>
    <row r="165" spans="1:1" x14ac:dyDescent="0.2">
      <c r="A165" s="92"/>
    </row>
    <row r="166" spans="1:1" x14ac:dyDescent="0.2">
      <c r="A166" s="92"/>
    </row>
  </sheetData>
  <conditionalFormatting sqref="C31:Q31 C32:N32 P32:Q32">
    <cfRule type="cellIs" dxfId="4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0"/>
  <sheetViews>
    <sheetView topLeftCell="A20" workbookViewId="0">
      <selection activeCell="A39" sqref="A39:B39"/>
    </sheetView>
  </sheetViews>
  <sheetFormatPr baseColWidth="10" defaultColWidth="13.33203125" defaultRowHeight="12.75" x14ac:dyDescent="0.2"/>
  <cols>
    <col min="1" max="1" width="59.1640625" style="93" bestFit="1" customWidth="1"/>
    <col min="2" max="2" width="13.1640625" style="92" customWidth="1"/>
    <col min="3" max="5" width="13.33203125" style="92"/>
    <col min="6" max="6" width="14.33203125" style="92" customWidth="1"/>
    <col min="7" max="28" width="13.33203125" style="92"/>
    <col min="29" max="16384" width="13.33203125" style="93"/>
  </cols>
  <sheetData>
    <row r="1" spans="1:37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</row>
    <row r="2" spans="1:37" ht="15" x14ac:dyDescent="0.25">
      <c r="A2" s="94" t="s">
        <v>123</v>
      </c>
      <c r="B2" s="95">
        <v>1.4999999999999999E-2</v>
      </c>
      <c r="C2" s="91" t="s">
        <v>124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</row>
    <row r="3" spans="1:37" ht="15" x14ac:dyDescent="0.25">
      <c r="A3" s="69"/>
      <c r="B3" s="69"/>
      <c r="C3" s="91" t="s">
        <v>125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</row>
    <row r="4" spans="1:37" x14ac:dyDescent="0.2">
      <c r="A4" s="69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</row>
    <row r="5" spans="1:37" ht="15" x14ac:dyDescent="0.25">
      <c r="A5" s="94"/>
      <c r="B5" s="69"/>
      <c r="C5" s="96" t="s">
        <v>126</v>
      </c>
      <c r="D5" s="97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</row>
    <row r="6" spans="1:37" ht="15" x14ac:dyDescent="0.25">
      <c r="A6" s="69"/>
      <c r="B6" s="69"/>
      <c r="C6" s="97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</row>
    <row r="7" spans="1:37" x14ac:dyDescent="0.2">
      <c r="A7" s="69"/>
      <c r="B7" s="69"/>
      <c r="C7" s="69"/>
      <c r="D7" s="98"/>
      <c r="E7" s="69"/>
      <c r="F7" s="98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</row>
    <row r="8" spans="1:37" x14ac:dyDescent="0.2">
      <c r="A8" s="69"/>
      <c r="B8" s="69"/>
      <c r="C8" s="68"/>
      <c r="D8" s="99"/>
      <c r="E8" s="99"/>
      <c r="F8" s="99"/>
      <c r="G8" s="99"/>
      <c r="H8" s="99"/>
      <c r="I8" s="68"/>
      <c r="J8" s="68"/>
      <c r="K8" s="68"/>
      <c r="L8" s="68"/>
      <c r="M8" s="69"/>
      <c r="N8" s="69"/>
      <c r="O8" s="98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</row>
    <row r="9" spans="1:37" ht="19.5" thickBot="1" x14ac:dyDescent="0.35">
      <c r="A9" s="37" t="s">
        <v>238</v>
      </c>
      <c r="B9" s="69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1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</row>
    <row r="10" spans="1:37" ht="15.75" thickBot="1" x14ac:dyDescent="0.3">
      <c r="A10" s="102" t="s">
        <v>128</v>
      </c>
      <c r="B10" s="53" t="s">
        <v>75</v>
      </c>
      <c r="C10" s="60" t="s">
        <v>76</v>
      </c>
      <c r="D10" s="60" t="s">
        <v>77</v>
      </c>
      <c r="E10" s="60" t="s">
        <v>78</v>
      </c>
      <c r="F10" s="60" t="s">
        <v>79</v>
      </c>
      <c r="G10" s="60" t="s">
        <v>80</v>
      </c>
      <c r="H10" s="60" t="s">
        <v>81</v>
      </c>
      <c r="I10" s="60" t="s">
        <v>82</v>
      </c>
      <c r="J10" s="60" t="s">
        <v>83</v>
      </c>
      <c r="K10" s="60" t="s">
        <v>84</v>
      </c>
      <c r="L10" s="60" t="s">
        <v>85</v>
      </c>
      <c r="M10" s="60" t="s">
        <v>86</v>
      </c>
      <c r="N10" s="60" t="s">
        <v>87</v>
      </c>
      <c r="O10" s="60" t="s">
        <v>88</v>
      </c>
      <c r="P10" s="60" t="s">
        <v>89</v>
      </c>
      <c r="Q10" s="60" t="s">
        <v>90</v>
      </c>
      <c r="R10" s="60" t="s">
        <v>236</v>
      </c>
      <c r="S10" s="60" t="s">
        <v>237</v>
      </c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</row>
    <row r="11" spans="1:37" x14ac:dyDescent="0.2">
      <c r="A11" s="103" t="s">
        <v>129</v>
      </c>
      <c r="B11" s="104"/>
      <c r="C11" s="104">
        <v>16945</v>
      </c>
      <c r="D11" s="104">
        <v>17453.349999999999</v>
      </c>
      <c r="E11" s="104">
        <v>17976.950499999995</v>
      </c>
      <c r="F11" s="104">
        <v>18516.259015</v>
      </c>
      <c r="G11" s="104">
        <v>19071.746785449999</v>
      </c>
      <c r="H11" s="104">
        <v>19643.8991890135</v>
      </c>
      <c r="I11" s="104">
        <v>20233.216164683905</v>
      </c>
      <c r="J11" s="104">
        <v>20840.21264962442</v>
      </c>
      <c r="K11" s="104">
        <v>21465.419029113156</v>
      </c>
      <c r="L11" s="104">
        <v>22109.381599986547</v>
      </c>
      <c r="M11" s="104">
        <v>22772.663047986149</v>
      </c>
      <c r="N11" s="104">
        <v>23455.842939425733</v>
      </c>
      <c r="O11" s="104">
        <v>240483.94092028344</v>
      </c>
      <c r="P11" s="104">
        <v>327058.15965158539</v>
      </c>
      <c r="Q11" s="104">
        <v>444799.09712615609</v>
      </c>
      <c r="R11" s="104">
        <v>604926.77209157217</v>
      </c>
      <c r="S11" s="104">
        <v>822700.41004453809</v>
      </c>
      <c r="T11" s="99"/>
      <c r="U11" s="69"/>
      <c r="V11" s="98"/>
      <c r="W11" s="98"/>
      <c r="X11" s="98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</row>
    <row r="12" spans="1:37" x14ac:dyDescent="0.2">
      <c r="A12" s="105" t="s">
        <v>130</v>
      </c>
      <c r="B12" s="106"/>
      <c r="C12" s="106">
        <v>0</v>
      </c>
      <c r="D12" s="106">
        <v>0</v>
      </c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99"/>
      <c r="U12" s="69"/>
      <c r="V12" s="98"/>
      <c r="W12" s="98"/>
      <c r="X12" s="98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</row>
    <row r="13" spans="1:37" x14ac:dyDescent="0.2">
      <c r="A13" s="105" t="s">
        <v>131</v>
      </c>
      <c r="B13" s="106"/>
      <c r="C13" s="106">
        <v>0</v>
      </c>
      <c r="D13" s="106">
        <v>0</v>
      </c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99"/>
      <c r="U13" s="69"/>
      <c r="V13" s="98"/>
      <c r="W13" s="99"/>
      <c r="X13" s="98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</row>
    <row r="14" spans="1:37" ht="15" x14ac:dyDescent="0.25">
      <c r="A14" s="107" t="s">
        <v>132</v>
      </c>
      <c r="B14" s="106"/>
      <c r="C14" s="108">
        <v>16945</v>
      </c>
      <c r="D14" s="108">
        <v>17453.349999999999</v>
      </c>
      <c r="E14" s="108">
        <v>17976.950499999995</v>
      </c>
      <c r="F14" s="108">
        <v>18516.259015</v>
      </c>
      <c r="G14" s="108">
        <v>19071.746785449999</v>
      </c>
      <c r="H14" s="108">
        <v>19643.8991890135</v>
      </c>
      <c r="I14" s="108">
        <v>20233.216164683905</v>
      </c>
      <c r="J14" s="108">
        <v>20840.21264962442</v>
      </c>
      <c r="K14" s="108">
        <v>21465.419029113156</v>
      </c>
      <c r="L14" s="108">
        <v>22109.381599986547</v>
      </c>
      <c r="M14" s="108">
        <v>22772.663047986149</v>
      </c>
      <c r="N14" s="108">
        <v>23455.842939425733</v>
      </c>
      <c r="O14" s="108">
        <v>240483.94092028344</v>
      </c>
      <c r="P14" s="108">
        <v>327058.15965158539</v>
      </c>
      <c r="Q14" s="108">
        <v>444799.09712615609</v>
      </c>
      <c r="R14" s="108">
        <v>604926.77209157217</v>
      </c>
      <c r="S14" s="108">
        <v>822700.41004453809</v>
      </c>
      <c r="T14" s="99"/>
      <c r="U14" s="69"/>
      <c r="V14" s="98"/>
      <c r="W14" s="98"/>
      <c r="X14" s="98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</row>
    <row r="15" spans="1:37" x14ac:dyDescent="0.2">
      <c r="A15" s="105" t="s">
        <v>133</v>
      </c>
      <c r="B15" s="106"/>
      <c r="C15" s="106">
        <v>15600.08</v>
      </c>
      <c r="D15" s="106">
        <v>15600.08</v>
      </c>
      <c r="E15" s="106">
        <v>15600.08</v>
      </c>
      <c r="F15" s="106">
        <v>15600.08</v>
      </c>
      <c r="G15" s="106">
        <v>15600.08</v>
      </c>
      <c r="H15" s="106">
        <v>15600.08</v>
      </c>
      <c r="I15" s="106">
        <v>15600.08</v>
      </c>
      <c r="J15" s="106">
        <v>15600.08</v>
      </c>
      <c r="K15" s="106">
        <v>15600.08</v>
      </c>
      <c r="L15" s="106">
        <v>15600.08</v>
      </c>
      <c r="M15" s="106">
        <v>15600.08</v>
      </c>
      <c r="N15" s="106">
        <v>15600.08</v>
      </c>
      <c r="O15" s="106">
        <v>187200.95999999996</v>
      </c>
      <c r="P15" s="106">
        <v>196561.00799999994</v>
      </c>
      <c r="Q15" s="106">
        <v>206389.05839999995</v>
      </c>
      <c r="R15" s="106">
        <v>206389.05839999995</v>
      </c>
      <c r="S15" s="106">
        <v>206389.05839999995</v>
      </c>
      <c r="T15" s="99"/>
      <c r="U15" s="69"/>
      <c r="V15" s="69"/>
      <c r="W15" s="98"/>
      <c r="X15" s="98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</row>
    <row r="16" spans="1:37" x14ac:dyDescent="0.2">
      <c r="A16" s="105" t="s">
        <v>134</v>
      </c>
      <c r="B16" s="106"/>
      <c r="C16" s="106">
        <v>3925.8700000000003</v>
      </c>
      <c r="D16" s="106">
        <v>3925.8700000000003</v>
      </c>
      <c r="E16" s="106">
        <v>3925.8700000000003</v>
      </c>
      <c r="F16" s="106">
        <v>3825.8700000000003</v>
      </c>
      <c r="G16" s="106">
        <v>3825.8700000000003</v>
      </c>
      <c r="H16" s="106">
        <v>3825.8700000000003</v>
      </c>
      <c r="I16" s="106">
        <v>3825.8700000000003</v>
      </c>
      <c r="J16" s="106">
        <v>3825.8700000000003</v>
      </c>
      <c r="K16" s="106">
        <v>3825.8700000000003</v>
      </c>
      <c r="L16" s="106">
        <v>3825.8700000000003</v>
      </c>
      <c r="M16" s="106">
        <v>3825.8700000000003</v>
      </c>
      <c r="N16" s="106">
        <v>3825.8700000000003</v>
      </c>
      <c r="O16" s="106">
        <v>46210.44</v>
      </c>
      <c r="P16" s="106">
        <v>48520.962000000007</v>
      </c>
      <c r="Q16" s="106">
        <v>50947.0101</v>
      </c>
      <c r="R16" s="106">
        <v>0</v>
      </c>
      <c r="S16" s="106">
        <v>0</v>
      </c>
      <c r="T16" s="99"/>
      <c r="U16" s="69"/>
      <c r="V16" s="109"/>
      <c r="W16" s="69"/>
      <c r="X16" s="98"/>
      <c r="Y16" s="98"/>
      <c r="Z16" s="98"/>
      <c r="AA16" s="98"/>
      <c r="AB16" s="69"/>
      <c r="AC16" s="69"/>
      <c r="AD16" s="69"/>
      <c r="AE16" s="69"/>
      <c r="AF16" s="69"/>
      <c r="AG16" s="69"/>
      <c r="AH16" s="69"/>
      <c r="AI16" s="69"/>
      <c r="AJ16" s="69"/>
      <c r="AK16" s="69"/>
    </row>
    <row r="17" spans="1:37" ht="13.5" thickBot="1" x14ac:dyDescent="0.25">
      <c r="A17" s="110" t="s">
        <v>135</v>
      </c>
      <c r="B17" s="111"/>
      <c r="C17" s="111">
        <v>489.37500000000006</v>
      </c>
      <c r="D17" s="111">
        <v>489.37500000000006</v>
      </c>
      <c r="E17" s="111">
        <v>489.37500000000006</v>
      </c>
      <c r="F17" s="111">
        <v>489.37500000000006</v>
      </c>
      <c r="G17" s="111">
        <v>489.37500000000006</v>
      </c>
      <c r="H17" s="111">
        <v>489.37500000000006</v>
      </c>
      <c r="I17" s="111">
        <v>489.37500000000006</v>
      </c>
      <c r="J17" s="111">
        <v>489.37500000000006</v>
      </c>
      <c r="K17" s="111">
        <v>489.37500000000006</v>
      </c>
      <c r="L17" s="111">
        <v>489.37500000000006</v>
      </c>
      <c r="M17" s="111">
        <v>489.37500000000006</v>
      </c>
      <c r="N17" s="111">
        <v>489.37500000000006</v>
      </c>
      <c r="O17" s="111">
        <v>5872.5000000000009</v>
      </c>
      <c r="P17" s="111">
        <v>5872.5</v>
      </c>
      <c r="Q17" s="111">
        <v>5872.5</v>
      </c>
      <c r="R17" s="111">
        <v>5872.5</v>
      </c>
      <c r="S17" s="111">
        <v>5872.5</v>
      </c>
      <c r="T17" s="99"/>
      <c r="U17" s="69"/>
      <c r="V17" s="69"/>
      <c r="W17" s="69"/>
      <c r="X17" s="98"/>
      <c r="Y17" s="98"/>
      <c r="Z17" s="98"/>
      <c r="AA17" s="98"/>
      <c r="AB17" s="69"/>
      <c r="AC17" s="69"/>
      <c r="AD17" s="69"/>
      <c r="AE17" s="69"/>
      <c r="AF17" s="69"/>
      <c r="AG17" s="69"/>
      <c r="AH17" s="69"/>
      <c r="AI17" s="69"/>
      <c r="AJ17" s="69"/>
      <c r="AK17" s="69"/>
    </row>
    <row r="18" spans="1:37" ht="15.75" thickBot="1" x14ac:dyDescent="0.3">
      <c r="A18" s="112" t="s">
        <v>136</v>
      </c>
      <c r="B18" s="113"/>
      <c r="C18" s="114">
        <v>-3070.3250000000003</v>
      </c>
      <c r="D18" s="114">
        <v>-2561.9750000000017</v>
      </c>
      <c r="E18" s="114">
        <v>-2038.3745000000049</v>
      </c>
      <c r="F18" s="114">
        <v>-1399.0659850000006</v>
      </c>
      <c r="G18" s="114">
        <v>-843.57821455000112</v>
      </c>
      <c r="H18" s="114">
        <v>-271.42581098650004</v>
      </c>
      <c r="I18" s="114">
        <v>317.89116468390461</v>
      </c>
      <c r="J18" s="114">
        <v>924.88764962441974</v>
      </c>
      <c r="K18" s="114">
        <v>1550.094029113156</v>
      </c>
      <c r="L18" s="114">
        <v>2194.0565999865471</v>
      </c>
      <c r="M18" s="114">
        <v>2857.3380479861485</v>
      </c>
      <c r="N18" s="114">
        <v>3540.5179394257325</v>
      </c>
      <c r="O18" s="114">
        <v>1200.0409202834699</v>
      </c>
      <c r="P18" s="114">
        <v>76103.689651585446</v>
      </c>
      <c r="Q18" s="114">
        <v>181590.52862615616</v>
      </c>
      <c r="R18" s="114">
        <v>392665.21369157219</v>
      </c>
      <c r="S18" s="114">
        <v>610438.85164453811</v>
      </c>
      <c r="T18" s="99"/>
      <c r="U18" s="69"/>
      <c r="V18" s="98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</row>
    <row r="19" spans="1:37" x14ac:dyDescent="0.2">
      <c r="A19" s="115" t="s">
        <v>137</v>
      </c>
      <c r="B19" s="104"/>
      <c r="C19" s="104">
        <v>254.17499999999998</v>
      </c>
      <c r="D19" s="104">
        <v>261.80024999999995</v>
      </c>
      <c r="E19" s="104">
        <v>269.65425749999991</v>
      </c>
      <c r="F19" s="104">
        <v>277.74388522499999</v>
      </c>
      <c r="G19" s="104">
        <v>286.07620178175</v>
      </c>
      <c r="H19" s="104">
        <v>294.65848783520249</v>
      </c>
      <c r="I19" s="104">
        <v>303.49824247025856</v>
      </c>
      <c r="J19" s="104">
        <v>312.60318974436626</v>
      </c>
      <c r="K19" s="104">
        <v>321.98128543669731</v>
      </c>
      <c r="L19" s="104">
        <v>331.64072399979818</v>
      </c>
      <c r="M19" s="104">
        <v>341.58994571979224</v>
      </c>
      <c r="N19" s="104">
        <v>351.83764409138598</v>
      </c>
      <c r="O19" s="104">
        <v>3607.2591138042508</v>
      </c>
      <c r="P19" s="104">
        <v>19197.341404897077</v>
      </c>
      <c r="Q19" s="104">
        <v>53569.205944716065</v>
      </c>
      <c r="R19" s="104">
        <v>115836.23803901378</v>
      </c>
      <c r="S19" s="104">
        <v>180079.46123513873</v>
      </c>
      <c r="T19" s="9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</row>
    <row r="20" spans="1:37" x14ac:dyDescent="0.2">
      <c r="A20" s="116" t="s">
        <v>138</v>
      </c>
      <c r="B20" s="106"/>
      <c r="C20" s="106">
        <v>489.37500000000006</v>
      </c>
      <c r="D20" s="106">
        <v>489.37500000000006</v>
      </c>
      <c r="E20" s="106">
        <v>489.37500000000006</v>
      </c>
      <c r="F20" s="106">
        <v>489.37500000000006</v>
      </c>
      <c r="G20" s="106">
        <v>489.37500000000006</v>
      </c>
      <c r="H20" s="106">
        <v>489.37500000000006</v>
      </c>
      <c r="I20" s="106">
        <v>489.37500000000006</v>
      </c>
      <c r="J20" s="106">
        <v>489.37500000000006</v>
      </c>
      <c r="K20" s="106">
        <v>489.37500000000006</v>
      </c>
      <c r="L20" s="106">
        <v>489.37500000000006</v>
      </c>
      <c r="M20" s="106">
        <v>489.37500000000006</v>
      </c>
      <c r="N20" s="106">
        <v>489.37500000000006</v>
      </c>
      <c r="O20" s="106">
        <v>5872.5000000000009</v>
      </c>
      <c r="P20" s="106">
        <v>5872.5</v>
      </c>
      <c r="Q20" s="106">
        <v>5872.5</v>
      </c>
      <c r="R20" s="106">
        <v>5872.5</v>
      </c>
      <c r="S20" s="106">
        <v>5872.5</v>
      </c>
      <c r="T20" s="9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</row>
    <row r="21" spans="1:37" ht="15" x14ac:dyDescent="0.25">
      <c r="A21" s="117" t="s">
        <v>139</v>
      </c>
      <c r="B21" s="106"/>
      <c r="C21" s="108">
        <v>-2835.1250000000005</v>
      </c>
      <c r="D21" s="108">
        <v>-2334.4002500000015</v>
      </c>
      <c r="E21" s="108">
        <v>-1818.6537575000048</v>
      </c>
      <c r="F21" s="108">
        <v>-1187.4348702250006</v>
      </c>
      <c r="G21" s="108">
        <v>-640.27941633175124</v>
      </c>
      <c r="H21" s="108">
        <v>-76.709298821702475</v>
      </c>
      <c r="I21" s="108">
        <v>503.7679222136461</v>
      </c>
      <c r="J21" s="108">
        <v>1101.6594598800534</v>
      </c>
      <c r="K21" s="108">
        <v>1717.4877436764586</v>
      </c>
      <c r="L21" s="108">
        <v>2351.7908759867491</v>
      </c>
      <c r="M21" s="108">
        <v>3005.123102266356</v>
      </c>
      <c r="N21" s="108">
        <v>3678.0552953343467</v>
      </c>
      <c r="O21" s="108">
        <v>3465.28180647922</v>
      </c>
      <c r="P21" s="108">
        <v>62778.848246688372</v>
      </c>
      <c r="Q21" s="108">
        <v>133893.8226814401</v>
      </c>
      <c r="R21" s="108">
        <v>282701.47565255838</v>
      </c>
      <c r="S21" s="108">
        <v>436231.89040939941</v>
      </c>
      <c r="T21" s="99"/>
      <c r="U21" s="69"/>
      <c r="V21" s="98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</row>
    <row r="22" spans="1:37" x14ac:dyDescent="0.2">
      <c r="A22" s="118" t="s">
        <v>140</v>
      </c>
      <c r="B22" s="106">
        <v>-26030</v>
      </c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>
        <v>0</v>
      </c>
      <c r="R22" s="106"/>
      <c r="S22" s="106"/>
      <c r="T22" s="9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</row>
    <row r="23" spans="1:37" x14ac:dyDescent="0.2">
      <c r="A23" s="118" t="s">
        <v>141</v>
      </c>
      <c r="B23" s="111">
        <v>0</v>
      </c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06"/>
      <c r="S23" s="106"/>
      <c r="T23" s="9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</row>
    <row r="24" spans="1:37" x14ac:dyDescent="0.2">
      <c r="A24" s="119" t="s">
        <v>142</v>
      </c>
      <c r="B24" s="111">
        <v>0</v>
      </c>
      <c r="C24" s="111">
        <v>0</v>
      </c>
      <c r="D24" s="111">
        <v>0</v>
      </c>
      <c r="E24" s="111">
        <v>0</v>
      </c>
      <c r="F24" s="111">
        <v>0</v>
      </c>
      <c r="G24" s="111">
        <v>0</v>
      </c>
      <c r="H24" s="111">
        <v>0</v>
      </c>
      <c r="I24" s="111">
        <v>0</v>
      </c>
      <c r="J24" s="111">
        <v>0</v>
      </c>
      <c r="K24" s="111">
        <v>0</v>
      </c>
      <c r="L24" s="111">
        <v>0</v>
      </c>
      <c r="M24" s="111">
        <v>0</v>
      </c>
      <c r="N24" s="111">
        <v>0</v>
      </c>
      <c r="O24" s="111">
        <v>0</v>
      </c>
      <c r="P24" s="111">
        <v>0</v>
      </c>
      <c r="Q24" s="111">
        <v>0</v>
      </c>
      <c r="R24" s="111">
        <v>0</v>
      </c>
      <c r="S24" s="106">
        <v>0</v>
      </c>
      <c r="T24" s="9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</row>
    <row r="25" spans="1:37" ht="13.5" thickBot="1" x14ac:dyDescent="0.25">
      <c r="A25" s="120" t="s">
        <v>143</v>
      </c>
      <c r="B25" s="121"/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9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</row>
    <row r="26" spans="1:37" ht="15.75" thickBot="1" x14ac:dyDescent="0.3">
      <c r="A26" s="122" t="s">
        <v>144</v>
      </c>
      <c r="B26" s="123">
        <v>-26030</v>
      </c>
      <c r="C26" s="123">
        <v>-2835.1250000000005</v>
      </c>
      <c r="D26" s="123">
        <v>-2334.4002500000015</v>
      </c>
      <c r="E26" s="123">
        <v>-1818.6537575000048</v>
      </c>
      <c r="F26" s="123">
        <v>-1187.4348702250006</v>
      </c>
      <c r="G26" s="123">
        <v>-640.27941633175124</v>
      </c>
      <c r="H26" s="123">
        <v>-76.709298821702475</v>
      </c>
      <c r="I26" s="123">
        <v>503.7679222136461</v>
      </c>
      <c r="J26" s="123">
        <v>1101.6594598800534</v>
      </c>
      <c r="K26" s="123">
        <v>1717.4877436764586</v>
      </c>
      <c r="L26" s="123">
        <v>2351.7908759867491</v>
      </c>
      <c r="M26" s="123">
        <v>3005.123102266356</v>
      </c>
      <c r="N26" s="123">
        <v>3678.0552953343467</v>
      </c>
      <c r="O26" s="123">
        <v>3465.28180647922</v>
      </c>
      <c r="P26" s="123">
        <v>62778.848246688372</v>
      </c>
      <c r="Q26" s="123">
        <v>133893.8226814401</v>
      </c>
      <c r="R26" s="123">
        <v>282701.47565255838</v>
      </c>
      <c r="S26" s="123">
        <v>436231.89040939941</v>
      </c>
      <c r="T26" s="208">
        <v>4007173.3448990178</v>
      </c>
      <c r="U26" s="98"/>
      <c r="V26" s="98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</row>
    <row r="27" spans="1:37" x14ac:dyDescent="0.2">
      <c r="A27" s="124" t="s">
        <v>145</v>
      </c>
      <c r="B27" s="104">
        <v>0</v>
      </c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6"/>
      <c r="S27" s="106"/>
      <c r="T27" s="99"/>
      <c r="U27" s="69"/>
      <c r="V27" s="98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</row>
    <row r="28" spans="1:37" x14ac:dyDescent="0.2">
      <c r="A28" s="125" t="s">
        <v>146</v>
      </c>
      <c r="B28" s="106"/>
      <c r="C28" s="106">
        <v>0</v>
      </c>
      <c r="D28" s="106">
        <v>0</v>
      </c>
      <c r="E28" s="106">
        <v>0</v>
      </c>
      <c r="F28" s="106">
        <v>0</v>
      </c>
      <c r="G28" s="106">
        <v>0</v>
      </c>
      <c r="H28" s="106">
        <v>0</v>
      </c>
      <c r="I28" s="106">
        <v>0</v>
      </c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9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</row>
    <row r="29" spans="1:37" x14ac:dyDescent="0.2">
      <c r="A29" s="125" t="s">
        <v>147</v>
      </c>
      <c r="B29" s="106"/>
      <c r="C29" s="106">
        <v>0</v>
      </c>
      <c r="D29" s="106">
        <v>0</v>
      </c>
      <c r="E29" s="106">
        <v>0</v>
      </c>
      <c r="F29" s="106">
        <v>0</v>
      </c>
      <c r="G29" s="106">
        <v>0</v>
      </c>
      <c r="H29" s="106">
        <v>0</v>
      </c>
      <c r="I29" s="106">
        <v>0</v>
      </c>
      <c r="J29" s="106">
        <v>0</v>
      </c>
      <c r="K29" s="106">
        <v>0</v>
      </c>
      <c r="L29" s="106">
        <v>0</v>
      </c>
      <c r="M29" s="106">
        <v>0</v>
      </c>
      <c r="N29" s="106">
        <v>0</v>
      </c>
      <c r="O29" s="106">
        <v>0</v>
      </c>
      <c r="P29" s="106">
        <v>0</v>
      </c>
      <c r="Q29" s="106">
        <v>0</v>
      </c>
      <c r="R29" s="106">
        <v>0</v>
      </c>
      <c r="S29" s="106">
        <v>0</v>
      </c>
      <c r="T29" s="9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</row>
    <row r="30" spans="1:37" ht="13.5" thickBot="1" x14ac:dyDescent="0.25">
      <c r="A30" s="126" t="s">
        <v>148</v>
      </c>
      <c r="B30" s="111"/>
      <c r="C30" s="111">
        <v>0</v>
      </c>
      <c r="D30" s="111">
        <v>0</v>
      </c>
      <c r="E30" s="111">
        <v>0</v>
      </c>
      <c r="F30" s="111">
        <v>0</v>
      </c>
      <c r="G30" s="111">
        <v>0</v>
      </c>
      <c r="H30" s="111">
        <v>0</v>
      </c>
      <c r="I30" s="111">
        <v>0</v>
      </c>
      <c r="J30" s="111">
        <v>0</v>
      </c>
      <c r="K30" s="111">
        <v>0</v>
      </c>
      <c r="L30" s="111">
        <v>0</v>
      </c>
      <c r="M30" s="111">
        <v>0</v>
      </c>
      <c r="N30" s="111">
        <v>0</v>
      </c>
      <c r="O30" s="106">
        <v>0</v>
      </c>
      <c r="P30" s="106">
        <v>0</v>
      </c>
      <c r="Q30" s="106">
        <v>0</v>
      </c>
      <c r="R30" s="106">
        <v>0</v>
      </c>
      <c r="S30" s="106">
        <v>0</v>
      </c>
      <c r="T30" s="9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</row>
    <row r="31" spans="1:37" ht="15.75" thickBot="1" x14ac:dyDescent="0.3">
      <c r="A31" s="127" t="s">
        <v>149</v>
      </c>
      <c r="B31" s="209">
        <v>-26030</v>
      </c>
      <c r="C31" s="128">
        <v>-2835.1250000000005</v>
      </c>
      <c r="D31" s="128">
        <v>-2334.4002500000015</v>
      </c>
      <c r="E31" s="128">
        <v>-1818.6537575000048</v>
      </c>
      <c r="F31" s="128">
        <v>-1187.4348702250006</v>
      </c>
      <c r="G31" s="128">
        <v>-640.27941633175124</v>
      </c>
      <c r="H31" s="128">
        <v>-76.709298821702475</v>
      </c>
      <c r="I31" s="128">
        <v>503.7679222136461</v>
      </c>
      <c r="J31" s="128">
        <v>1101.6594598800534</v>
      </c>
      <c r="K31" s="128">
        <v>1717.4877436764586</v>
      </c>
      <c r="L31" s="128">
        <v>2351.7908759867491</v>
      </c>
      <c r="M31" s="128">
        <v>3005.123102266356</v>
      </c>
      <c r="N31" s="128">
        <v>3678.0552953343467</v>
      </c>
      <c r="O31" s="128">
        <v>3465.28180647922</v>
      </c>
      <c r="P31" s="128">
        <v>62778.848246688372</v>
      </c>
      <c r="Q31" s="128">
        <v>133893.8226814401</v>
      </c>
      <c r="R31" s="128">
        <v>282701.47565255838</v>
      </c>
      <c r="S31" s="128">
        <v>436231.89040939941</v>
      </c>
      <c r="T31" s="208">
        <v>4007173.3448990178</v>
      </c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</row>
    <row r="32" spans="1:37" ht="15" x14ac:dyDescent="0.25">
      <c r="A32" s="210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</row>
    <row r="33" spans="1:37" ht="15" hidden="1" x14ac:dyDescent="0.25">
      <c r="A33" s="210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</row>
    <row r="34" spans="1:37" ht="15" hidden="1" x14ac:dyDescent="0.25">
      <c r="A34" s="210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</row>
    <row r="35" spans="1:37" ht="15" hidden="1" x14ac:dyDescent="0.25">
      <c r="A35" s="210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</row>
    <row r="36" spans="1:37" hidden="1" x14ac:dyDescent="0.2">
      <c r="A36" s="69"/>
      <c r="B36" s="6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8"/>
      <c r="P36" s="69"/>
      <c r="Q36" s="98"/>
      <c r="R36" s="69"/>
      <c r="S36" s="69"/>
      <c r="T36" s="9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</row>
    <row r="37" spans="1:37" ht="15" x14ac:dyDescent="0.25">
      <c r="A37" s="130" t="s">
        <v>150</v>
      </c>
      <c r="B37" s="131">
        <f>+NPV('[1]Determinación COK y WACC'!F40,O26:Q26)+B26</f>
        <v>116807.67301486543</v>
      </c>
      <c r="C37" s="69"/>
      <c r="D37" s="101"/>
      <c r="E37" s="98"/>
      <c r="F37" s="98"/>
      <c r="G37" s="98"/>
      <c r="H37" s="98"/>
      <c r="I37" s="98"/>
      <c r="J37" s="98"/>
      <c r="K37" s="98"/>
      <c r="L37" s="98"/>
      <c r="M37" s="132"/>
      <c r="N37" s="133"/>
      <c r="O37" s="133"/>
      <c r="P37" s="133"/>
      <c r="Q37" s="133"/>
      <c r="R37" s="133"/>
      <c r="S37" s="133"/>
      <c r="T37" s="133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</row>
    <row r="38" spans="1:37" ht="15" x14ac:dyDescent="0.25">
      <c r="A38" s="130" t="s">
        <v>151</v>
      </c>
      <c r="B38" s="134">
        <f>IRR(N38:T38)</f>
        <v>1.9293139250771261</v>
      </c>
      <c r="C38" s="69"/>
      <c r="D38" s="98"/>
      <c r="E38" s="98"/>
      <c r="F38" s="98"/>
      <c r="G38" s="98"/>
      <c r="H38" s="98"/>
      <c r="I38" s="98"/>
      <c r="J38" s="98"/>
      <c r="K38" s="98"/>
      <c r="L38" s="98"/>
      <c r="M38" s="135"/>
      <c r="N38" s="136">
        <v>-26030</v>
      </c>
      <c r="O38" s="136">
        <v>3465.28180647922</v>
      </c>
      <c r="P38" s="136">
        <v>62778.848246688372</v>
      </c>
      <c r="Q38" s="136">
        <v>133893.8226814401</v>
      </c>
      <c r="R38" s="136">
        <v>282701.47565255838</v>
      </c>
      <c r="S38" s="136">
        <v>436231.89040939941</v>
      </c>
      <c r="T38" s="136">
        <v>4007173.3448990178</v>
      </c>
      <c r="U38" s="137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</row>
    <row r="39" spans="1:37" ht="15" x14ac:dyDescent="0.25">
      <c r="A39" s="130" t="s">
        <v>239</v>
      </c>
      <c r="B39" s="131">
        <f>SUM(C31:H31)</f>
        <v>-8892.602592878462</v>
      </c>
      <c r="C39" s="69"/>
      <c r="D39" s="69"/>
      <c r="E39" s="98"/>
      <c r="F39" s="98"/>
      <c r="G39" s="98"/>
      <c r="H39" s="98"/>
      <c r="I39" s="98"/>
      <c r="J39" s="98"/>
      <c r="K39" s="98"/>
      <c r="L39" s="98"/>
      <c r="M39" s="135"/>
      <c r="N39" s="139"/>
      <c r="O39" s="139"/>
      <c r="P39" s="139"/>
      <c r="Q39" s="139"/>
      <c r="R39" s="139"/>
      <c r="S39" s="139"/>
      <c r="T39" s="139"/>
      <c r="U39" s="137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</row>
    <row r="40" spans="1:37" ht="15" x14ac:dyDescent="0.25">
      <c r="A40" s="69"/>
      <c r="B40" s="69"/>
      <c r="C40" s="69"/>
      <c r="D40" s="69"/>
      <c r="E40" s="98"/>
      <c r="F40" s="98"/>
      <c r="G40" s="98"/>
      <c r="H40" s="98"/>
      <c r="I40" s="98"/>
      <c r="J40" s="98"/>
      <c r="K40" s="98"/>
      <c r="L40" s="98"/>
      <c r="M40" s="135"/>
      <c r="N40" s="139"/>
      <c r="O40" s="139"/>
      <c r="P40" s="139"/>
      <c r="Q40" s="139"/>
      <c r="R40" s="139"/>
      <c r="S40" s="139"/>
      <c r="T40" s="139"/>
      <c r="U40" s="137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</row>
    <row r="41" spans="1:37" ht="15" x14ac:dyDescent="0.25">
      <c r="A41" s="130" t="s">
        <v>152</v>
      </c>
      <c r="B41" s="131">
        <f>NPV('[1]Determinación COK y WACC'!C33,O31:T31)+B31</f>
        <v>2374981.7156704115</v>
      </c>
      <c r="C41" s="69"/>
      <c r="D41" s="91"/>
      <c r="E41" s="69"/>
      <c r="F41" s="98"/>
      <c r="G41" s="140"/>
      <c r="H41" s="98"/>
      <c r="I41" s="98"/>
      <c r="J41" s="98"/>
      <c r="K41" s="98"/>
      <c r="L41" s="98"/>
      <c r="M41" s="135"/>
      <c r="N41" s="139"/>
      <c r="O41" s="139"/>
      <c r="P41" s="139"/>
      <c r="Q41" s="139"/>
      <c r="R41" s="139"/>
      <c r="S41" s="139"/>
      <c r="T41" s="139"/>
      <c r="U41" s="137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</row>
    <row r="42" spans="1:37" ht="15" x14ac:dyDescent="0.25">
      <c r="A42" s="130" t="s">
        <v>153</v>
      </c>
      <c r="B42" s="134">
        <f>IRR(N42:T42)</f>
        <v>1.9293139250771261</v>
      </c>
      <c r="C42" s="141"/>
      <c r="D42" s="91"/>
      <c r="E42" s="69"/>
      <c r="F42" s="98"/>
      <c r="G42" s="142"/>
      <c r="H42" s="98"/>
      <c r="I42" s="98"/>
      <c r="J42" s="98"/>
      <c r="K42" s="98"/>
      <c r="L42" s="98"/>
      <c r="M42" s="135"/>
      <c r="N42" s="136">
        <v>-26030</v>
      </c>
      <c r="O42" s="136">
        <v>3465.28180647922</v>
      </c>
      <c r="P42" s="136">
        <v>62778.848246688372</v>
      </c>
      <c r="Q42" s="136">
        <v>133893.8226814401</v>
      </c>
      <c r="R42" s="136">
        <v>282701.47565255838</v>
      </c>
      <c r="S42" s="136">
        <v>436231.89040939941</v>
      </c>
      <c r="T42" s="136">
        <v>4007173.3448990178</v>
      </c>
      <c r="U42" s="137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</row>
    <row r="43" spans="1:37" ht="15" x14ac:dyDescent="0.25">
      <c r="A43" s="91"/>
      <c r="B43" s="142"/>
      <c r="C43" s="141"/>
      <c r="D43" s="69"/>
      <c r="E43" s="98"/>
      <c r="F43" s="98"/>
      <c r="G43" s="98"/>
      <c r="H43" s="98"/>
      <c r="I43" s="98"/>
      <c r="J43" s="98"/>
      <c r="K43" s="98"/>
      <c r="L43" s="98"/>
      <c r="M43" s="143"/>
      <c r="N43" s="144"/>
      <c r="O43" s="144"/>
      <c r="P43" s="144"/>
      <c r="Q43" s="144"/>
      <c r="R43" s="144"/>
      <c r="S43" s="144"/>
      <c r="T43" s="144"/>
      <c r="U43" s="137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</row>
    <row r="44" spans="1:37" ht="15" x14ac:dyDescent="0.25">
      <c r="A44" s="91"/>
      <c r="B44" s="142"/>
      <c r="C44" s="141"/>
      <c r="D44" s="69"/>
      <c r="E44" s="98"/>
      <c r="F44" s="98"/>
      <c r="G44" s="98"/>
      <c r="H44" s="98"/>
      <c r="I44" s="98"/>
      <c r="J44" s="98"/>
      <c r="K44" s="98"/>
      <c r="L44" s="98"/>
      <c r="M44" s="98"/>
      <c r="N44" s="99"/>
      <c r="O44" s="99"/>
      <c r="P44" s="99"/>
      <c r="Q44" s="99"/>
      <c r="R44" s="99"/>
      <c r="S44" s="99"/>
      <c r="T44" s="9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</row>
    <row r="45" spans="1:37" ht="15" x14ac:dyDescent="0.25">
      <c r="A45" s="91"/>
      <c r="B45" s="142"/>
      <c r="C45" s="141"/>
      <c r="D45" s="69"/>
      <c r="E45" s="98"/>
      <c r="F45" s="98"/>
      <c r="G45" s="98"/>
      <c r="H45" s="98"/>
      <c r="I45" s="98"/>
      <c r="J45" s="98"/>
      <c r="K45" s="98"/>
      <c r="L45" s="98"/>
      <c r="M45" s="98"/>
      <c r="N45" s="99"/>
      <c r="O45" s="99"/>
      <c r="P45" s="99"/>
      <c r="Q45" s="99"/>
      <c r="R45" s="99"/>
      <c r="S45" s="99"/>
      <c r="T45" s="9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</row>
    <row r="46" spans="1:37" ht="15" x14ac:dyDescent="0.25">
      <c r="A46" s="91"/>
      <c r="B46" s="142"/>
      <c r="C46" s="141"/>
      <c r="D46" s="69"/>
      <c r="E46" s="98"/>
      <c r="F46" s="98"/>
      <c r="G46" s="98"/>
      <c r="H46" s="98"/>
      <c r="I46" s="98"/>
      <c r="J46" s="98"/>
      <c r="K46" s="98"/>
      <c r="L46" s="98"/>
      <c r="M46" s="98"/>
      <c r="N46" s="99"/>
      <c r="O46" s="99"/>
      <c r="P46" s="99"/>
      <c r="Q46" s="99"/>
      <c r="R46" s="99"/>
      <c r="S46" s="99"/>
      <c r="T46" s="9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</row>
    <row r="47" spans="1:37" ht="15" x14ac:dyDescent="0.25">
      <c r="A47" s="91"/>
      <c r="B47" s="142"/>
      <c r="C47" s="141"/>
      <c r="D47" s="69"/>
      <c r="E47" s="98"/>
      <c r="F47" s="98"/>
      <c r="G47" s="98"/>
      <c r="H47" s="98"/>
      <c r="I47" s="98"/>
      <c r="J47" s="98"/>
      <c r="K47" s="98"/>
      <c r="L47" s="98"/>
      <c r="M47" s="98"/>
      <c r="N47" s="99"/>
      <c r="O47" s="99"/>
      <c r="P47" s="99"/>
      <c r="Q47" s="99"/>
      <c r="R47" s="99"/>
      <c r="S47" s="99"/>
      <c r="T47" s="9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</row>
    <row r="48" spans="1:37" x14ac:dyDescent="0.2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</row>
    <row r="49" spans="1:37" x14ac:dyDescent="0.2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</row>
    <row r="50" spans="1:37" x14ac:dyDescent="0.2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</row>
    <row r="51" spans="1:37" x14ac:dyDescent="0.2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</row>
    <row r="52" spans="1:37" x14ac:dyDescent="0.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</row>
    <row r="53" spans="1:37" x14ac:dyDescent="0.2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</row>
    <row r="54" spans="1:37" x14ac:dyDescent="0.2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</row>
    <row r="55" spans="1:37" x14ac:dyDescent="0.2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</row>
    <row r="56" spans="1:37" x14ac:dyDescent="0.2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</row>
    <row r="57" spans="1:37" x14ac:dyDescent="0.2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</row>
    <row r="58" spans="1:37" x14ac:dyDescent="0.2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</row>
    <row r="59" spans="1:37" x14ac:dyDescent="0.2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</row>
    <row r="60" spans="1:37" x14ac:dyDescent="0.2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</row>
    <row r="61" spans="1:37" x14ac:dyDescent="0.2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</row>
    <row r="62" spans="1:37" x14ac:dyDescent="0.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</row>
    <row r="63" spans="1:37" x14ac:dyDescent="0.2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</row>
    <row r="64" spans="1:37" x14ac:dyDescent="0.2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</row>
    <row r="65" spans="1:37" x14ac:dyDescent="0.2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</row>
    <row r="66" spans="1:37" x14ac:dyDescent="0.2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</row>
    <row r="67" spans="1:37" x14ac:dyDescent="0.2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</row>
    <row r="68" spans="1:37" x14ac:dyDescent="0.2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</row>
    <row r="69" spans="1:37" x14ac:dyDescent="0.2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</row>
    <row r="70" spans="1:37" x14ac:dyDescent="0.2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</row>
    <row r="71" spans="1:37" x14ac:dyDescent="0.2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</row>
    <row r="72" spans="1:37" x14ac:dyDescent="0.2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</row>
    <row r="73" spans="1:37" x14ac:dyDescent="0.2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</row>
    <row r="74" spans="1:37" x14ac:dyDescent="0.2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</row>
    <row r="75" spans="1:37" x14ac:dyDescent="0.2"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</row>
    <row r="76" spans="1:37" x14ac:dyDescent="0.2"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</row>
    <row r="77" spans="1:37" x14ac:dyDescent="0.2"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</row>
    <row r="78" spans="1:37" x14ac:dyDescent="0.2"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</row>
    <row r="79" spans="1:37" x14ac:dyDescent="0.2"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</row>
    <row r="80" spans="1:37" x14ac:dyDescent="0.2"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</row>
    <row r="81" spans="2:20" x14ac:dyDescent="0.2"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</row>
    <row r="82" spans="2:20" x14ac:dyDescent="0.2"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</row>
    <row r="83" spans="2:20" x14ac:dyDescent="0.2"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</row>
    <row r="84" spans="2:20" x14ac:dyDescent="0.2"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</row>
    <row r="85" spans="2:20" x14ac:dyDescent="0.2"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</row>
    <row r="86" spans="2:20" x14ac:dyDescent="0.2"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</row>
    <row r="87" spans="2:20" x14ac:dyDescent="0.2"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</row>
    <row r="88" spans="2:20" x14ac:dyDescent="0.2"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</row>
    <row r="89" spans="2:20" x14ac:dyDescent="0.2"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</row>
    <row r="90" spans="2:20" x14ac:dyDescent="0.2"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</row>
    <row r="91" spans="2:20" x14ac:dyDescent="0.2"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</row>
    <row r="92" spans="2:20" x14ac:dyDescent="0.2"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</row>
    <row r="93" spans="2:20" x14ac:dyDescent="0.2"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</row>
    <row r="94" spans="2:20" x14ac:dyDescent="0.2"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</row>
    <row r="95" spans="2:20" x14ac:dyDescent="0.2"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</row>
    <row r="96" spans="2:20" x14ac:dyDescent="0.2"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</row>
    <row r="97" spans="1:20" x14ac:dyDescent="0.2"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</row>
    <row r="98" spans="1:20" x14ac:dyDescent="0.2"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</row>
    <row r="99" spans="1:20" x14ac:dyDescent="0.2"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</row>
    <row r="100" spans="1:20" x14ac:dyDescent="0.2">
      <c r="A100" s="92"/>
    </row>
    <row r="101" spans="1:20" x14ac:dyDescent="0.2">
      <c r="A101" s="92"/>
    </row>
    <row r="102" spans="1:20" x14ac:dyDescent="0.2">
      <c r="A102" s="92"/>
    </row>
    <row r="103" spans="1:20" x14ac:dyDescent="0.2">
      <c r="A103" s="92"/>
    </row>
    <row r="104" spans="1:20" x14ac:dyDescent="0.2">
      <c r="A104" s="92"/>
    </row>
    <row r="105" spans="1:20" x14ac:dyDescent="0.2">
      <c r="A105" s="92"/>
    </row>
    <row r="106" spans="1:20" x14ac:dyDescent="0.2">
      <c r="A106" s="92"/>
    </row>
    <row r="107" spans="1:20" x14ac:dyDescent="0.2">
      <c r="A107" s="92"/>
    </row>
    <row r="108" spans="1:20" x14ac:dyDescent="0.2">
      <c r="A108" s="92"/>
    </row>
    <row r="109" spans="1:20" x14ac:dyDescent="0.2">
      <c r="A109" s="92"/>
    </row>
    <row r="110" spans="1:20" x14ac:dyDescent="0.2">
      <c r="A110" s="92"/>
    </row>
    <row r="111" spans="1:20" x14ac:dyDescent="0.2">
      <c r="A111" s="92"/>
    </row>
    <row r="112" spans="1:20" x14ac:dyDescent="0.2">
      <c r="A112" s="92"/>
    </row>
    <row r="113" spans="1:1" x14ac:dyDescent="0.2">
      <c r="A113" s="92"/>
    </row>
    <row r="114" spans="1:1" x14ac:dyDescent="0.2">
      <c r="A114" s="92"/>
    </row>
    <row r="115" spans="1:1" x14ac:dyDescent="0.2">
      <c r="A115" s="92"/>
    </row>
    <row r="116" spans="1:1" x14ac:dyDescent="0.2">
      <c r="A116" s="92"/>
    </row>
    <row r="117" spans="1:1" x14ac:dyDescent="0.2">
      <c r="A117" s="92"/>
    </row>
    <row r="118" spans="1:1" x14ac:dyDescent="0.2">
      <c r="A118" s="92"/>
    </row>
    <row r="119" spans="1:1" x14ac:dyDescent="0.2">
      <c r="A119" s="92"/>
    </row>
    <row r="120" spans="1:1" x14ac:dyDescent="0.2">
      <c r="A120" s="92"/>
    </row>
    <row r="121" spans="1:1" x14ac:dyDescent="0.2">
      <c r="A121" s="92"/>
    </row>
    <row r="122" spans="1:1" x14ac:dyDescent="0.2">
      <c r="A122" s="92"/>
    </row>
    <row r="123" spans="1:1" x14ac:dyDescent="0.2">
      <c r="A123" s="92"/>
    </row>
    <row r="124" spans="1:1" x14ac:dyDescent="0.2">
      <c r="A124" s="92"/>
    </row>
    <row r="125" spans="1:1" x14ac:dyDescent="0.2">
      <c r="A125" s="92"/>
    </row>
    <row r="126" spans="1:1" x14ac:dyDescent="0.2">
      <c r="A126" s="92"/>
    </row>
    <row r="127" spans="1:1" x14ac:dyDescent="0.2">
      <c r="A127" s="92"/>
    </row>
    <row r="128" spans="1:1" x14ac:dyDescent="0.2">
      <c r="A128" s="92"/>
    </row>
    <row r="129" spans="1:1" x14ac:dyDescent="0.2">
      <c r="A129" s="92"/>
    </row>
    <row r="130" spans="1:1" x14ac:dyDescent="0.2">
      <c r="A130" s="92"/>
    </row>
    <row r="131" spans="1:1" x14ac:dyDescent="0.2">
      <c r="A131" s="92"/>
    </row>
    <row r="132" spans="1:1" x14ac:dyDescent="0.2">
      <c r="A132" s="92"/>
    </row>
    <row r="133" spans="1:1" x14ac:dyDescent="0.2">
      <c r="A133" s="92"/>
    </row>
    <row r="134" spans="1:1" x14ac:dyDescent="0.2">
      <c r="A134" s="92"/>
    </row>
    <row r="135" spans="1:1" x14ac:dyDescent="0.2">
      <c r="A135" s="92"/>
    </row>
    <row r="136" spans="1:1" x14ac:dyDescent="0.2">
      <c r="A136" s="92"/>
    </row>
    <row r="137" spans="1:1" x14ac:dyDescent="0.2">
      <c r="A137" s="92"/>
    </row>
    <row r="138" spans="1:1" x14ac:dyDescent="0.2">
      <c r="A138" s="92"/>
    </row>
    <row r="139" spans="1:1" x14ac:dyDescent="0.2">
      <c r="A139" s="92"/>
    </row>
    <row r="140" spans="1:1" x14ac:dyDescent="0.2">
      <c r="A140" s="92"/>
    </row>
    <row r="141" spans="1:1" x14ac:dyDescent="0.2">
      <c r="A141" s="92"/>
    </row>
    <row r="142" spans="1:1" x14ac:dyDescent="0.2">
      <c r="A142" s="92"/>
    </row>
    <row r="143" spans="1:1" x14ac:dyDescent="0.2">
      <c r="A143" s="92"/>
    </row>
    <row r="144" spans="1:1" x14ac:dyDescent="0.2">
      <c r="A144" s="92"/>
    </row>
    <row r="145" spans="1:1" x14ac:dyDescent="0.2">
      <c r="A145" s="92"/>
    </row>
    <row r="146" spans="1:1" x14ac:dyDescent="0.2">
      <c r="A146" s="92"/>
    </row>
    <row r="147" spans="1:1" x14ac:dyDescent="0.2">
      <c r="A147" s="92"/>
    </row>
    <row r="148" spans="1:1" x14ac:dyDescent="0.2">
      <c r="A148" s="92"/>
    </row>
    <row r="149" spans="1:1" x14ac:dyDescent="0.2">
      <c r="A149" s="92"/>
    </row>
    <row r="150" spans="1:1" x14ac:dyDescent="0.2">
      <c r="A150" s="92"/>
    </row>
    <row r="151" spans="1:1" x14ac:dyDescent="0.2">
      <c r="A151" s="92"/>
    </row>
    <row r="152" spans="1:1" x14ac:dyDescent="0.2">
      <c r="A152" s="92"/>
    </row>
    <row r="153" spans="1:1" x14ac:dyDescent="0.2">
      <c r="A153" s="92"/>
    </row>
    <row r="154" spans="1:1" x14ac:dyDescent="0.2">
      <c r="A154" s="92"/>
    </row>
    <row r="155" spans="1:1" x14ac:dyDescent="0.2">
      <c r="A155" s="92"/>
    </row>
    <row r="156" spans="1:1" x14ac:dyDescent="0.2">
      <c r="A156" s="92"/>
    </row>
    <row r="157" spans="1:1" x14ac:dyDescent="0.2">
      <c r="A157" s="92"/>
    </row>
    <row r="158" spans="1:1" x14ac:dyDescent="0.2">
      <c r="A158" s="92"/>
    </row>
    <row r="159" spans="1:1" x14ac:dyDescent="0.2">
      <c r="A159" s="92"/>
    </row>
    <row r="160" spans="1:1" x14ac:dyDescent="0.2">
      <c r="A160" s="92"/>
    </row>
    <row r="161" spans="1:1" x14ac:dyDescent="0.2">
      <c r="A161" s="92"/>
    </row>
    <row r="162" spans="1:1" x14ac:dyDescent="0.2">
      <c r="A162" s="92"/>
    </row>
    <row r="163" spans="1:1" x14ac:dyDescent="0.2">
      <c r="A163" s="92"/>
    </row>
    <row r="164" spans="1:1" x14ac:dyDescent="0.2">
      <c r="A164" s="92"/>
    </row>
    <row r="165" spans="1:1" x14ac:dyDescent="0.2">
      <c r="A165" s="92"/>
    </row>
    <row r="166" spans="1:1" x14ac:dyDescent="0.2">
      <c r="A166" s="92"/>
    </row>
    <row r="167" spans="1:1" x14ac:dyDescent="0.2">
      <c r="A167" s="92"/>
    </row>
    <row r="168" spans="1:1" x14ac:dyDescent="0.2">
      <c r="A168" s="92"/>
    </row>
    <row r="169" spans="1:1" x14ac:dyDescent="0.2">
      <c r="A169" s="92"/>
    </row>
    <row r="170" spans="1:1" x14ac:dyDescent="0.2">
      <c r="A170" s="92"/>
    </row>
  </sheetData>
  <conditionalFormatting sqref="C31:S35">
    <cfRule type="cellIs" dxfId="3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32"/>
  <sheetViews>
    <sheetView showGridLines="0" workbookViewId="0">
      <selection activeCell="H14" sqref="H14:H16"/>
    </sheetView>
  </sheetViews>
  <sheetFormatPr baseColWidth="10" defaultRowHeight="12.75" x14ac:dyDescent="0.2"/>
  <cols>
    <col min="2" max="2" width="48" bestFit="1" customWidth="1"/>
    <col min="4" max="4" width="9.5" bestFit="1" customWidth="1"/>
    <col min="7" max="7" width="42.6640625" bestFit="1" customWidth="1"/>
  </cols>
  <sheetData>
    <row r="3" spans="2:8" ht="19.5" thickBot="1" x14ac:dyDescent="0.35">
      <c r="B3" s="37" t="s">
        <v>127</v>
      </c>
      <c r="C3" s="69"/>
    </row>
    <row r="4" spans="2:8" ht="15.75" thickBot="1" x14ac:dyDescent="0.3">
      <c r="B4" s="102" t="s">
        <v>128</v>
      </c>
      <c r="C4" s="53" t="s">
        <v>75</v>
      </c>
      <c r="D4" s="60" t="s">
        <v>88</v>
      </c>
      <c r="E4" s="60" t="s">
        <v>89</v>
      </c>
      <c r="F4" s="60" t="s">
        <v>90</v>
      </c>
    </row>
    <row r="5" spans="2:8" ht="15.75" thickBot="1" x14ac:dyDescent="0.3">
      <c r="B5" s="122" t="s">
        <v>144</v>
      </c>
      <c r="C5" s="123">
        <f>-H17</f>
        <v>-36951</v>
      </c>
      <c r="D5" s="123">
        <f>Hoja4!O33</f>
        <v>5529.3165487998422</v>
      </c>
      <c r="E5" s="123">
        <f>Hoja4!P33</f>
        <v>58527.388904367705</v>
      </c>
      <c r="F5" s="123">
        <f>Hoja4!Q33</f>
        <v>147007.61038144006</v>
      </c>
    </row>
    <row r="6" spans="2:8" ht="15" x14ac:dyDescent="0.25">
      <c r="B6" s="130" t="s">
        <v>150</v>
      </c>
      <c r="C6" s="131">
        <f>NPV('8.5.'!B32,'8.10'!D5:F5)+'8.10'!C5</f>
        <v>113343.09390539178</v>
      </c>
      <c r="D6" s="131">
        <f>NPV(Hoja4!O34,'8.10'!D5:F5)+'8.10'!C5</f>
        <v>93374.632463514514</v>
      </c>
    </row>
    <row r="7" spans="2:8" ht="15" x14ac:dyDescent="0.25">
      <c r="B7" s="130" t="s">
        <v>226</v>
      </c>
      <c r="C7" s="201">
        <f>IRR(C5:F5)</f>
        <v>0.97359637389216536</v>
      </c>
      <c r="D7" s="201">
        <f>IRR(C5:F5)</f>
        <v>0.97359637389216536</v>
      </c>
    </row>
    <row r="8" spans="2:8" ht="15" x14ac:dyDescent="0.25">
      <c r="B8" s="130" t="s">
        <v>227</v>
      </c>
      <c r="C8" s="202">
        <f>(C6-C5)/-C5</f>
        <v>4.0673890802790664</v>
      </c>
      <c r="D8" s="202">
        <f>(D6-C5)/-C5</f>
        <v>3.5269852632814946</v>
      </c>
    </row>
    <row r="12" spans="2:8" ht="18.75" x14ac:dyDescent="0.3">
      <c r="B12" s="37" t="s">
        <v>198</v>
      </c>
      <c r="G12" s="37" t="s">
        <v>160</v>
      </c>
      <c r="H12" s="66"/>
    </row>
    <row r="13" spans="2:8" ht="15" x14ac:dyDescent="0.25">
      <c r="B13" s="38"/>
      <c r="C13" s="60" t="s">
        <v>88</v>
      </c>
      <c r="D13" s="60" t="s">
        <v>89</v>
      </c>
      <c r="E13" s="60" t="s">
        <v>90</v>
      </c>
      <c r="G13" s="69"/>
      <c r="H13" s="60" t="s">
        <v>161</v>
      </c>
    </row>
    <row r="14" spans="2:8" ht="15" x14ac:dyDescent="0.2">
      <c r="B14" s="165" t="s">
        <v>129</v>
      </c>
      <c r="C14" s="44">
        <f>'8.7.1'!N5</f>
        <v>251063.12620029435</v>
      </c>
      <c r="D14" s="44">
        <f>'8.7.1'!O5</f>
        <v>364041.53299042693</v>
      </c>
      <c r="E14" s="44">
        <f>'8.7.1'!P5</f>
        <v>527860.22283611901</v>
      </c>
      <c r="G14" s="85" t="s">
        <v>162</v>
      </c>
      <c r="H14" s="86">
        <v>21030</v>
      </c>
    </row>
    <row r="15" spans="2:8" ht="15" x14ac:dyDescent="0.2">
      <c r="B15" s="165" t="s">
        <v>131</v>
      </c>
      <c r="C15" s="44">
        <f>'8.7.1'!N6</f>
        <v>0</v>
      </c>
      <c r="D15" s="44">
        <f>'8.7.1'!O6</f>
        <v>0</v>
      </c>
      <c r="E15" s="44">
        <f>'8.7.1'!P6</f>
        <v>0</v>
      </c>
      <c r="G15" s="85" t="s">
        <v>163</v>
      </c>
      <c r="H15" s="87">
        <v>5000</v>
      </c>
    </row>
    <row r="16" spans="2:8" ht="15" x14ac:dyDescent="0.2">
      <c r="B16" s="165" t="s">
        <v>199</v>
      </c>
      <c r="C16" s="44">
        <f>'8.7.1'!N7</f>
        <v>0</v>
      </c>
      <c r="D16" s="44">
        <f>+'[1]Presupuesto Producción'!D73</f>
        <v>0</v>
      </c>
      <c r="E16" s="44">
        <f>+'[1]Presupuesto Producción'!E73</f>
        <v>0</v>
      </c>
      <c r="G16" s="88" t="s">
        <v>164</v>
      </c>
      <c r="H16" s="87">
        <v>10921</v>
      </c>
    </row>
    <row r="17" spans="2:8" ht="15" x14ac:dyDescent="0.25">
      <c r="B17" s="166" t="s">
        <v>200</v>
      </c>
      <c r="C17" s="50">
        <f>'8.7.1'!N8</f>
        <v>251063.12620029435</v>
      </c>
      <c r="D17" s="50">
        <f t="shared" ref="D17:E17" si="0">+D14-D15-D16</f>
        <v>364041.53299042693</v>
      </c>
      <c r="E17" s="50">
        <f t="shared" si="0"/>
        <v>527860.22283611901</v>
      </c>
      <c r="G17" s="149" t="s">
        <v>121</v>
      </c>
      <c r="H17" s="150">
        <f>SUM(H14:H16)</f>
        <v>36951</v>
      </c>
    </row>
    <row r="18" spans="2:8" ht="15" x14ac:dyDescent="0.2">
      <c r="B18" s="165" t="s">
        <v>133</v>
      </c>
      <c r="C18" s="44">
        <f>'8.7.1'!N9</f>
        <v>144000</v>
      </c>
      <c r="D18" s="44">
        <f>C18*1.05</f>
        <v>151200</v>
      </c>
      <c r="E18" s="44">
        <f>D18*1.05</f>
        <v>158760</v>
      </c>
    </row>
    <row r="19" spans="2:8" ht="15" x14ac:dyDescent="0.2">
      <c r="B19" s="165" t="s">
        <v>201</v>
      </c>
      <c r="C19" s="44">
        <f>'8.7.1'!N10</f>
        <v>47110.44000000001</v>
      </c>
      <c r="D19" s="44">
        <f>C19*1.05</f>
        <v>49465.962000000014</v>
      </c>
      <c r="E19" s="44">
        <f>D19*1.05</f>
        <v>51939.260100000014</v>
      </c>
      <c r="G19" s="12"/>
    </row>
    <row r="20" spans="2:8" ht="15" x14ac:dyDescent="0.2">
      <c r="B20" s="165" t="s">
        <v>202</v>
      </c>
      <c r="C20" s="44">
        <f>'8.7.1'!N11</f>
        <v>5872.5000000000009</v>
      </c>
      <c r="D20" s="44">
        <f>+[1]Inversión!$J$71</f>
        <v>5872.5</v>
      </c>
      <c r="E20" s="44">
        <f>+[1]Inversión!$J$71</f>
        <v>5872.5</v>
      </c>
    </row>
    <row r="21" spans="2:8" ht="15" x14ac:dyDescent="0.25">
      <c r="B21" s="166" t="s">
        <v>203</v>
      </c>
      <c r="C21" s="50">
        <f>'8.7.1'!N12</f>
        <v>54080.186200294345</v>
      </c>
      <c r="D21" s="50">
        <f t="shared" ref="D21" si="1">+D17-D18-D19-D20</f>
        <v>157503.07099042693</v>
      </c>
      <c r="E21" s="50">
        <f>+E17-E18-E19-E20</f>
        <v>311288.46273611899</v>
      </c>
    </row>
    <row r="22" spans="2:8" ht="15" x14ac:dyDescent="0.2">
      <c r="B22" s="165" t="s">
        <v>204</v>
      </c>
      <c r="C22" s="44">
        <f>'8.7.1'!N13</f>
        <v>0</v>
      </c>
      <c r="D22" s="44">
        <f>+SUM([1]Financiamiento!C28:N28)</f>
        <v>0</v>
      </c>
      <c r="E22" s="44">
        <f>+SUM([1]Financiamiento!O28:Z28)</f>
        <v>0</v>
      </c>
      <c r="G22" s="12"/>
    </row>
    <row r="23" spans="2:8" ht="15" x14ac:dyDescent="0.25">
      <c r="B23" s="167" t="s">
        <v>205</v>
      </c>
      <c r="C23" s="50">
        <f>'8.7.1'!N14</f>
        <v>54080.186200294345</v>
      </c>
      <c r="D23" s="50">
        <f t="shared" ref="D23" si="2">+D21-D22</f>
        <v>157503.07099042693</v>
      </c>
      <c r="E23" s="50">
        <f>+E21-E22</f>
        <v>311288.46273611899</v>
      </c>
    </row>
    <row r="24" spans="2:8" ht="15" x14ac:dyDescent="0.2">
      <c r="B24" s="165" t="s">
        <v>186</v>
      </c>
      <c r="C24" s="44">
        <f>C23*'8.7.1'!$B$19</f>
        <v>15953.654929086832</v>
      </c>
      <c r="D24" s="44">
        <f>D23*'8.7.1'!$B$19</f>
        <v>46463.405942175945</v>
      </c>
      <c r="E24" s="44">
        <f>E23*'8.7.1'!$B$19</f>
        <v>91830.096507155104</v>
      </c>
    </row>
    <row r="25" spans="2:8" ht="15" x14ac:dyDescent="0.25">
      <c r="B25" s="166" t="s">
        <v>206</v>
      </c>
      <c r="C25" s="50">
        <f>'8.7.1'!N16</f>
        <v>38126.53127120751</v>
      </c>
      <c r="D25" s="50">
        <f t="shared" ref="D25" si="3">+D23-D24</f>
        <v>111039.66504825099</v>
      </c>
      <c r="E25" s="50">
        <f>+E23-E24</f>
        <v>219458.36622896389</v>
      </c>
    </row>
    <row r="30" spans="2:8" ht="15" x14ac:dyDescent="0.25">
      <c r="C30" s="12" t="s">
        <v>228</v>
      </c>
      <c r="D30" s="203">
        <f>C23/$H$17</f>
        <v>1.463564888644268</v>
      </c>
    </row>
    <row r="31" spans="2:8" ht="15" x14ac:dyDescent="0.25">
      <c r="C31" s="12" t="s">
        <v>229</v>
      </c>
      <c r="D31" s="203">
        <f>D23/$H$17</f>
        <v>4.2624846686267475</v>
      </c>
    </row>
    <row r="32" spans="2:8" ht="15" x14ac:dyDescent="0.25">
      <c r="C32" s="12" t="s">
        <v>230</v>
      </c>
      <c r="D32" s="203">
        <f>E23/$H$17</f>
        <v>8.424358278155367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24"/>
  <sheetViews>
    <sheetView showGridLines="0" topLeftCell="A10" workbookViewId="0">
      <selection activeCell="U19" sqref="U19"/>
    </sheetView>
  </sheetViews>
  <sheetFormatPr baseColWidth="10" defaultRowHeight="12.75" x14ac:dyDescent="0.2"/>
  <cols>
    <col min="2" max="2" width="40.1640625" bestFit="1" customWidth="1"/>
    <col min="3" max="14" width="0" hidden="1" customWidth="1"/>
    <col min="19" max="19" width="42.6640625" bestFit="1" customWidth="1"/>
    <col min="20" max="20" width="12.6640625" bestFit="1" customWidth="1"/>
  </cols>
  <sheetData>
    <row r="3" spans="2:20" ht="37.5" x14ac:dyDescent="0.3">
      <c r="B3" s="211" t="s">
        <v>243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S3" s="37" t="s">
        <v>160</v>
      </c>
      <c r="T3" s="66"/>
    </row>
    <row r="4" spans="2:20" ht="15" x14ac:dyDescent="0.25">
      <c r="B4" s="38"/>
      <c r="C4" s="60" t="s">
        <v>76</v>
      </c>
      <c r="D4" s="60" t="s">
        <v>77</v>
      </c>
      <c r="E4" s="60" t="s">
        <v>78</v>
      </c>
      <c r="F4" s="60" t="s">
        <v>79</v>
      </c>
      <c r="G4" s="60" t="s">
        <v>80</v>
      </c>
      <c r="H4" s="60" t="s">
        <v>81</v>
      </c>
      <c r="I4" s="60" t="s">
        <v>82</v>
      </c>
      <c r="J4" s="60" t="s">
        <v>83</v>
      </c>
      <c r="K4" s="60" t="s">
        <v>84</v>
      </c>
      <c r="L4" s="60" t="s">
        <v>85</v>
      </c>
      <c r="M4" s="60" t="s">
        <v>86</v>
      </c>
      <c r="N4" s="60" t="s">
        <v>87</v>
      </c>
      <c r="O4" s="60" t="s">
        <v>88</v>
      </c>
      <c r="P4" s="60" t="s">
        <v>89</v>
      </c>
      <c r="Q4" s="60" t="s">
        <v>90</v>
      </c>
      <c r="S4" s="69"/>
      <c r="T4" s="60" t="s">
        <v>161</v>
      </c>
    </row>
    <row r="5" spans="2:20" ht="15" x14ac:dyDescent="0.2">
      <c r="B5" s="165" t="s">
        <v>129</v>
      </c>
      <c r="C5" s="44">
        <f>+[1]Ventas!C66</f>
        <v>17581.284749999999</v>
      </c>
      <c r="D5" s="44">
        <f>+[1]Ventas!D66</f>
        <v>18241.461992362496</v>
      </c>
      <c r="E5" s="44">
        <f>+[1]Ventas!E66</f>
        <v>18926.42889017571</v>
      </c>
      <c r="F5" s="44">
        <f>+[1]Ventas!F66</f>
        <v>19637.116295001804</v>
      </c>
      <c r="G5" s="44">
        <f>+[1]Ventas!G66</f>
        <v>20374.490011879127</v>
      </c>
      <c r="H5" s="44">
        <f>+[1]Ventas!H66</f>
        <v>21139.552111825185</v>
      </c>
      <c r="I5" s="44">
        <f>+[1]Ventas!I66</f>
        <v>21933.34229362422</v>
      </c>
      <c r="J5" s="44">
        <f>+[1]Ventas!J66</f>
        <v>22756.93929674981</v>
      </c>
      <c r="K5" s="44">
        <f>+[1]Ventas!K66</f>
        <v>23611.462367342763</v>
      </c>
      <c r="L5" s="44">
        <f>+[1]Ventas!L66</f>
        <v>24498.072779236481</v>
      </c>
      <c r="M5" s="44">
        <f>+[1]Ventas!M66</f>
        <v>25417.97541209681</v>
      </c>
      <c r="N5" s="44">
        <f>+[1]Ventas!N66</f>
        <v>251063.12620029435</v>
      </c>
      <c r="O5" s="44">
        <f>'8.7.2.'!N5</f>
        <v>251063.12620029435</v>
      </c>
      <c r="P5" s="44">
        <f>'8.7.2.'!O5</f>
        <v>364041.53299042693</v>
      </c>
      <c r="Q5" s="44">
        <f>'8.7.2.'!P5</f>
        <v>527860.22283611901</v>
      </c>
      <c r="S5" s="85" t="s">
        <v>162</v>
      </c>
      <c r="T5" s="86">
        <v>21030</v>
      </c>
    </row>
    <row r="6" spans="2:20" ht="15" x14ac:dyDescent="0.2">
      <c r="B6" s="165" t="s">
        <v>131</v>
      </c>
      <c r="C6" s="44">
        <f>+'[1]Planilla Personal'!C46</f>
        <v>0</v>
      </c>
      <c r="D6" s="44">
        <f>+'[1]Planilla Personal'!D46</f>
        <v>0</v>
      </c>
      <c r="E6" s="44">
        <f>+'[1]Planilla Personal'!E46</f>
        <v>0</v>
      </c>
      <c r="F6" s="44">
        <f>+'[1]Planilla Personal'!F46</f>
        <v>0</v>
      </c>
      <c r="G6" s="44">
        <f>+'[1]Planilla Personal'!G46</f>
        <v>0</v>
      </c>
      <c r="H6" s="44">
        <f>+'[1]Planilla Personal'!H46</f>
        <v>0</v>
      </c>
      <c r="I6" s="44">
        <f>+'[1]Planilla Personal'!I46</f>
        <v>0</v>
      </c>
      <c r="J6" s="44">
        <f>+'[1]Planilla Personal'!J46</f>
        <v>0</v>
      </c>
      <c r="K6" s="44">
        <f>+'[1]Planilla Personal'!K46</f>
        <v>0</v>
      </c>
      <c r="L6" s="44">
        <f>+'[1]Planilla Personal'!L46</f>
        <v>0</v>
      </c>
      <c r="M6" s="44">
        <f>+'[1]Planilla Personal'!M46</f>
        <v>0</v>
      </c>
      <c r="N6" s="44">
        <f>+'[1]Planilla Personal'!N46</f>
        <v>0</v>
      </c>
      <c r="O6" s="44">
        <f>+'[1]Planilla Personal'!O46</f>
        <v>0</v>
      </c>
      <c r="P6" s="44">
        <f>+'[1]Planilla Personal'!P46</f>
        <v>0</v>
      </c>
      <c r="Q6" s="44">
        <f>+'[1]Planilla Personal'!Q46</f>
        <v>0</v>
      </c>
      <c r="S6" s="85" t="s">
        <v>163</v>
      </c>
      <c r="T6" s="87">
        <v>5000</v>
      </c>
    </row>
    <row r="7" spans="2:20" ht="15" x14ac:dyDescent="0.2">
      <c r="B7" s="165" t="s">
        <v>199</v>
      </c>
      <c r="C7" s="44">
        <f>+'[1]Presupuesto Producción'!C64</f>
        <v>0</v>
      </c>
      <c r="D7" s="44">
        <f>+'[1]Presupuesto Producción'!D64</f>
        <v>0</v>
      </c>
      <c r="E7" s="44">
        <f>+'[1]Presupuesto Producción'!E64</f>
        <v>0</v>
      </c>
      <c r="F7" s="44">
        <f>+'[1]Presupuesto Producción'!F64</f>
        <v>0</v>
      </c>
      <c r="G7" s="44">
        <f>+'[1]Presupuesto Producción'!G64</f>
        <v>0</v>
      </c>
      <c r="H7" s="44">
        <f>+'[1]Presupuesto Producción'!H64</f>
        <v>0</v>
      </c>
      <c r="I7" s="44">
        <f>+'[1]Presupuesto Producción'!I64</f>
        <v>0</v>
      </c>
      <c r="J7" s="44">
        <f>+'[1]Presupuesto Producción'!J64</f>
        <v>0</v>
      </c>
      <c r="K7" s="44">
        <f>+'[1]Presupuesto Producción'!K64</f>
        <v>0</v>
      </c>
      <c r="L7" s="44">
        <f>+'[1]Presupuesto Producción'!L64</f>
        <v>0</v>
      </c>
      <c r="M7" s="44">
        <f>+'[1]Presupuesto Producción'!M64</f>
        <v>0</v>
      </c>
      <c r="N7" s="44">
        <f>+'[1]Presupuesto Producción'!N64</f>
        <v>0</v>
      </c>
      <c r="O7" s="44">
        <f>+'[1]Presupuesto Producción'!O64</f>
        <v>0</v>
      </c>
      <c r="P7" s="44">
        <f>+'[1]Presupuesto Producción'!P64</f>
        <v>0</v>
      </c>
      <c r="Q7" s="44">
        <f>+'[1]Presupuesto Producción'!Q64</f>
        <v>0</v>
      </c>
      <c r="S7" s="88" t="s">
        <v>164</v>
      </c>
      <c r="T7" s="87">
        <v>10921</v>
      </c>
    </row>
    <row r="8" spans="2:20" ht="15" x14ac:dyDescent="0.25">
      <c r="B8" s="166" t="s">
        <v>200</v>
      </c>
      <c r="C8" s="50">
        <f>+C5-C6-C7</f>
        <v>17581.284749999999</v>
      </c>
      <c r="D8" s="50">
        <f t="shared" ref="D8:N8" si="0">+D5-D6-D7</f>
        <v>18241.461992362496</v>
      </c>
      <c r="E8" s="50">
        <f t="shared" si="0"/>
        <v>18926.42889017571</v>
      </c>
      <c r="F8" s="50">
        <f t="shared" si="0"/>
        <v>19637.116295001804</v>
      </c>
      <c r="G8" s="50">
        <f t="shared" si="0"/>
        <v>20374.490011879127</v>
      </c>
      <c r="H8" s="50">
        <f t="shared" si="0"/>
        <v>21139.552111825185</v>
      </c>
      <c r="I8" s="50">
        <f t="shared" si="0"/>
        <v>21933.34229362422</v>
      </c>
      <c r="J8" s="50">
        <f t="shared" si="0"/>
        <v>22756.93929674981</v>
      </c>
      <c r="K8" s="50">
        <f t="shared" si="0"/>
        <v>23611.462367342763</v>
      </c>
      <c r="L8" s="50">
        <f t="shared" si="0"/>
        <v>24498.072779236481</v>
      </c>
      <c r="M8" s="50">
        <f t="shared" si="0"/>
        <v>25417.97541209681</v>
      </c>
      <c r="N8" s="50">
        <f t="shared" si="0"/>
        <v>251063.12620029435</v>
      </c>
      <c r="O8" s="50">
        <f>+O5-O6-O7</f>
        <v>251063.12620029435</v>
      </c>
      <c r="P8" s="50">
        <f>+P5-P6-P7</f>
        <v>364041.53299042693</v>
      </c>
      <c r="Q8" s="50">
        <f>+Q5-Q6-Q7</f>
        <v>527860.22283611901</v>
      </c>
      <c r="S8" s="149" t="s">
        <v>121</v>
      </c>
      <c r="T8" s="150">
        <f>SUM(T5:T7)</f>
        <v>36951</v>
      </c>
    </row>
    <row r="9" spans="2:20" ht="15" x14ac:dyDescent="0.2">
      <c r="B9" s="165" t="s">
        <v>133</v>
      </c>
      <c r="C9" s="44">
        <f>+'[1]Planilla Personal'!D79</f>
        <v>15600.08</v>
      </c>
      <c r="D9" s="44">
        <f>+'[1]Planilla Personal'!E79</f>
        <v>15600.08</v>
      </c>
      <c r="E9" s="44">
        <f>+'[1]Planilla Personal'!F79</f>
        <v>15600.08</v>
      </c>
      <c r="F9" s="44">
        <f>+'[1]Planilla Personal'!G79</f>
        <v>15600.08</v>
      </c>
      <c r="G9" s="44">
        <f>+'[1]Planilla Personal'!H79</f>
        <v>15600.08</v>
      </c>
      <c r="H9" s="44">
        <f>+'[1]Planilla Personal'!I79</f>
        <v>15600.08</v>
      </c>
      <c r="I9" s="44">
        <f>+'[1]Planilla Personal'!J79</f>
        <v>15600.08</v>
      </c>
      <c r="J9" s="44">
        <f>+'[1]Planilla Personal'!K79</f>
        <v>15600.08</v>
      </c>
      <c r="K9" s="44">
        <f>+'[1]Planilla Personal'!L79</f>
        <v>15600.08</v>
      </c>
      <c r="L9" s="44">
        <f>+'[1]Planilla Personal'!M79</f>
        <v>15600.08</v>
      </c>
      <c r="M9" s="44">
        <f>+'[1]Planilla Personal'!N79</f>
        <v>15600.08</v>
      </c>
      <c r="N9" s="44">
        <f>+'[1]Planilla Personal'!O79</f>
        <v>187200.95999999996</v>
      </c>
      <c r="O9" s="44">
        <f>'8.7.2.'!N9</f>
        <v>187200.95999999996</v>
      </c>
      <c r="P9" s="44">
        <f>'8.7.2.'!O9</f>
        <v>196561.00799999997</v>
      </c>
      <c r="Q9" s="44">
        <f>'8.7.2.'!P9</f>
        <v>206389.05839999998</v>
      </c>
    </row>
    <row r="10" spans="2:20" ht="15" x14ac:dyDescent="0.2">
      <c r="B10" s="165" t="s">
        <v>201</v>
      </c>
      <c r="C10" s="44">
        <f>+'[1]Gasto Adm y Ventas'!D52</f>
        <v>3925.8700000000003</v>
      </c>
      <c r="D10" s="44">
        <f>+'[1]Gasto Adm y Ventas'!E52</f>
        <v>3925.8700000000003</v>
      </c>
      <c r="E10" s="44">
        <f>+'[1]Gasto Adm y Ventas'!F52</f>
        <v>3925.8700000000003</v>
      </c>
      <c r="F10" s="44">
        <f>+'[1]Gasto Adm y Ventas'!G52</f>
        <v>3925.8700000000003</v>
      </c>
      <c r="G10" s="44">
        <f>+'[1]Gasto Adm y Ventas'!H52</f>
        <v>3925.8700000000003</v>
      </c>
      <c r="H10" s="44">
        <f>+'[1]Gasto Adm y Ventas'!I52</f>
        <v>3925.8700000000003</v>
      </c>
      <c r="I10" s="44">
        <f>+'[1]Gasto Adm y Ventas'!J52</f>
        <v>3925.8700000000003</v>
      </c>
      <c r="J10" s="44">
        <f>+'[1]Gasto Adm y Ventas'!K52</f>
        <v>3925.8700000000003</v>
      </c>
      <c r="K10" s="44">
        <f>+'[1]Gasto Adm y Ventas'!L52</f>
        <v>3925.8700000000003</v>
      </c>
      <c r="L10" s="44">
        <f>+'[1]Gasto Adm y Ventas'!M52</f>
        <v>3925.8700000000003</v>
      </c>
      <c r="M10" s="44">
        <f>+'[1]Gasto Adm y Ventas'!N52</f>
        <v>3925.8700000000003</v>
      </c>
      <c r="N10" s="44">
        <f>+'[1]Gasto Adm y Ventas'!O52</f>
        <v>47110.44</v>
      </c>
      <c r="O10" s="44">
        <f>'8.7.2.'!N10</f>
        <v>47110.44000000001</v>
      </c>
      <c r="P10" s="44">
        <f>O10*1.05</f>
        <v>49465.962000000014</v>
      </c>
      <c r="Q10" s="44">
        <f>P10*1.05</f>
        <v>51939.260100000014</v>
      </c>
    </row>
    <row r="11" spans="2:20" ht="15" x14ac:dyDescent="0.2">
      <c r="B11" s="165" t="s">
        <v>244</v>
      </c>
      <c r="C11" s="44">
        <v>351</v>
      </c>
      <c r="D11" s="44">
        <f>+C11</f>
        <v>351</v>
      </c>
      <c r="E11" s="44">
        <f t="shared" ref="E11:N11" si="1">+D11</f>
        <v>351</v>
      </c>
      <c r="F11" s="44">
        <f t="shared" si="1"/>
        <v>351</v>
      </c>
      <c r="G11" s="44">
        <f t="shared" si="1"/>
        <v>351</v>
      </c>
      <c r="H11" s="44">
        <f t="shared" si="1"/>
        <v>351</v>
      </c>
      <c r="I11" s="44">
        <f t="shared" si="1"/>
        <v>351</v>
      </c>
      <c r="J11" s="44">
        <f t="shared" si="1"/>
        <v>351</v>
      </c>
      <c r="K11" s="44">
        <f t="shared" si="1"/>
        <v>351</v>
      </c>
      <c r="L11" s="44">
        <f t="shared" si="1"/>
        <v>351</v>
      </c>
      <c r="M11" s="44">
        <f t="shared" si="1"/>
        <v>351</v>
      </c>
      <c r="N11" s="44">
        <f t="shared" si="1"/>
        <v>351</v>
      </c>
      <c r="O11" s="44">
        <f>'8.7.2.'!N11</f>
        <v>4212</v>
      </c>
      <c r="P11" s="44">
        <f>O11</f>
        <v>4212</v>
      </c>
      <c r="Q11" s="44">
        <f>P11</f>
        <v>4212</v>
      </c>
    </row>
    <row r="12" spans="2:20" ht="15" x14ac:dyDescent="0.2">
      <c r="B12" s="165" t="s">
        <v>245</v>
      </c>
      <c r="C12" s="44">
        <v>138.88890000000001</v>
      </c>
      <c r="D12" s="44">
        <v>138.88890000000001</v>
      </c>
      <c r="E12" s="44">
        <v>138.88890000000001</v>
      </c>
      <c r="F12" s="44">
        <v>138.88890000000001</v>
      </c>
      <c r="G12" s="44">
        <v>138.88890000000001</v>
      </c>
      <c r="H12" s="44">
        <v>138.88890000000001</v>
      </c>
      <c r="I12" s="44">
        <v>138.88890000000001</v>
      </c>
      <c r="J12" s="44">
        <v>138.88890000000001</v>
      </c>
      <c r="K12" s="44">
        <v>138.88890000000001</v>
      </c>
      <c r="L12" s="44">
        <v>138.88890000000001</v>
      </c>
      <c r="M12" s="44">
        <v>138.88890000000001</v>
      </c>
      <c r="N12" s="44">
        <v>138.88890000000001</v>
      </c>
      <c r="O12" s="44">
        <f>'8.7.2.'!N12</f>
        <v>1666.6667999999997</v>
      </c>
      <c r="P12" s="44">
        <f>O12</f>
        <v>1666.6667999999997</v>
      </c>
      <c r="Q12" s="44">
        <f>O12</f>
        <v>1666.6667999999997</v>
      </c>
    </row>
    <row r="13" spans="2:20" ht="15" x14ac:dyDescent="0.25">
      <c r="B13" s="166" t="s">
        <v>203</v>
      </c>
      <c r="C13" s="50">
        <f>+C8-C9-C10-C11-C12</f>
        <v>-2434.5541500000013</v>
      </c>
      <c r="D13" s="50">
        <f t="shared" ref="D13:F13" si="2">+D8-D9-D10-D11-D12</f>
        <v>-1774.3769076375042</v>
      </c>
      <c r="E13" s="50">
        <f t="shared" si="2"/>
        <v>-1089.4100098242902</v>
      </c>
      <c r="F13" s="50">
        <f t="shared" si="2"/>
        <v>-378.72260499819606</v>
      </c>
      <c r="G13" s="50">
        <f t="shared" ref="G13:Q13" si="3">+G8-G9-G10-G11-G12</f>
        <v>358.65111187912623</v>
      </c>
      <c r="H13" s="50">
        <f t="shared" si="3"/>
        <v>1123.7132118251852</v>
      </c>
      <c r="I13" s="50">
        <f t="shared" si="3"/>
        <v>1917.5033936242203</v>
      </c>
      <c r="J13" s="50">
        <f t="shared" si="3"/>
        <v>2741.1003967498095</v>
      </c>
      <c r="K13" s="50">
        <f t="shared" si="3"/>
        <v>3595.623467342763</v>
      </c>
      <c r="L13" s="50">
        <f t="shared" si="3"/>
        <v>4482.2338792364808</v>
      </c>
      <c r="M13" s="50">
        <f t="shared" si="3"/>
        <v>5402.1365120968094</v>
      </c>
      <c r="N13" s="50">
        <f t="shared" si="3"/>
        <v>16261.83730029439</v>
      </c>
      <c r="O13" s="50">
        <f t="shared" si="3"/>
        <v>10873.059400294384</v>
      </c>
      <c r="P13" s="50">
        <f t="shared" si="3"/>
        <v>112135.89619042694</v>
      </c>
      <c r="Q13" s="50">
        <f t="shared" si="3"/>
        <v>263653.23753611901</v>
      </c>
    </row>
    <row r="14" spans="2:20" ht="15" x14ac:dyDescent="0.2">
      <c r="B14" s="165" t="s">
        <v>204</v>
      </c>
      <c r="C14" s="44">
        <f>+[1]Financiamiento!C19</f>
        <v>0</v>
      </c>
      <c r="D14" s="44">
        <f>+[1]Financiamiento!D19</f>
        <v>0</v>
      </c>
      <c r="E14" s="44">
        <f>+[1]Financiamiento!E19</f>
        <v>0</v>
      </c>
      <c r="F14" s="44">
        <f>+[1]Financiamiento!F19</f>
        <v>0</v>
      </c>
      <c r="G14" s="44">
        <f>+[1]Financiamiento!G19</f>
        <v>0</v>
      </c>
      <c r="H14" s="44">
        <f>+[1]Financiamiento!H19</f>
        <v>0</v>
      </c>
      <c r="I14" s="44">
        <f>+[1]Financiamiento!I19</f>
        <v>0</v>
      </c>
      <c r="J14" s="44">
        <f>+[1]Financiamiento!J19</f>
        <v>0</v>
      </c>
      <c r="K14" s="44">
        <f>+[1]Financiamiento!K19</f>
        <v>0</v>
      </c>
      <c r="L14" s="44">
        <f>+[1]Financiamiento!L19</f>
        <v>0</v>
      </c>
      <c r="M14" s="44">
        <f>+[1]Financiamiento!M19</f>
        <v>0</v>
      </c>
      <c r="N14" s="44">
        <f>+[1]Financiamiento!N19</f>
        <v>0</v>
      </c>
      <c r="O14" s="44">
        <f>SUM(C14:N14)</f>
        <v>0</v>
      </c>
      <c r="P14" s="44">
        <f>+SUM([1]Financiamiento!O19:Z19)</f>
        <v>0</v>
      </c>
      <c r="Q14" s="44">
        <f>+SUM([1]Financiamiento!AA19:AL19)</f>
        <v>0</v>
      </c>
    </row>
    <row r="15" spans="2:20" ht="15" x14ac:dyDescent="0.25">
      <c r="B15" s="167" t="s">
        <v>205</v>
      </c>
      <c r="C15" s="50">
        <f>+C13-C14</f>
        <v>-2434.5541500000013</v>
      </c>
      <c r="D15" s="50">
        <f>+D13-D14</f>
        <v>-1774.3769076375042</v>
      </c>
      <c r="E15" s="50">
        <f>+E13-E14</f>
        <v>-1089.4100098242902</v>
      </c>
      <c r="F15" s="50">
        <f t="shared" ref="F15:K15" si="4">+F13-F14</f>
        <v>-378.72260499819606</v>
      </c>
      <c r="G15" s="50">
        <f t="shared" si="4"/>
        <v>358.65111187912623</v>
      </c>
      <c r="H15" s="50">
        <f t="shared" si="4"/>
        <v>1123.7132118251852</v>
      </c>
      <c r="I15" s="50">
        <f t="shared" si="4"/>
        <v>1917.5033936242203</v>
      </c>
      <c r="J15" s="50">
        <f t="shared" si="4"/>
        <v>2741.1003967498095</v>
      </c>
      <c r="K15" s="50">
        <f t="shared" si="4"/>
        <v>3595.623467342763</v>
      </c>
      <c r="L15" s="50">
        <f t="shared" ref="L15:Q15" si="5">+L13-L14</f>
        <v>4482.2338792364808</v>
      </c>
      <c r="M15" s="50">
        <f t="shared" si="5"/>
        <v>5402.1365120968094</v>
      </c>
      <c r="N15" s="50">
        <f t="shared" si="5"/>
        <v>16261.83730029439</v>
      </c>
      <c r="O15" s="50">
        <f t="shared" si="5"/>
        <v>10873.059400294384</v>
      </c>
      <c r="P15" s="50">
        <f t="shared" si="5"/>
        <v>112135.89619042694</v>
      </c>
      <c r="Q15" s="50">
        <f t="shared" si="5"/>
        <v>263653.23753611901</v>
      </c>
    </row>
    <row r="16" spans="2:20" ht="15" x14ac:dyDescent="0.2">
      <c r="B16" s="165" t="s">
        <v>186</v>
      </c>
      <c r="C16" s="47">
        <f t="shared" ref="C16:N16" si="6">C15*$B$20</f>
        <v>0</v>
      </c>
      <c r="D16" s="47">
        <f t="shared" si="6"/>
        <v>0</v>
      </c>
      <c r="E16" s="47">
        <f t="shared" si="6"/>
        <v>0</v>
      </c>
      <c r="F16" s="47">
        <f t="shared" si="6"/>
        <v>0</v>
      </c>
      <c r="G16" s="47">
        <f t="shared" si="6"/>
        <v>0</v>
      </c>
      <c r="H16" s="47">
        <f t="shared" si="6"/>
        <v>0</v>
      </c>
      <c r="I16" s="47">
        <f t="shared" si="6"/>
        <v>0</v>
      </c>
      <c r="J16" s="47">
        <f t="shared" si="6"/>
        <v>0</v>
      </c>
      <c r="K16" s="47">
        <f t="shared" si="6"/>
        <v>0</v>
      </c>
      <c r="L16" s="47">
        <f t="shared" si="6"/>
        <v>0</v>
      </c>
      <c r="M16" s="47">
        <f t="shared" si="6"/>
        <v>0</v>
      </c>
      <c r="N16" s="47">
        <f t="shared" si="6"/>
        <v>0</v>
      </c>
      <c r="O16" s="44">
        <f>'8.7.2.'!N16</f>
        <v>3207.5525230868429</v>
      </c>
      <c r="P16" s="44">
        <f>'8.7.2.'!O16</f>
        <v>33080.089376175943</v>
      </c>
      <c r="Q16" s="44">
        <f>'8.7.2.'!P16</f>
        <v>77777.705073155099</v>
      </c>
    </row>
    <row r="17" spans="2:17" ht="15" x14ac:dyDescent="0.25">
      <c r="B17" s="166" t="s">
        <v>206</v>
      </c>
      <c r="C17" s="50">
        <f t="shared" ref="C17:Q17" si="7">+C15-C16</f>
        <v>-2434.5541500000013</v>
      </c>
      <c r="D17" s="50">
        <f t="shared" si="7"/>
        <v>-1774.3769076375042</v>
      </c>
      <c r="E17" s="50">
        <f t="shared" si="7"/>
        <v>-1089.4100098242902</v>
      </c>
      <c r="F17" s="50">
        <f t="shared" si="7"/>
        <v>-378.72260499819606</v>
      </c>
      <c r="G17" s="50">
        <f t="shared" si="7"/>
        <v>358.65111187912623</v>
      </c>
      <c r="H17" s="50">
        <f t="shared" si="7"/>
        <v>1123.7132118251852</v>
      </c>
      <c r="I17" s="50">
        <f t="shared" si="7"/>
        <v>1917.5033936242203</v>
      </c>
      <c r="J17" s="50">
        <f t="shared" si="7"/>
        <v>2741.1003967498095</v>
      </c>
      <c r="K17" s="50">
        <f t="shared" si="7"/>
        <v>3595.623467342763</v>
      </c>
      <c r="L17" s="50">
        <f t="shared" si="7"/>
        <v>4482.2338792364808</v>
      </c>
      <c r="M17" s="50">
        <f t="shared" si="7"/>
        <v>5402.1365120968094</v>
      </c>
      <c r="N17" s="50">
        <f t="shared" si="7"/>
        <v>16261.83730029439</v>
      </c>
      <c r="O17" s="50">
        <f t="shared" si="7"/>
        <v>7665.506877207541</v>
      </c>
      <c r="P17" s="50">
        <f t="shared" si="7"/>
        <v>79055.806814251002</v>
      </c>
      <c r="Q17" s="50">
        <f t="shared" si="7"/>
        <v>185875.53246296389</v>
      </c>
    </row>
    <row r="21" spans="2:17" ht="15" x14ac:dyDescent="0.25">
      <c r="C21" s="12" t="s">
        <v>228</v>
      </c>
      <c r="D21" s="203">
        <f>C14/$H$17</f>
        <v>0</v>
      </c>
    </row>
    <row r="22" spans="2:17" ht="15" x14ac:dyDescent="0.25">
      <c r="C22" s="12" t="s">
        <v>229</v>
      </c>
      <c r="D22" s="203">
        <f>D14/$H$17</f>
        <v>0</v>
      </c>
      <c r="O22" s="12" t="s">
        <v>228</v>
      </c>
      <c r="P22" s="215">
        <f>O15/$T$8</f>
        <v>0.29425616086964856</v>
      </c>
    </row>
    <row r="23" spans="2:17" ht="15" x14ac:dyDescent="0.25">
      <c r="C23" s="12" t="s">
        <v>230</v>
      </c>
      <c r="D23" s="203">
        <f>E14/$H$17</f>
        <v>0</v>
      </c>
      <c r="O23" s="12" t="s">
        <v>229</v>
      </c>
      <c r="P23" s="215">
        <f>P15/$T$8</f>
        <v>3.034718849027819</v>
      </c>
    </row>
    <row r="24" spans="2:17" ht="15" x14ac:dyDescent="0.25">
      <c r="O24" s="12" t="s">
        <v>230</v>
      </c>
      <c r="P24" s="215">
        <f>Q15/$T$8</f>
        <v>7.1352125121409165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showGridLines="0" workbookViewId="0">
      <selection activeCell="E16" sqref="E16"/>
    </sheetView>
  </sheetViews>
  <sheetFormatPr baseColWidth="10" defaultRowHeight="12.75" x14ac:dyDescent="0.2"/>
  <cols>
    <col min="1" max="1" width="53.33203125" customWidth="1"/>
    <col min="2" max="2" width="25.33203125" customWidth="1"/>
    <col min="3" max="3" width="23.1640625" style="153" bestFit="1" customWidth="1"/>
  </cols>
  <sheetData>
    <row r="3" spans="1:3" ht="18.75" x14ac:dyDescent="0.3">
      <c r="A3" s="37" t="s">
        <v>240</v>
      </c>
      <c r="B3" s="66"/>
    </row>
    <row r="4" spans="1:3" ht="15" x14ac:dyDescent="0.25">
      <c r="A4" s="69"/>
      <c r="B4" s="60" t="s">
        <v>161</v>
      </c>
    </row>
    <row r="5" spans="1:3" x14ac:dyDescent="0.2">
      <c r="A5" s="85" t="s">
        <v>162</v>
      </c>
      <c r="B5" s="86">
        <v>21030</v>
      </c>
    </row>
    <row r="6" spans="1:3" x14ac:dyDescent="0.2">
      <c r="A6" s="85" t="s">
        <v>163</v>
      </c>
      <c r="B6" s="87">
        <v>5000</v>
      </c>
    </row>
    <row r="7" spans="1:3" x14ac:dyDescent="0.2">
      <c r="A7" s="88" t="s">
        <v>164</v>
      </c>
      <c r="B7" s="87">
        <v>10921</v>
      </c>
    </row>
    <row r="8" spans="1:3" x14ac:dyDescent="0.2">
      <c r="A8" s="149" t="s">
        <v>121</v>
      </c>
      <c r="B8" s="150">
        <f>SUM(B5:B7)</f>
        <v>36951</v>
      </c>
    </row>
    <row r="10" spans="1:3" ht="18.75" x14ac:dyDescent="0.3">
      <c r="A10" s="37" t="s">
        <v>165</v>
      </c>
      <c r="B10" s="66"/>
      <c r="C10" s="154"/>
    </row>
    <row r="11" spans="1:3" ht="15" x14ac:dyDescent="0.25">
      <c r="A11" s="69"/>
      <c r="B11" s="60" t="s">
        <v>161</v>
      </c>
      <c r="C11" s="155" t="s">
        <v>171</v>
      </c>
    </row>
    <row r="12" spans="1:3" x14ac:dyDescent="0.2">
      <c r="A12" s="151" t="s">
        <v>166</v>
      </c>
      <c r="B12" s="152">
        <f>$B$8/5</f>
        <v>7390.2</v>
      </c>
      <c r="C12" s="156">
        <f>(B12/$B$17)</f>
        <v>0.19999999999999998</v>
      </c>
    </row>
    <row r="13" spans="1:3" x14ac:dyDescent="0.2">
      <c r="A13" s="151" t="s">
        <v>167</v>
      </c>
      <c r="B13" s="152">
        <f>$B$8/5</f>
        <v>7390.2</v>
      </c>
      <c r="C13" s="156">
        <f>(B13/$B$17)</f>
        <v>0.19999999999999998</v>
      </c>
    </row>
    <row r="14" spans="1:3" x14ac:dyDescent="0.2">
      <c r="A14" s="151" t="s">
        <v>168</v>
      </c>
      <c r="B14" s="152">
        <f>$B$8/5</f>
        <v>7390.2</v>
      </c>
      <c r="C14" s="156">
        <f>(B14/$B$17)</f>
        <v>0.19999999999999998</v>
      </c>
    </row>
    <row r="15" spans="1:3" x14ac:dyDescent="0.2">
      <c r="A15" s="151" t="s">
        <v>169</v>
      </c>
      <c r="B15" s="152">
        <f>$B$8/5</f>
        <v>7390.2</v>
      </c>
      <c r="C15" s="156">
        <f>(B15/$B$17)</f>
        <v>0.19999999999999998</v>
      </c>
    </row>
    <row r="16" spans="1:3" x14ac:dyDescent="0.2">
      <c r="A16" s="151" t="s">
        <v>170</v>
      </c>
      <c r="B16" s="152">
        <f>$B$8/5</f>
        <v>7390.2</v>
      </c>
      <c r="C16" s="156">
        <f>(B16/$B$17)</f>
        <v>0.19999999999999998</v>
      </c>
    </row>
    <row r="17" spans="1:3" x14ac:dyDescent="0.2">
      <c r="A17" s="149" t="s">
        <v>121</v>
      </c>
      <c r="B17" s="150">
        <f>SUM(B12:B16)</f>
        <v>36951</v>
      </c>
      <c r="C17" s="159">
        <f>SUM(C12:C16)</f>
        <v>0.99999999999999989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8"/>
  <sheetViews>
    <sheetView showGridLines="0" workbookViewId="0">
      <selection activeCell="H24" sqref="H24"/>
    </sheetView>
  </sheetViews>
  <sheetFormatPr baseColWidth="10" defaultRowHeight="12.75" x14ac:dyDescent="0.2"/>
  <cols>
    <col min="2" max="2" width="32.6640625" style="153" bestFit="1" customWidth="1"/>
    <col min="3" max="4" width="7.5" style="153" bestFit="1" customWidth="1"/>
    <col min="5" max="6" width="8.6640625" style="153" bestFit="1" customWidth="1"/>
  </cols>
  <sheetData>
    <row r="2" spans="2:6" ht="41.25" customHeight="1" x14ac:dyDescent="0.2">
      <c r="B2" s="270" t="s">
        <v>242</v>
      </c>
      <c r="C2" s="270"/>
      <c r="D2" s="270"/>
      <c r="E2" s="270"/>
      <c r="F2" s="270"/>
    </row>
    <row r="3" spans="2:6" x14ac:dyDescent="0.2">
      <c r="B3" s="160" t="s">
        <v>172</v>
      </c>
      <c r="C3" s="160" t="s">
        <v>173</v>
      </c>
      <c r="D3" s="160" t="s">
        <v>110</v>
      </c>
      <c r="E3" s="160" t="s">
        <v>111</v>
      </c>
      <c r="F3" s="160" t="s">
        <v>112</v>
      </c>
    </row>
    <row r="4" spans="2:6" x14ac:dyDescent="0.2">
      <c r="B4" s="163" t="s">
        <v>174</v>
      </c>
      <c r="C4" s="160"/>
      <c r="D4" s="160"/>
      <c r="E4" s="160"/>
      <c r="F4" s="160"/>
    </row>
    <row r="5" spans="2:6" x14ac:dyDescent="0.2">
      <c r="B5" s="163" t="s">
        <v>175</v>
      </c>
      <c r="C5" s="160"/>
      <c r="D5" s="160"/>
      <c r="E5" s="160"/>
      <c r="F5" s="160"/>
    </row>
    <row r="6" spans="2:6" x14ac:dyDescent="0.2">
      <c r="B6" s="160" t="s">
        <v>176</v>
      </c>
      <c r="C6" s="162">
        <v>10921</v>
      </c>
      <c r="D6" s="164">
        <v>17994</v>
      </c>
      <c r="E6" s="164">
        <v>98776</v>
      </c>
      <c r="F6" s="164">
        <v>210141</v>
      </c>
    </row>
    <row r="7" spans="2:6" x14ac:dyDescent="0.2">
      <c r="B7" s="160" t="s">
        <v>177</v>
      </c>
      <c r="C7" s="157">
        <f>C6</f>
        <v>10921</v>
      </c>
      <c r="D7" s="157">
        <f>D6</f>
        <v>17994</v>
      </c>
      <c r="E7" s="157">
        <f>E6</f>
        <v>98776</v>
      </c>
      <c r="F7" s="157">
        <f>F6</f>
        <v>210141</v>
      </c>
    </row>
    <row r="8" spans="2:6" x14ac:dyDescent="0.2">
      <c r="B8" s="163" t="s">
        <v>178</v>
      </c>
      <c r="C8" s="160"/>
      <c r="D8" s="160"/>
      <c r="E8" s="160"/>
      <c r="F8" s="160"/>
    </row>
    <row r="9" spans="2:6" x14ac:dyDescent="0.2">
      <c r="B9" s="160" t="s">
        <v>179</v>
      </c>
      <c r="C9" s="164">
        <f>'8.6.'!$B$5</f>
        <v>21030</v>
      </c>
      <c r="D9" s="164">
        <f>'8.6.'!$B$5</f>
        <v>21030</v>
      </c>
      <c r="E9" s="164">
        <f>'8.6.'!$B$5</f>
        <v>21030</v>
      </c>
      <c r="F9" s="164">
        <f>'8.6.'!$B$5</f>
        <v>21030</v>
      </c>
    </row>
    <row r="10" spans="2:6" x14ac:dyDescent="0.2">
      <c r="B10" s="160" t="s">
        <v>180</v>
      </c>
      <c r="C10" s="164">
        <v>0</v>
      </c>
      <c r="D10" s="164">
        <v>-4212</v>
      </c>
      <c r="E10" s="164">
        <f>D10*2</f>
        <v>-8424</v>
      </c>
      <c r="F10" s="164">
        <f>D10*3</f>
        <v>-12636</v>
      </c>
    </row>
    <row r="11" spans="2:6" x14ac:dyDescent="0.2">
      <c r="B11" s="160" t="s">
        <v>241</v>
      </c>
      <c r="C11" s="164">
        <v>0</v>
      </c>
      <c r="D11" s="164">
        <v>-1666.666667</v>
      </c>
      <c r="E11" s="164">
        <f>$D$11*2</f>
        <v>-3333.3333339999999</v>
      </c>
      <c r="F11" s="164">
        <f>$D$11*3</f>
        <v>-5000.0000010000003</v>
      </c>
    </row>
    <row r="12" spans="2:6" x14ac:dyDescent="0.2">
      <c r="B12" s="160" t="s">
        <v>181</v>
      </c>
      <c r="C12" s="164">
        <f>'8.6.'!$B$6</f>
        <v>5000</v>
      </c>
      <c r="D12" s="164">
        <f>'8.6.'!$B$6</f>
        <v>5000</v>
      </c>
      <c r="E12" s="164">
        <f>'8.6.'!$B$6</f>
        <v>5000</v>
      </c>
      <c r="F12" s="164">
        <f>'8.6.'!$B$6</f>
        <v>5000</v>
      </c>
    </row>
    <row r="13" spans="2:6" x14ac:dyDescent="0.2">
      <c r="B13" s="160" t="s">
        <v>182</v>
      </c>
      <c r="C13" s="157">
        <f>SUM(C9:C12)</f>
        <v>26030</v>
      </c>
      <c r="D13" s="157">
        <f>SUM(D9:D12)</f>
        <v>20151.333333000002</v>
      </c>
      <c r="E13" s="157">
        <f>SUM(E9:E12)</f>
        <v>14272.666666000001</v>
      </c>
      <c r="F13" s="157">
        <f>SUM(F9:F12)</f>
        <v>8393.9999989999997</v>
      </c>
    </row>
    <row r="14" spans="2:6" x14ac:dyDescent="0.2">
      <c r="B14" s="158" t="s">
        <v>183</v>
      </c>
      <c r="C14" s="158">
        <f>C13+C7</f>
        <v>36951</v>
      </c>
      <c r="D14" s="158">
        <f>D13+D7</f>
        <v>38145.333333000002</v>
      </c>
      <c r="E14" s="158">
        <f>E13+E7</f>
        <v>113048.666666</v>
      </c>
      <c r="F14" s="158">
        <f>F13+F7</f>
        <v>218534.99999899999</v>
      </c>
    </row>
    <row r="15" spans="2:6" x14ac:dyDescent="0.2">
      <c r="B15" s="163" t="s">
        <v>184</v>
      </c>
      <c r="C15" s="160"/>
      <c r="D15" s="160"/>
      <c r="E15" s="160"/>
      <c r="F15" s="160"/>
    </row>
    <row r="16" spans="2:6" x14ac:dyDescent="0.2">
      <c r="B16" s="163" t="s">
        <v>185</v>
      </c>
      <c r="C16" s="160"/>
      <c r="D16" s="160"/>
      <c r="E16" s="160"/>
      <c r="F16" s="160"/>
    </row>
    <row r="17" spans="2:7" x14ac:dyDescent="0.2">
      <c r="B17" s="160" t="s">
        <v>186</v>
      </c>
      <c r="C17" s="160">
        <v>0</v>
      </c>
      <c r="D17" s="164">
        <v>352</v>
      </c>
      <c r="E17" s="164">
        <v>22449</v>
      </c>
      <c r="F17" s="164">
        <v>53567</v>
      </c>
    </row>
    <row r="18" spans="2:7" x14ac:dyDescent="0.2">
      <c r="B18" s="160" t="s">
        <v>187</v>
      </c>
      <c r="C18" s="157">
        <f>C17</f>
        <v>0</v>
      </c>
      <c r="D18" s="157">
        <f t="shared" ref="D18:F18" si="0">D17</f>
        <v>352</v>
      </c>
      <c r="E18" s="157">
        <f t="shared" si="0"/>
        <v>22449</v>
      </c>
      <c r="F18" s="157">
        <f t="shared" si="0"/>
        <v>53567</v>
      </c>
    </row>
    <row r="19" spans="2:7" x14ac:dyDescent="0.2">
      <c r="B19" s="163" t="s">
        <v>188</v>
      </c>
      <c r="C19" s="160"/>
      <c r="D19" s="160"/>
      <c r="E19" s="160"/>
      <c r="F19" s="160"/>
    </row>
    <row r="20" spans="2:7" x14ac:dyDescent="0.2">
      <c r="B20" s="160" t="s">
        <v>189</v>
      </c>
      <c r="C20" s="160">
        <v>0</v>
      </c>
      <c r="D20" s="160">
        <v>0</v>
      </c>
      <c r="E20" s="160">
        <v>0</v>
      </c>
      <c r="F20" s="160">
        <v>0</v>
      </c>
    </row>
    <row r="21" spans="2:7" x14ac:dyDescent="0.2">
      <c r="B21" s="160" t="s">
        <v>190</v>
      </c>
      <c r="C21" s="157">
        <f>C20</f>
        <v>0</v>
      </c>
      <c r="D21" s="157">
        <f t="shared" ref="D21:F21" si="1">D20</f>
        <v>0</v>
      </c>
      <c r="E21" s="157">
        <f t="shared" si="1"/>
        <v>0</v>
      </c>
      <c r="F21" s="157">
        <f t="shared" si="1"/>
        <v>0</v>
      </c>
    </row>
    <row r="22" spans="2:7" x14ac:dyDescent="0.2">
      <c r="B22" s="158" t="s">
        <v>191</v>
      </c>
      <c r="C22" s="158">
        <f>C21+C18</f>
        <v>0</v>
      </c>
      <c r="D22" s="158">
        <f t="shared" ref="D22:F22" si="2">D21+D18</f>
        <v>352</v>
      </c>
      <c r="E22" s="158">
        <f t="shared" si="2"/>
        <v>22449</v>
      </c>
      <c r="F22" s="158">
        <f t="shared" si="2"/>
        <v>53567</v>
      </c>
    </row>
    <row r="23" spans="2:7" x14ac:dyDescent="0.2">
      <c r="B23" s="163" t="s">
        <v>192</v>
      </c>
      <c r="C23" s="160"/>
      <c r="D23" s="160"/>
      <c r="E23" s="160"/>
      <c r="F23" s="160"/>
    </row>
    <row r="24" spans="2:7" x14ac:dyDescent="0.2">
      <c r="B24" s="160" t="s">
        <v>193</v>
      </c>
      <c r="C24" s="164">
        <f>'8.6.'!$B$17</f>
        <v>36951</v>
      </c>
      <c r="D24" s="164">
        <f>'8.6.'!$B$17</f>
        <v>36951</v>
      </c>
      <c r="E24" s="164">
        <f>'8.6.'!$B$17</f>
        <v>36951</v>
      </c>
      <c r="F24" s="164">
        <f>'8.6.'!$B$17</f>
        <v>36951</v>
      </c>
    </row>
    <row r="25" spans="2:7" x14ac:dyDescent="0.2">
      <c r="B25" s="160" t="s">
        <v>194</v>
      </c>
      <c r="C25" s="160">
        <v>0</v>
      </c>
      <c r="D25" s="164">
        <v>842</v>
      </c>
      <c r="E25" s="164">
        <v>53649</v>
      </c>
      <c r="F25" s="164">
        <v>128017</v>
      </c>
    </row>
    <row r="26" spans="2:7" x14ac:dyDescent="0.2">
      <c r="B26" s="158" t="s">
        <v>195</v>
      </c>
      <c r="C26" s="158">
        <f>SUM(C24:C25)</f>
        <v>36951</v>
      </c>
      <c r="D26" s="158">
        <f>SUM(D24:D25)</f>
        <v>37793</v>
      </c>
      <c r="E26" s="158">
        <f>SUM(E24:E25)</f>
        <v>90600</v>
      </c>
      <c r="F26" s="158">
        <f>SUM(F24:F25)</f>
        <v>164968</v>
      </c>
    </row>
    <row r="27" spans="2:7" x14ac:dyDescent="0.2">
      <c r="B27" s="158" t="s">
        <v>196</v>
      </c>
      <c r="C27" s="158">
        <f>C26+C22</f>
        <v>36951</v>
      </c>
      <c r="D27" s="158">
        <f>D26+D22</f>
        <v>38145</v>
      </c>
      <c r="E27" s="158">
        <f>E26+E22</f>
        <v>113049</v>
      </c>
      <c r="F27" s="158">
        <f>F26+F22</f>
        <v>218535</v>
      </c>
      <c r="G27" s="205"/>
    </row>
    <row r="28" spans="2:7" x14ac:dyDescent="0.2">
      <c r="B28"/>
      <c r="C28"/>
      <c r="D28"/>
      <c r="E28"/>
      <c r="F28"/>
    </row>
    <row r="29" spans="2:7" x14ac:dyDescent="0.2">
      <c r="B29"/>
      <c r="C29"/>
      <c r="D29"/>
      <c r="E29"/>
      <c r="F29"/>
    </row>
    <row r="30" spans="2:7" x14ac:dyDescent="0.2">
      <c r="B30"/>
      <c r="C30"/>
      <c r="D30"/>
      <c r="E30"/>
      <c r="F30"/>
    </row>
    <row r="31" spans="2:7" x14ac:dyDescent="0.2">
      <c r="B31"/>
      <c r="C31"/>
      <c r="D31"/>
      <c r="E31"/>
      <c r="F31"/>
    </row>
    <row r="32" spans="2:7" x14ac:dyDescent="0.2">
      <c r="B32"/>
      <c r="C32"/>
      <c r="D32"/>
      <c r="E32"/>
      <c r="F32"/>
    </row>
    <row r="33" spans="2:6" x14ac:dyDescent="0.2">
      <c r="B33"/>
      <c r="C33"/>
      <c r="D33"/>
      <c r="E33"/>
      <c r="F33"/>
    </row>
    <row r="34" spans="2:6" x14ac:dyDescent="0.2">
      <c r="B34"/>
      <c r="C34"/>
      <c r="D34"/>
      <c r="E34"/>
      <c r="F34"/>
    </row>
    <row r="35" spans="2:6" x14ac:dyDescent="0.2">
      <c r="B35" s="161"/>
      <c r="C35" s="161"/>
      <c r="D35" s="161"/>
      <c r="E35" s="161"/>
      <c r="F35" s="161"/>
    </row>
    <row r="36" spans="2:6" x14ac:dyDescent="0.2">
      <c r="B36" s="161"/>
      <c r="C36" s="161"/>
      <c r="D36" s="161"/>
      <c r="E36" s="161"/>
      <c r="F36" s="161"/>
    </row>
    <row r="37" spans="2:6" x14ac:dyDescent="0.2">
      <c r="B37" s="161"/>
      <c r="C37" s="161"/>
      <c r="D37" s="161"/>
      <c r="E37" s="161"/>
      <c r="F37" s="161"/>
    </row>
    <row r="38" spans="2:6" x14ac:dyDescent="0.2">
      <c r="B38" s="161"/>
      <c r="C38" s="161"/>
      <c r="D38" s="161"/>
      <c r="E38" s="161"/>
      <c r="F38" s="161"/>
    </row>
    <row r="39" spans="2:6" x14ac:dyDescent="0.2">
      <c r="B39" s="161"/>
      <c r="C39" s="161"/>
      <c r="D39" s="161"/>
      <c r="E39" s="161"/>
      <c r="F39" s="161"/>
    </row>
    <row r="40" spans="2:6" x14ac:dyDescent="0.2">
      <c r="B40" s="161"/>
      <c r="C40" s="161"/>
      <c r="D40" s="161"/>
      <c r="E40" s="161"/>
      <c r="F40" s="161"/>
    </row>
    <row r="41" spans="2:6" x14ac:dyDescent="0.2">
      <c r="B41" s="161"/>
      <c r="C41" s="161"/>
      <c r="D41" s="161"/>
      <c r="E41" s="161"/>
      <c r="F41" s="161"/>
    </row>
    <row r="42" spans="2:6" x14ac:dyDescent="0.2">
      <c r="B42" s="161"/>
      <c r="C42" s="161"/>
      <c r="D42" s="161"/>
      <c r="E42" s="161"/>
      <c r="F42" s="161"/>
    </row>
    <row r="43" spans="2:6" x14ac:dyDescent="0.2">
      <c r="B43" s="161"/>
      <c r="C43" s="161"/>
      <c r="D43" s="161"/>
      <c r="E43" s="161"/>
      <c r="F43" s="161"/>
    </row>
    <row r="44" spans="2:6" x14ac:dyDescent="0.2">
      <c r="B44" s="161"/>
      <c r="C44" s="161"/>
      <c r="D44" s="161"/>
      <c r="E44" s="161"/>
      <c r="F44" s="161"/>
    </row>
    <row r="45" spans="2:6" x14ac:dyDescent="0.2">
      <c r="B45" s="161"/>
      <c r="C45" s="161"/>
      <c r="D45" s="161"/>
      <c r="E45" s="161"/>
      <c r="F45" s="161"/>
    </row>
    <row r="46" spans="2:6" x14ac:dyDescent="0.2">
      <c r="B46" s="161"/>
      <c r="C46" s="161"/>
      <c r="D46" s="161"/>
      <c r="E46" s="161"/>
      <c r="F46" s="161"/>
    </row>
    <row r="47" spans="2:6" x14ac:dyDescent="0.2">
      <c r="B47" s="161"/>
      <c r="C47" s="161"/>
      <c r="D47" s="161"/>
      <c r="E47" s="161"/>
      <c r="F47" s="161"/>
    </row>
    <row r="48" spans="2:6" x14ac:dyDescent="0.2">
      <c r="B48" s="161"/>
      <c r="C48" s="161"/>
      <c r="D48" s="161"/>
      <c r="E48" s="161"/>
      <c r="F48" s="161"/>
    </row>
  </sheetData>
  <mergeCells count="1">
    <mergeCell ref="B2:F2"/>
  </mergeCells>
  <phoneticPr fontId="3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2"/>
  <sheetViews>
    <sheetView workbookViewId="0">
      <selection activeCell="B15" sqref="B15"/>
    </sheetView>
  </sheetViews>
  <sheetFormatPr baseColWidth="10" defaultColWidth="13.33203125" defaultRowHeight="12.75" x14ac:dyDescent="0.2"/>
  <cols>
    <col min="1" max="1" width="41" style="92" bestFit="1" customWidth="1"/>
    <col min="2" max="13" width="13.33203125" style="92" customWidth="1"/>
    <col min="14" max="16384" width="13.33203125" style="92"/>
  </cols>
  <sheetData>
    <row r="1" spans="1:37" ht="15" x14ac:dyDescent="0.25">
      <c r="A1" s="91" t="s">
        <v>197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</row>
    <row r="2" spans="1:37" x14ac:dyDescent="0.2">
      <c r="A2" s="69"/>
      <c r="B2" s="69"/>
      <c r="C2" s="69"/>
      <c r="D2" s="69"/>
      <c r="E2" s="69"/>
      <c r="F2" s="69"/>
      <c r="G2" s="69"/>
      <c r="H2" s="98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</row>
    <row r="3" spans="1:37" ht="18.75" x14ac:dyDescent="0.3">
      <c r="A3" s="37" t="s">
        <v>198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</row>
    <row r="4" spans="1:37" ht="15" x14ac:dyDescent="0.25">
      <c r="A4" s="38"/>
      <c r="B4" s="60" t="s">
        <v>76</v>
      </c>
      <c r="C4" s="60" t="s">
        <v>77</v>
      </c>
      <c r="D4" s="60" t="s">
        <v>78</v>
      </c>
      <c r="E4" s="60" t="s">
        <v>79</v>
      </c>
      <c r="F4" s="60" t="s">
        <v>80</v>
      </c>
      <c r="G4" s="60" t="s">
        <v>81</v>
      </c>
      <c r="H4" s="60" t="s">
        <v>82</v>
      </c>
      <c r="I4" s="60" t="s">
        <v>83</v>
      </c>
      <c r="J4" s="60" t="s">
        <v>84</v>
      </c>
      <c r="K4" s="60" t="s">
        <v>85</v>
      </c>
      <c r="L4" s="60" t="s">
        <v>86</v>
      </c>
      <c r="M4" s="60" t="s">
        <v>87</v>
      </c>
      <c r="N4" s="60" t="s">
        <v>88</v>
      </c>
      <c r="O4" s="60" t="s">
        <v>89</v>
      </c>
      <c r="P4" s="60" t="s">
        <v>90</v>
      </c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</row>
    <row r="5" spans="1:37" ht="15" x14ac:dyDescent="0.2">
      <c r="A5" s="165" t="s">
        <v>129</v>
      </c>
      <c r="B5" s="44">
        <f>+[1]Ventas!B66</f>
        <v>16945</v>
      </c>
      <c r="C5" s="44">
        <f>+[1]Ventas!C66</f>
        <v>17581.284749999999</v>
      </c>
      <c r="D5" s="44">
        <f>+[1]Ventas!D66</f>
        <v>18241.461992362496</v>
      </c>
      <c r="E5" s="44">
        <f>+[1]Ventas!E66</f>
        <v>18926.42889017571</v>
      </c>
      <c r="F5" s="44">
        <f>+[1]Ventas!F66</f>
        <v>19637.116295001804</v>
      </c>
      <c r="G5" s="44">
        <f>+[1]Ventas!G66</f>
        <v>20374.490011879127</v>
      </c>
      <c r="H5" s="44">
        <f>+[1]Ventas!H66</f>
        <v>21139.552111825185</v>
      </c>
      <c r="I5" s="44">
        <f>+[1]Ventas!I66</f>
        <v>21933.34229362422</v>
      </c>
      <c r="J5" s="44">
        <f>+[1]Ventas!J66</f>
        <v>22756.93929674981</v>
      </c>
      <c r="K5" s="44">
        <f>+[1]Ventas!K66</f>
        <v>23611.462367342763</v>
      </c>
      <c r="L5" s="44">
        <f>+[1]Ventas!L66</f>
        <v>24498.072779236481</v>
      </c>
      <c r="M5" s="44">
        <f>+[1]Ventas!M66</f>
        <v>25417.97541209681</v>
      </c>
      <c r="N5" s="44">
        <f>+[1]Ventas!N66</f>
        <v>251063.12620029435</v>
      </c>
      <c r="O5" s="44">
        <f>+[1]Ventas!O66</f>
        <v>364041.53299042693</v>
      </c>
      <c r="P5" s="44">
        <f>+[1]Ventas!P66</f>
        <v>527860.22283611901</v>
      </c>
      <c r="Q5" s="68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</row>
    <row r="6" spans="1:37" ht="15" x14ac:dyDescent="0.2">
      <c r="A6" s="165" t="s">
        <v>131</v>
      </c>
      <c r="B6" s="44">
        <f>+'[1]Planilla Personal'!B46</f>
        <v>0</v>
      </c>
      <c r="C6" s="44">
        <f>+'[1]Planilla Personal'!C46</f>
        <v>0</v>
      </c>
      <c r="D6" s="44">
        <f>+'[1]Planilla Personal'!D46</f>
        <v>0</v>
      </c>
      <c r="E6" s="44">
        <f>+'[1]Planilla Personal'!E46</f>
        <v>0</v>
      </c>
      <c r="F6" s="44">
        <f>+'[1]Planilla Personal'!F46</f>
        <v>0</v>
      </c>
      <c r="G6" s="44">
        <f>+'[1]Planilla Personal'!G46</f>
        <v>0</v>
      </c>
      <c r="H6" s="44">
        <f>+'[1]Planilla Personal'!H46</f>
        <v>0</v>
      </c>
      <c r="I6" s="44">
        <f>+'[1]Planilla Personal'!I46</f>
        <v>0</v>
      </c>
      <c r="J6" s="44">
        <f>+'[1]Planilla Personal'!J46</f>
        <v>0</v>
      </c>
      <c r="K6" s="44">
        <f>+'[1]Planilla Personal'!K46</f>
        <v>0</v>
      </c>
      <c r="L6" s="44">
        <f>+'[1]Planilla Personal'!L46</f>
        <v>0</v>
      </c>
      <c r="M6" s="44">
        <f>+'[1]Planilla Personal'!M46</f>
        <v>0</v>
      </c>
      <c r="N6" s="44">
        <f>+'[1]Planilla Personal'!N46</f>
        <v>0</v>
      </c>
      <c r="O6" s="44">
        <f>+'[1]Planilla Personal'!O46</f>
        <v>0</v>
      </c>
      <c r="P6" s="44">
        <f>+'[1]Planilla Personal'!P46</f>
        <v>0</v>
      </c>
      <c r="Q6" s="68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</row>
    <row r="7" spans="1:37" ht="15" x14ac:dyDescent="0.2">
      <c r="A7" s="165" t="s">
        <v>199</v>
      </c>
      <c r="B7" s="44">
        <f>+'[1]Presupuesto Producción'!B64</f>
        <v>0</v>
      </c>
      <c r="C7" s="44">
        <f>+'[1]Presupuesto Producción'!C64</f>
        <v>0</v>
      </c>
      <c r="D7" s="44">
        <f>+'[1]Presupuesto Producción'!D64</f>
        <v>0</v>
      </c>
      <c r="E7" s="44">
        <f>+'[1]Presupuesto Producción'!E64</f>
        <v>0</v>
      </c>
      <c r="F7" s="44">
        <f>+'[1]Presupuesto Producción'!F64</f>
        <v>0</v>
      </c>
      <c r="G7" s="44">
        <f>+'[1]Presupuesto Producción'!G64</f>
        <v>0</v>
      </c>
      <c r="H7" s="44">
        <f>+'[1]Presupuesto Producción'!H64</f>
        <v>0</v>
      </c>
      <c r="I7" s="44">
        <f>+'[1]Presupuesto Producción'!I64</f>
        <v>0</v>
      </c>
      <c r="J7" s="44">
        <f>+'[1]Presupuesto Producción'!J64</f>
        <v>0</v>
      </c>
      <c r="K7" s="44">
        <f>+'[1]Presupuesto Producción'!K64</f>
        <v>0</v>
      </c>
      <c r="L7" s="44">
        <f>+'[1]Presupuesto Producción'!L64</f>
        <v>0</v>
      </c>
      <c r="M7" s="44">
        <f>+'[1]Presupuesto Producción'!M64</f>
        <v>0</v>
      </c>
      <c r="N7" s="44">
        <f>+'[1]Presupuesto Producción'!N64</f>
        <v>0</v>
      </c>
      <c r="O7" s="44">
        <f>+'[1]Presupuesto Producción'!O64</f>
        <v>0</v>
      </c>
      <c r="P7" s="44">
        <f>+'[1]Presupuesto Producción'!P64</f>
        <v>0</v>
      </c>
      <c r="Q7" s="68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</row>
    <row r="8" spans="1:37" ht="15" x14ac:dyDescent="0.25">
      <c r="A8" s="166" t="s">
        <v>200</v>
      </c>
      <c r="B8" s="50">
        <f>+B5-B6-B7</f>
        <v>16945</v>
      </c>
      <c r="C8" s="50">
        <f t="shared" ref="C8:P8" si="0">+C5-C6-C7</f>
        <v>17581.284749999999</v>
      </c>
      <c r="D8" s="50">
        <f t="shared" si="0"/>
        <v>18241.461992362496</v>
      </c>
      <c r="E8" s="50">
        <f t="shared" si="0"/>
        <v>18926.42889017571</v>
      </c>
      <c r="F8" s="50">
        <f t="shared" si="0"/>
        <v>19637.116295001804</v>
      </c>
      <c r="G8" s="50">
        <f t="shared" si="0"/>
        <v>20374.490011879127</v>
      </c>
      <c r="H8" s="50">
        <f t="shared" si="0"/>
        <v>21139.552111825185</v>
      </c>
      <c r="I8" s="50">
        <f t="shared" si="0"/>
        <v>21933.34229362422</v>
      </c>
      <c r="J8" s="50">
        <f t="shared" si="0"/>
        <v>22756.93929674981</v>
      </c>
      <c r="K8" s="50">
        <f t="shared" si="0"/>
        <v>23611.462367342763</v>
      </c>
      <c r="L8" s="50">
        <f t="shared" si="0"/>
        <v>24498.072779236481</v>
      </c>
      <c r="M8" s="50">
        <f t="shared" si="0"/>
        <v>25417.97541209681</v>
      </c>
      <c r="N8" s="50">
        <f t="shared" si="0"/>
        <v>251063.12620029435</v>
      </c>
      <c r="O8" s="50">
        <f t="shared" si="0"/>
        <v>364041.53299042693</v>
      </c>
      <c r="P8" s="50">
        <f t="shared" si="0"/>
        <v>527860.22283611901</v>
      </c>
      <c r="Q8" s="68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</row>
    <row r="9" spans="1:37" ht="15" x14ac:dyDescent="0.2">
      <c r="A9" s="165" t="s">
        <v>133</v>
      </c>
      <c r="B9" s="44">
        <v>12000</v>
      </c>
      <c r="C9" s="44">
        <v>12000</v>
      </c>
      <c r="D9" s="44">
        <v>12000</v>
      </c>
      <c r="E9" s="44">
        <v>12000</v>
      </c>
      <c r="F9" s="44">
        <v>12000</v>
      </c>
      <c r="G9" s="44">
        <v>12000</v>
      </c>
      <c r="H9" s="44">
        <v>12000</v>
      </c>
      <c r="I9" s="44">
        <v>12000</v>
      </c>
      <c r="J9" s="44">
        <v>12000</v>
      </c>
      <c r="K9" s="44">
        <v>12000</v>
      </c>
      <c r="L9" s="44">
        <v>12000</v>
      </c>
      <c r="M9" s="44">
        <v>12000</v>
      </c>
      <c r="N9" s="44">
        <f>SUM(B9:M9)</f>
        <v>144000</v>
      </c>
      <c r="O9" s="44">
        <f>N9*1.05</f>
        <v>151200</v>
      </c>
      <c r="P9" s="44">
        <f>O9*1.05</f>
        <v>158760</v>
      </c>
      <c r="Q9" s="68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</row>
    <row r="10" spans="1:37" ht="15" x14ac:dyDescent="0.2">
      <c r="A10" s="165" t="s">
        <v>201</v>
      </c>
      <c r="B10" s="44">
        <f>+'[1]Gasto Adm y Ventas'!C52</f>
        <v>3925.8700000000003</v>
      </c>
      <c r="C10" s="44">
        <f>+'[1]Gasto Adm y Ventas'!D52</f>
        <v>3925.8700000000003</v>
      </c>
      <c r="D10" s="44">
        <f>+'[1]Gasto Adm y Ventas'!E52</f>
        <v>3925.8700000000003</v>
      </c>
      <c r="E10" s="44">
        <f>+'[1]Gasto Adm y Ventas'!F52</f>
        <v>3925.8700000000003</v>
      </c>
      <c r="F10" s="44">
        <f>+'[1]Gasto Adm y Ventas'!G52</f>
        <v>3925.8700000000003</v>
      </c>
      <c r="G10" s="44">
        <f>+'[1]Gasto Adm y Ventas'!H52</f>
        <v>3925.8700000000003</v>
      </c>
      <c r="H10" s="44">
        <f>+'[1]Gasto Adm y Ventas'!I52</f>
        <v>3925.8700000000003</v>
      </c>
      <c r="I10" s="44">
        <f>+'[1]Gasto Adm y Ventas'!J52</f>
        <v>3925.8700000000003</v>
      </c>
      <c r="J10" s="44">
        <f>+'[1]Gasto Adm y Ventas'!K52</f>
        <v>3925.8700000000003</v>
      </c>
      <c r="K10" s="44">
        <f>+'[1]Gasto Adm y Ventas'!L52</f>
        <v>3925.8700000000003</v>
      </c>
      <c r="L10" s="44">
        <f>+'[1]Gasto Adm y Ventas'!M52</f>
        <v>3925.8700000000003</v>
      </c>
      <c r="M10" s="44">
        <f>+'[1]Gasto Adm y Ventas'!N52</f>
        <v>3925.8700000000003</v>
      </c>
      <c r="N10" s="44">
        <f>SUM(B10:M10)</f>
        <v>47110.44000000001</v>
      </c>
      <c r="O10" s="44">
        <f>N10*1.05</f>
        <v>49465.962000000014</v>
      </c>
      <c r="P10" s="44">
        <f>O10*1.05</f>
        <v>51939.260100000014</v>
      </c>
      <c r="Q10" s="68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</row>
    <row r="11" spans="1:37" ht="15" x14ac:dyDescent="0.2">
      <c r="A11" s="165" t="s">
        <v>202</v>
      </c>
      <c r="B11" s="44">
        <f>+[1]Inversión!$K$71</f>
        <v>489.37500000000006</v>
      </c>
      <c r="C11" s="44">
        <f>+B11</f>
        <v>489.37500000000006</v>
      </c>
      <c r="D11" s="44">
        <f t="shared" ref="D11:M11" si="1">+C11</f>
        <v>489.37500000000006</v>
      </c>
      <c r="E11" s="44">
        <f t="shared" si="1"/>
        <v>489.37500000000006</v>
      </c>
      <c r="F11" s="44">
        <f t="shared" si="1"/>
        <v>489.37500000000006</v>
      </c>
      <c r="G11" s="44">
        <f t="shared" si="1"/>
        <v>489.37500000000006</v>
      </c>
      <c r="H11" s="44">
        <f t="shared" si="1"/>
        <v>489.37500000000006</v>
      </c>
      <c r="I11" s="44">
        <f t="shared" si="1"/>
        <v>489.37500000000006</v>
      </c>
      <c r="J11" s="44">
        <f t="shared" si="1"/>
        <v>489.37500000000006</v>
      </c>
      <c r="K11" s="44">
        <f t="shared" si="1"/>
        <v>489.37500000000006</v>
      </c>
      <c r="L11" s="44">
        <f t="shared" si="1"/>
        <v>489.37500000000006</v>
      </c>
      <c r="M11" s="44">
        <f t="shared" si="1"/>
        <v>489.37500000000006</v>
      </c>
      <c r="N11" s="44">
        <f>SUM(B11:M11)</f>
        <v>5872.5000000000009</v>
      </c>
      <c r="O11" s="44">
        <f>+[1]Inversión!$J$71</f>
        <v>5872.5</v>
      </c>
      <c r="P11" s="44">
        <f>+[1]Inversión!$J$71</f>
        <v>5872.5</v>
      </c>
      <c r="Q11" s="68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</row>
    <row r="12" spans="1:37" ht="15" x14ac:dyDescent="0.25">
      <c r="A12" s="166" t="s">
        <v>203</v>
      </c>
      <c r="B12" s="50">
        <f>+B8-B9-B10-B11</f>
        <v>529.75499999999965</v>
      </c>
      <c r="C12" s="50">
        <f t="shared" ref="C12:O12" si="2">+C8-C9-C10-C11</f>
        <v>1166.0397499999985</v>
      </c>
      <c r="D12" s="50">
        <f t="shared" si="2"/>
        <v>1826.2169923624956</v>
      </c>
      <c r="E12" s="50">
        <f t="shared" si="2"/>
        <v>2511.1838901757096</v>
      </c>
      <c r="F12" s="50">
        <f t="shared" si="2"/>
        <v>3221.8712950018039</v>
      </c>
      <c r="G12" s="50">
        <f t="shared" si="2"/>
        <v>3959.2450118791257</v>
      </c>
      <c r="H12" s="50">
        <f t="shared" si="2"/>
        <v>4724.3071118251846</v>
      </c>
      <c r="I12" s="50">
        <f t="shared" si="2"/>
        <v>5518.0972936242197</v>
      </c>
      <c r="J12" s="50">
        <f t="shared" si="2"/>
        <v>6341.6942967498089</v>
      </c>
      <c r="K12" s="50">
        <f t="shared" si="2"/>
        <v>7196.2173673427624</v>
      </c>
      <c r="L12" s="50">
        <f t="shared" si="2"/>
        <v>8082.8277792364806</v>
      </c>
      <c r="M12" s="50">
        <f>+M8-M9-M10-M11</f>
        <v>9002.7304120968092</v>
      </c>
      <c r="N12" s="50">
        <f>+N8-N9-N10-N11</f>
        <v>54080.186200294345</v>
      </c>
      <c r="O12" s="50">
        <f t="shared" si="2"/>
        <v>157503.07099042693</v>
      </c>
      <c r="P12" s="50">
        <f>+P8-P9-P10-P11</f>
        <v>311288.46273611899</v>
      </c>
      <c r="Q12" s="68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</row>
    <row r="13" spans="1:37" ht="15" x14ac:dyDescent="0.2">
      <c r="A13" s="165" t="s">
        <v>204</v>
      </c>
      <c r="B13" s="44">
        <f>+[1]Financiamiento!B19</f>
        <v>0</v>
      </c>
      <c r="C13" s="44">
        <f>+[1]Financiamiento!C19</f>
        <v>0</v>
      </c>
      <c r="D13" s="44">
        <f>+[1]Financiamiento!D19</f>
        <v>0</v>
      </c>
      <c r="E13" s="44">
        <f>+[1]Financiamiento!E19</f>
        <v>0</v>
      </c>
      <c r="F13" s="44">
        <f>+[1]Financiamiento!F19</f>
        <v>0</v>
      </c>
      <c r="G13" s="44">
        <f>+[1]Financiamiento!G19</f>
        <v>0</v>
      </c>
      <c r="H13" s="44">
        <f>+[1]Financiamiento!H19</f>
        <v>0</v>
      </c>
      <c r="I13" s="44">
        <f>+[1]Financiamiento!I19</f>
        <v>0</v>
      </c>
      <c r="J13" s="44">
        <f>+[1]Financiamiento!J19</f>
        <v>0</v>
      </c>
      <c r="K13" s="44">
        <f>+[1]Financiamiento!K19</f>
        <v>0</v>
      </c>
      <c r="L13" s="44">
        <f>+[1]Financiamiento!L19</f>
        <v>0</v>
      </c>
      <c r="M13" s="44">
        <f>+[1]Financiamiento!M19</f>
        <v>0</v>
      </c>
      <c r="N13" s="44">
        <f>SUM(B13:M13)</f>
        <v>0</v>
      </c>
      <c r="O13" s="44">
        <f>+SUM([1]Financiamiento!N19:Y19)</f>
        <v>0</v>
      </c>
      <c r="P13" s="44">
        <f>+SUM([1]Financiamiento!Z19:AK19)</f>
        <v>0</v>
      </c>
      <c r="Q13" s="68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</row>
    <row r="14" spans="1:37" ht="15" x14ac:dyDescent="0.25">
      <c r="A14" s="167" t="s">
        <v>205</v>
      </c>
      <c r="B14" s="50">
        <f>+B12-B13</f>
        <v>529.75499999999965</v>
      </c>
      <c r="C14" s="50">
        <f>+C12-C13</f>
        <v>1166.0397499999985</v>
      </c>
      <c r="D14" s="50">
        <f>+D12-D13</f>
        <v>1826.2169923624956</v>
      </c>
      <c r="E14" s="50">
        <f t="shared" ref="E14:O14" si="3">+E12-E13</f>
        <v>2511.1838901757096</v>
      </c>
      <c r="F14" s="50">
        <f t="shared" si="3"/>
        <v>3221.8712950018039</v>
      </c>
      <c r="G14" s="50">
        <f t="shared" si="3"/>
        <v>3959.2450118791257</v>
      </c>
      <c r="H14" s="50">
        <f t="shared" si="3"/>
        <v>4724.3071118251846</v>
      </c>
      <c r="I14" s="50">
        <f t="shared" si="3"/>
        <v>5518.0972936242197</v>
      </c>
      <c r="J14" s="50">
        <f t="shared" si="3"/>
        <v>6341.6942967498089</v>
      </c>
      <c r="K14" s="50">
        <f t="shared" si="3"/>
        <v>7196.2173673427624</v>
      </c>
      <c r="L14" s="50">
        <f t="shared" si="3"/>
        <v>8082.8277792364806</v>
      </c>
      <c r="M14" s="50">
        <f t="shared" si="3"/>
        <v>9002.7304120968092</v>
      </c>
      <c r="N14" s="50">
        <f>+N12-N13</f>
        <v>54080.186200294345</v>
      </c>
      <c r="O14" s="50">
        <f t="shared" si="3"/>
        <v>157503.07099042693</v>
      </c>
      <c r="P14" s="50">
        <f>+P12-P13</f>
        <v>311288.46273611899</v>
      </c>
      <c r="Q14" s="68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</row>
    <row r="15" spans="1:37" ht="15" x14ac:dyDescent="0.2">
      <c r="A15" s="165" t="s">
        <v>186</v>
      </c>
      <c r="B15" s="47">
        <f>+B14*$B$19</f>
        <v>156.27772499999989</v>
      </c>
      <c r="C15" s="47">
        <f t="shared" ref="C15:M15" si="4">+C14*$B$19</f>
        <v>343.98172624999955</v>
      </c>
      <c r="D15" s="47">
        <f t="shared" si="4"/>
        <v>538.73401274693617</v>
      </c>
      <c r="E15" s="47">
        <f t="shared" si="4"/>
        <v>740.79924760183428</v>
      </c>
      <c r="F15" s="47">
        <f t="shared" si="4"/>
        <v>950.45203202553205</v>
      </c>
      <c r="G15" s="47">
        <f t="shared" si="4"/>
        <v>1167.9772785043419</v>
      </c>
      <c r="H15" s="47">
        <f t="shared" si="4"/>
        <v>1393.6705979884293</v>
      </c>
      <c r="I15" s="47">
        <f t="shared" si="4"/>
        <v>1627.8387016191448</v>
      </c>
      <c r="J15" s="47">
        <f t="shared" si="4"/>
        <v>1870.7998175411935</v>
      </c>
      <c r="K15" s="47">
        <f t="shared" si="4"/>
        <v>2122.8841233661146</v>
      </c>
      <c r="L15" s="47">
        <f t="shared" si="4"/>
        <v>2384.4341948747615</v>
      </c>
      <c r="M15" s="47">
        <f t="shared" si="4"/>
        <v>2655.8054715685585</v>
      </c>
      <c r="N15" s="44">
        <f>+N14*$B$19</f>
        <v>15953.654929086832</v>
      </c>
      <c r="O15" s="44">
        <f>+O14*$B$19</f>
        <v>46463.405942175945</v>
      </c>
      <c r="P15" s="44">
        <f>+P14*$B$19</f>
        <v>91830.096507155104</v>
      </c>
      <c r="Q15" s="68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</row>
    <row r="16" spans="1:37" ht="15" x14ac:dyDescent="0.25">
      <c r="A16" s="166" t="s">
        <v>206</v>
      </c>
      <c r="B16" s="50">
        <f>+B14-B15</f>
        <v>373.47727499999974</v>
      </c>
      <c r="C16" s="50">
        <f>+C14-C15</f>
        <v>822.05802374999894</v>
      </c>
      <c r="D16" s="50">
        <f t="shared" ref="D16:O16" si="5">+D14-D15</f>
        <v>1287.4829796155595</v>
      </c>
      <c r="E16" s="50">
        <f t="shared" si="5"/>
        <v>1770.3846425738752</v>
      </c>
      <c r="F16" s="50">
        <f t="shared" si="5"/>
        <v>2271.419262976272</v>
      </c>
      <c r="G16" s="50">
        <f t="shared" si="5"/>
        <v>2791.2677333747838</v>
      </c>
      <c r="H16" s="50">
        <f t="shared" si="5"/>
        <v>3330.6365138367555</v>
      </c>
      <c r="I16" s="50">
        <f t="shared" si="5"/>
        <v>3890.2585920050751</v>
      </c>
      <c r="J16" s="50">
        <f t="shared" si="5"/>
        <v>4470.8944792086149</v>
      </c>
      <c r="K16" s="50">
        <f t="shared" si="5"/>
        <v>5073.3332439766473</v>
      </c>
      <c r="L16" s="50">
        <f t="shared" si="5"/>
        <v>5698.3935843617191</v>
      </c>
      <c r="M16" s="50">
        <f t="shared" si="5"/>
        <v>6346.9249405282508</v>
      </c>
      <c r="N16" s="50">
        <f t="shared" si="5"/>
        <v>38126.53127120751</v>
      </c>
      <c r="O16" s="50">
        <f t="shared" si="5"/>
        <v>111039.66504825099</v>
      </c>
      <c r="P16" s="50">
        <f>+P14-P15</f>
        <v>219458.36622896389</v>
      </c>
      <c r="Q16" s="68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</row>
    <row r="17" spans="1:37" x14ac:dyDescent="0.2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</row>
    <row r="18" spans="1:37" x14ac:dyDescent="0.2">
      <c r="A18" s="69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8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</row>
    <row r="19" spans="1:37" ht="15" x14ac:dyDescent="0.25">
      <c r="A19" s="48" t="s">
        <v>186</v>
      </c>
      <c r="B19" s="168">
        <v>0.29499999999999998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</row>
    <row r="20" spans="1:37" ht="15" x14ac:dyDescent="0.25">
      <c r="A20" s="169"/>
      <c r="B20" s="169"/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32"/>
      <c r="N20" s="1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</row>
    <row r="21" spans="1:37" s="173" customFormat="1" ht="18.75" x14ac:dyDescent="0.3">
      <c r="A21" s="170"/>
      <c r="B21" s="170"/>
      <c r="C21" s="170"/>
      <c r="D21" s="170"/>
      <c r="E21" s="170"/>
      <c r="F21" s="170"/>
      <c r="G21" s="171"/>
      <c r="H21" s="171"/>
      <c r="I21" s="171"/>
      <c r="J21" s="171"/>
      <c r="K21" s="171"/>
      <c r="L21" s="171"/>
      <c r="M21" s="170"/>
      <c r="N21" s="170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2"/>
      <c r="AB21" s="172"/>
      <c r="AC21" s="172"/>
      <c r="AD21" s="172"/>
      <c r="AE21" s="172"/>
      <c r="AF21" s="172"/>
      <c r="AG21" s="172"/>
      <c r="AH21" s="172"/>
      <c r="AI21" s="172"/>
      <c r="AJ21" s="172"/>
      <c r="AK21" s="172"/>
    </row>
    <row r="22" spans="1:37" s="173" customFormat="1" ht="18.75" x14ac:dyDescent="0.3">
      <c r="A22" s="170"/>
      <c r="B22" s="170"/>
      <c r="C22" s="170"/>
      <c r="D22" s="170"/>
      <c r="E22" s="170"/>
      <c r="F22" s="170"/>
      <c r="G22" s="170"/>
      <c r="H22" s="170"/>
      <c r="I22" s="170"/>
      <c r="J22" s="170"/>
      <c r="K22" s="170"/>
      <c r="L22" s="170"/>
      <c r="M22" s="170"/>
      <c r="N22" s="170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</row>
    <row r="23" spans="1:37" ht="15.75" x14ac:dyDescent="0.25">
      <c r="A23" s="174"/>
      <c r="B23" s="133"/>
      <c r="C23" s="175"/>
      <c r="D23" s="133"/>
      <c r="E23" s="133"/>
      <c r="F23" s="133"/>
      <c r="G23" s="133"/>
      <c r="H23" s="133"/>
      <c r="I23" s="133"/>
      <c r="J23" s="169"/>
      <c r="K23" s="169"/>
      <c r="L23" s="169"/>
      <c r="M23" s="169"/>
      <c r="N23" s="1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</row>
    <row r="24" spans="1:37" ht="15" x14ac:dyDescent="0.25">
      <c r="A24" s="169"/>
      <c r="B24" s="169"/>
      <c r="C24" s="169"/>
      <c r="D24" s="169"/>
      <c r="E24" s="169"/>
      <c r="F24" s="169"/>
      <c r="G24" s="169"/>
      <c r="H24" s="169"/>
      <c r="I24" s="169"/>
      <c r="J24" s="169"/>
      <c r="K24" s="169"/>
      <c r="L24" s="169"/>
      <c r="M24" s="169"/>
      <c r="N24" s="1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</row>
    <row r="25" spans="1:37" ht="15" x14ac:dyDescent="0.25">
      <c r="A25" s="169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</row>
    <row r="26" spans="1:37" ht="15" x14ac:dyDescent="0.25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</row>
    <row r="27" spans="1:37" x14ac:dyDescent="0.2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</row>
    <row r="28" spans="1:37" x14ac:dyDescent="0.2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</row>
    <row r="29" spans="1:37" x14ac:dyDescent="0.2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</row>
    <row r="30" spans="1:37" x14ac:dyDescent="0.2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</row>
    <row r="31" spans="1:37" x14ac:dyDescent="0.2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</row>
    <row r="32" spans="1:37" x14ac:dyDescent="0.2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</row>
    <row r="33" spans="1:37" x14ac:dyDescent="0.2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</row>
    <row r="34" spans="1:37" x14ac:dyDescent="0.2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</row>
    <row r="35" spans="1:37" x14ac:dyDescent="0.2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</row>
    <row r="36" spans="1:37" x14ac:dyDescent="0.2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</row>
    <row r="37" spans="1:37" x14ac:dyDescent="0.2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</row>
    <row r="38" spans="1:37" x14ac:dyDescent="0.2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</row>
    <row r="39" spans="1:37" x14ac:dyDescent="0.2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</row>
    <row r="40" spans="1:37" x14ac:dyDescent="0.2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</row>
    <row r="41" spans="1:37" x14ac:dyDescent="0.2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</row>
    <row r="42" spans="1:37" x14ac:dyDescent="0.2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</row>
    <row r="43" spans="1:37" x14ac:dyDescent="0.2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</row>
    <row r="44" spans="1:37" x14ac:dyDescent="0.2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</row>
    <row r="45" spans="1:37" x14ac:dyDescent="0.2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</row>
    <row r="46" spans="1:37" x14ac:dyDescent="0.2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</row>
    <row r="47" spans="1:37" x14ac:dyDescent="0.2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</row>
    <row r="48" spans="1:37" x14ac:dyDescent="0.2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</row>
    <row r="49" spans="1:37" x14ac:dyDescent="0.2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</row>
    <row r="50" spans="1:37" x14ac:dyDescent="0.2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</row>
    <row r="51" spans="1:37" x14ac:dyDescent="0.2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</row>
    <row r="52" spans="1:37" x14ac:dyDescent="0.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3"/>
  <sheetViews>
    <sheetView workbookViewId="0">
      <selection activeCell="P5" sqref="P5"/>
    </sheetView>
  </sheetViews>
  <sheetFormatPr baseColWidth="10" defaultColWidth="13.33203125" defaultRowHeight="12.75" x14ac:dyDescent="0.2"/>
  <cols>
    <col min="1" max="1" width="40.5" style="92" customWidth="1"/>
    <col min="2" max="13" width="13.33203125" style="92" hidden="1" customWidth="1"/>
    <col min="14" max="16384" width="13.33203125" style="92"/>
  </cols>
  <sheetData>
    <row r="1" spans="1:37" ht="15" x14ac:dyDescent="0.25">
      <c r="A1" s="91" t="s">
        <v>197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</row>
    <row r="2" spans="1:37" x14ac:dyDescent="0.2">
      <c r="A2" s="69"/>
      <c r="B2" s="69"/>
      <c r="C2" s="69"/>
      <c r="D2" s="69"/>
      <c r="E2" s="69"/>
      <c r="F2" s="69"/>
      <c r="G2" s="69"/>
      <c r="H2" s="98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</row>
    <row r="3" spans="1:37" ht="37.5" x14ac:dyDescent="0.3">
      <c r="A3" s="211" t="s">
        <v>243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</row>
    <row r="4" spans="1:37" ht="15" x14ac:dyDescent="0.25">
      <c r="A4" s="38"/>
      <c r="B4" s="60" t="s">
        <v>76</v>
      </c>
      <c r="C4" s="60" t="s">
        <v>77</v>
      </c>
      <c r="D4" s="60" t="s">
        <v>78</v>
      </c>
      <c r="E4" s="60" t="s">
        <v>79</v>
      </c>
      <c r="F4" s="60" t="s">
        <v>80</v>
      </c>
      <c r="G4" s="60" t="s">
        <v>81</v>
      </c>
      <c r="H4" s="60" t="s">
        <v>82</v>
      </c>
      <c r="I4" s="60" t="s">
        <v>83</v>
      </c>
      <c r="J4" s="60" t="s">
        <v>84</v>
      </c>
      <c r="K4" s="60" t="s">
        <v>85</v>
      </c>
      <c r="L4" s="60" t="s">
        <v>86</v>
      </c>
      <c r="M4" s="60" t="s">
        <v>87</v>
      </c>
      <c r="N4" s="60" t="s">
        <v>88</v>
      </c>
      <c r="O4" s="60" t="s">
        <v>89</v>
      </c>
      <c r="P4" s="60" t="s">
        <v>90</v>
      </c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</row>
    <row r="5" spans="1:37" ht="15" x14ac:dyDescent="0.2">
      <c r="A5" s="165" t="s">
        <v>129</v>
      </c>
      <c r="B5" s="44">
        <f>+[1]Ventas!B66</f>
        <v>16945</v>
      </c>
      <c r="C5" s="44">
        <f>+[1]Ventas!C66</f>
        <v>17581.284749999999</v>
      </c>
      <c r="D5" s="44">
        <f>+[1]Ventas!D66</f>
        <v>18241.461992362496</v>
      </c>
      <c r="E5" s="44">
        <f>+[1]Ventas!E66</f>
        <v>18926.42889017571</v>
      </c>
      <c r="F5" s="44">
        <f>+[1]Ventas!F66</f>
        <v>19637.116295001804</v>
      </c>
      <c r="G5" s="44">
        <f>+[1]Ventas!G66</f>
        <v>20374.490011879127</v>
      </c>
      <c r="H5" s="44">
        <f>+[1]Ventas!H66</f>
        <v>21139.552111825185</v>
      </c>
      <c r="I5" s="44">
        <f>+[1]Ventas!I66</f>
        <v>21933.34229362422</v>
      </c>
      <c r="J5" s="44">
        <f>+[1]Ventas!J66</f>
        <v>22756.93929674981</v>
      </c>
      <c r="K5" s="44">
        <f>+[1]Ventas!K66</f>
        <v>23611.462367342763</v>
      </c>
      <c r="L5" s="44">
        <f>+[1]Ventas!L66</f>
        <v>24498.072779236481</v>
      </c>
      <c r="M5" s="44">
        <f>+[1]Ventas!M66</f>
        <v>25417.97541209681</v>
      </c>
      <c r="N5" s="44">
        <f>+[1]Ventas!N66</f>
        <v>251063.12620029435</v>
      </c>
      <c r="O5" s="44">
        <f>+[1]Ventas!O66</f>
        <v>364041.53299042693</v>
      </c>
      <c r="P5" s="44">
        <f>+[1]Ventas!P66</f>
        <v>527860.22283611901</v>
      </c>
      <c r="Q5" s="68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</row>
    <row r="6" spans="1:37" ht="15" x14ac:dyDescent="0.2">
      <c r="A6" s="165" t="s">
        <v>131</v>
      </c>
      <c r="B6" s="44">
        <f>+'[1]Planilla Personal'!B46</f>
        <v>0</v>
      </c>
      <c r="C6" s="44">
        <f>+'[1]Planilla Personal'!C46</f>
        <v>0</v>
      </c>
      <c r="D6" s="44">
        <f>+'[1]Planilla Personal'!D46</f>
        <v>0</v>
      </c>
      <c r="E6" s="44">
        <f>+'[1]Planilla Personal'!E46</f>
        <v>0</v>
      </c>
      <c r="F6" s="44">
        <f>+'[1]Planilla Personal'!F46</f>
        <v>0</v>
      </c>
      <c r="G6" s="44">
        <f>+'[1]Planilla Personal'!G46</f>
        <v>0</v>
      </c>
      <c r="H6" s="44">
        <f>+'[1]Planilla Personal'!H46</f>
        <v>0</v>
      </c>
      <c r="I6" s="44">
        <f>+'[1]Planilla Personal'!I46</f>
        <v>0</v>
      </c>
      <c r="J6" s="44">
        <f>+'[1]Planilla Personal'!J46</f>
        <v>0</v>
      </c>
      <c r="K6" s="44">
        <f>+'[1]Planilla Personal'!K46</f>
        <v>0</v>
      </c>
      <c r="L6" s="44">
        <f>+'[1]Planilla Personal'!L46</f>
        <v>0</v>
      </c>
      <c r="M6" s="44">
        <f>+'[1]Planilla Personal'!M46</f>
        <v>0</v>
      </c>
      <c r="N6" s="44">
        <f>+'[1]Planilla Personal'!N46</f>
        <v>0</v>
      </c>
      <c r="O6" s="44">
        <f>+'[1]Planilla Personal'!O46</f>
        <v>0</v>
      </c>
      <c r="P6" s="44">
        <f>+'[1]Planilla Personal'!P46</f>
        <v>0</v>
      </c>
      <c r="Q6" s="68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</row>
    <row r="7" spans="1:37" ht="15" x14ac:dyDescent="0.2">
      <c r="A7" s="165" t="s">
        <v>199</v>
      </c>
      <c r="B7" s="44">
        <f>+'[1]Presupuesto Producción'!B64</f>
        <v>0</v>
      </c>
      <c r="C7" s="44">
        <f>+'[1]Presupuesto Producción'!C64</f>
        <v>0</v>
      </c>
      <c r="D7" s="44">
        <f>+'[1]Presupuesto Producción'!D64</f>
        <v>0</v>
      </c>
      <c r="E7" s="44">
        <f>+'[1]Presupuesto Producción'!E64</f>
        <v>0</v>
      </c>
      <c r="F7" s="44">
        <f>+'[1]Presupuesto Producción'!F64</f>
        <v>0</v>
      </c>
      <c r="G7" s="44">
        <f>+'[1]Presupuesto Producción'!G64</f>
        <v>0</v>
      </c>
      <c r="H7" s="44">
        <f>+'[1]Presupuesto Producción'!H64</f>
        <v>0</v>
      </c>
      <c r="I7" s="44">
        <f>+'[1]Presupuesto Producción'!I64</f>
        <v>0</v>
      </c>
      <c r="J7" s="44">
        <f>+'[1]Presupuesto Producción'!J64</f>
        <v>0</v>
      </c>
      <c r="K7" s="44">
        <f>+'[1]Presupuesto Producción'!K64</f>
        <v>0</v>
      </c>
      <c r="L7" s="44">
        <f>+'[1]Presupuesto Producción'!L64</f>
        <v>0</v>
      </c>
      <c r="M7" s="44">
        <f>+'[1]Presupuesto Producción'!M64</f>
        <v>0</v>
      </c>
      <c r="N7" s="44">
        <f>+'[1]Presupuesto Producción'!N64</f>
        <v>0</v>
      </c>
      <c r="O7" s="44">
        <f>+'[1]Presupuesto Producción'!O64</f>
        <v>0</v>
      </c>
      <c r="P7" s="44">
        <f>+'[1]Presupuesto Producción'!P64</f>
        <v>0</v>
      </c>
      <c r="Q7" s="68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</row>
    <row r="8" spans="1:37" ht="15" x14ac:dyDescent="0.25">
      <c r="A8" s="166" t="s">
        <v>200</v>
      </c>
      <c r="B8" s="50">
        <f>+B5-B6-B7</f>
        <v>16945</v>
      </c>
      <c r="C8" s="50">
        <f t="shared" ref="C8:P8" si="0">+C5-C6-C7</f>
        <v>17581.284749999999</v>
      </c>
      <c r="D8" s="50">
        <f t="shared" si="0"/>
        <v>18241.461992362496</v>
      </c>
      <c r="E8" s="50">
        <f t="shared" si="0"/>
        <v>18926.42889017571</v>
      </c>
      <c r="F8" s="50">
        <f t="shared" si="0"/>
        <v>19637.116295001804</v>
      </c>
      <c r="G8" s="50">
        <f t="shared" si="0"/>
        <v>20374.490011879127</v>
      </c>
      <c r="H8" s="50">
        <f t="shared" si="0"/>
        <v>21139.552111825185</v>
      </c>
      <c r="I8" s="50">
        <f t="shared" si="0"/>
        <v>21933.34229362422</v>
      </c>
      <c r="J8" s="50">
        <f t="shared" si="0"/>
        <v>22756.93929674981</v>
      </c>
      <c r="K8" s="50">
        <f t="shared" si="0"/>
        <v>23611.462367342763</v>
      </c>
      <c r="L8" s="50">
        <f t="shared" si="0"/>
        <v>24498.072779236481</v>
      </c>
      <c r="M8" s="50">
        <f t="shared" si="0"/>
        <v>25417.97541209681</v>
      </c>
      <c r="N8" s="50">
        <f t="shared" si="0"/>
        <v>251063.12620029435</v>
      </c>
      <c r="O8" s="50">
        <f t="shared" si="0"/>
        <v>364041.53299042693</v>
      </c>
      <c r="P8" s="50">
        <f t="shared" si="0"/>
        <v>527860.22283611901</v>
      </c>
      <c r="Q8" s="68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</row>
    <row r="9" spans="1:37" ht="15" x14ac:dyDescent="0.2">
      <c r="A9" s="165" t="s">
        <v>133</v>
      </c>
      <c r="B9" s="44">
        <f>+'[1]Planilla Personal'!C79</f>
        <v>15600.08</v>
      </c>
      <c r="C9" s="44">
        <f>+'[1]Planilla Personal'!D79</f>
        <v>15600.08</v>
      </c>
      <c r="D9" s="44">
        <f>+'[1]Planilla Personal'!E79</f>
        <v>15600.08</v>
      </c>
      <c r="E9" s="44">
        <f>+'[1]Planilla Personal'!F79</f>
        <v>15600.08</v>
      </c>
      <c r="F9" s="44">
        <f>+'[1]Planilla Personal'!G79</f>
        <v>15600.08</v>
      </c>
      <c r="G9" s="44">
        <f>+'[1]Planilla Personal'!H79</f>
        <v>15600.08</v>
      </c>
      <c r="H9" s="44">
        <f>+'[1]Planilla Personal'!I79</f>
        <v>15600.08</v>
      </c>
      <c r="I9" s="44">
        <f>+'[1]Planilla Personal'!J79</f>
        <v>15600.08</v>
      </c>
      <c r="J9" s="44">
        <f>+'[1]Planilla Personal'!K79</f>
        <v>15600.08</v>
      </c>
      <c r="K9" s="44">
        <f>+'[1]Planilla Personal'!L79</f>
        <v>15600.08</v>
      </c>
      <c r="L9" s="44">
        <f>+'[1]Planilla Personal'!M79</f>
        <v>15600.08</v>
      </c>
      <c r="M9" s="44">
        <f>+'[1]Planilla Personal'!N79</f>
        <v>15600.08</v>
      </c>
      <c r="N9" s="44">
        <f>SUM(B9:M9)</f>
        <v>187200.95999999996</v>
      </c>
      <c r="O9" s="44">
        <f>N9*1.05</f>
        <v>196561.00799999997</v>
      </c>
      <c r="P9" s="44">
        <f>O9*1.05</f>
        <v>206389.05839999998</v>
      </c>
      <c r="Q9" s="68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</row>
    <row r="10" spans="1:37" ht="15" x14ac:dyDescent="0.2">
      <c r="A10" s="165" t="s">
        <v>201</v>
      </c>
      <c r="B10" s="44">
        <f>+'[1]Gasto Adm y Ventas'!C52</f>
        <v>3925.8700000000003</v>
      </c>
      <c r="C10" s="44">
        <f>+'[1]Gasto Adm y Ventas'!D52</f>
        <v>3925.8700000000003</v>
      </c>
      <c r="D10" s="44">
        <f>+'[1]Gasto Adm y Ventas'!E52</f>
        <v>3925.8700000000003</v>
      </c>
      <c r="E10" s="44">
        <f>+'[1]Gasto Adm y Ventas'!F52</f>
        <v>3925.8700000000003</v>
      </c>
      <c r="F10" s="44">
        <f>+'[1]Gasto Adm y Ventas'!G52</f>
        <v>3925.8700000000003</v>
      </c>
      <c r="G10" s="44">
        <f>+'[1]Gasto Adm y Ventas'!H52</f>
        <v>3925.8700000000003</v>
      </c>
      <c r="H10" s="44">
        <f>+'[1]Gasto Adm y Ventas'!I52</f>
        <v>3925.8700000000003</v>
      </c>
      <c r="I10" s="44">
        <f>+'[1]Gasto Adm y Ventas'!J52</f>
        <v>3925.8700000000003</v>
      </c>
      <c r="J10" s="44">
        <f>+'[1]Gasto Adm y Ventas'!K52</f>
        <v>3925.8700000000003</v>
      </c>
      <c r="K10" s="44">
        <f>+'[1]Gasto Adm y Ventas'!L52</f>
        <v>3925.8700000000003</v>
      </c>
      <c r="L10" s="44">
        <f>+'[1]Gasto Adm y Ventas'!M52</f>
        <v>3925.8700000000003</v>
      </c>
      <c r="M10" s="44">
        <f>+'[1]Gasto Adm y Ventas'!N52</f>
        <v>3925.8700000000003</v>
      </c>
      <c r="N10" s="44">
        <f>SUM(B10:M10)</f>
        <v>47110.44000000001</v>
      </c>
      <c r="O10" s="44">
        <f>N10*1.05</f>
        <v>49465.962000000014</v>
      </c>
      <c r="P10" s="44">
        <f>O10*1.05</f>
        <v>51939.260100000014</v>
      </c>
      <c r="Q10" s="68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</row>
    <row r="11" spans="1:37" ht="15" x14ac:dyDescent="0.2">
      <c r="A11" s="165" t="s">
        <v>244</v>
      </c>
      <c r="B11" s="44">
        <v>351</v>
      </c>
      <c r="C11" s="44">
        <f>+B11</f>
        <v>351</v>
      </c>
      <c r="D11" s="44">
        <f t="shared" ref="D11:M11" si="1">+C11</f>
        <v>351</v>
      </c>
      <c r="E11" s="44">
        <f t="shared" si="1"/>
        <v>351</v>
      </c>
      <c r="F11" s="44">
        <f t="shared" si="1"/>
        <v>351</v>
      </c>
      <c r="G11" s="44">
        <f t="shared" si="1"/>
        <v>351</v>
      </c>
      <c r="H11" s="44">
        <f t="shared" si="1"/>
        <v>351</v>
      </c>
      <c r="I11" s="44">
        <f t="shared" si="1"/>
        <v>351</v>
      </c>
      <c r="J11" s="44">
        <f t="shared" si="1"/>
        <v>351</v>
      </c>
      <c r="K11" s="44">
        <f t="shared" si="1"/>
        <v>351</v>
      </c>
      <c r="L11" s="44">
        <f t="shared" si="1"/>
        <v>351</v>
      </c>
      <c r="M11" s="44">
        <f t="shared" si="1"/>
        <v>351</v>
      </c>
      <c r="N11" s="44">
        <f>SUM(B11:M11)</f>
        <v>4212</v>
      </c>
      <c r="O11" s="44">
        <f>N11</f>
        <v>4212</v>
      </c>
      <c r="P11" s="44">
        <f>O11</f>
        <v>4212</v>
      </c>
      <c r="Q11" s="68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</row>
    <row r="12" spans="1:37" ht="15" x14ac:dyDescent="0.2">
      <c r="A12" s="165" t="s">
        <v>245</v>
      </c>
      <c r="B12" s="44">
        <v>138.88890000000001</v>
      </c>
      <c r="C12" s="44">
        <v>138.88890000000001</v>
      </c>
      <c r="D12" s="44">
        <v>138.88890000000001</v>
      </c>
      <c r="E12" s="44">
        <v>138.88890000000001</v>
      </c>
      <c r="F12" s="44">
        <v>138.88890000000001</v>
      </c>
      <c r="G12" s="44">
        <v>138.88890000000001</v>
      </c>
      <c r="H12" s="44">
        <v>138.88890000000001</v>
      </c>
      <c r="I12" s="44">
        <v>138.88890000000001</v>
      </c>
      <c r="J12" s="44">
        <v>138.88890000000001</v>
      </c>
      <c r="K12" s="44">
        <v>138.88890000000001</v>
      </c>
      <c r="L12" s="44">
        <v>138.88890000000001</v>
      </c>
      <c r="M12" s="44">
        <v>138.88890000000001</v>
      </c>
      <c r="N12" s="44">
        <f>SUM(B12:M12)</f>
        <v>1666.6667999999997</v>
      </c>
      <c r="O12" s="44">
        <f>N12</f>
        <v>1666.6667999999997</v>
      </c>
      <c r="P12" s="44">
        <f>N12</f>
        <v>1666.6667999999997</v>
      </c>
      <c r="Q12" s="68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</row>
    <row r="13" spans="1:37" ht="15" x14ac:dyDescent="0.25">
      <c r="A13" s="166" t="s">
        <v>203</v>
      </c>
      <c r="B13" s="50">
        <f>+B8-B9-B10-B11-B12</f>
        <v>-3070.8389000000002</v>
      </c>
      <c r="C13" s="50">
        <f t="shared" ref="C13:E13" si="2">+C8-C9-C10-C11-C12</f>
        <v>-2434.5541500000013</v>
      </c>
      <c r="D13" s="50">
        <f t="shared" si="2"/>
        <v>-1774.3769076375042</v>
      </c>
      <c r="E13" s="50">
        <f t="shared" si="2"/>
        <v>-1089.4100098242902</v>
      </c>
      <c r="F13" s="50">
        <f t="shared" ref="F13:P13" si="3">+F8-F9-F10-F11-F12</f>
        <v>-378.72260499819606</v>
      </c>
      <c r="G13" s="50">
        <f t="shared" si="3"/>
        <v>358.65111187912623</v>
      </c>
      <c r="H13" s="50">
        <f t="shared" si="3"/>
        <v>1123.7132118251852</v>
      </c>
      <c r="I13" s="50">
        <f t="shared" si="3"/>
        <v>1917.5033936242203</v>
      </c>
      <c r="J13" s="50">
        <f t="shared" si="3"/>
        <v>2741.1003967498095</v>
      </c>
      <c r="K13" s="50">
        <f t="shared" si="3"/>
        <v>3595.623467342763</v>
      </c>
      <c r="L13" s="50">
        <f t="shared" si="3"/>
        <v>4482.2338792364808</v>
      </c>
      <c r="M13" s="50">
        <f t="shared" si="3"/>
        <v>5402.1365120968094</v>
      </c>
      <c r="N13" s="50">
        <f t="shared" si="3"/>
        <v>10873.059400294384</v>
      </c>
      <c r="O13" s="50">
        <f t="shared" si="3"/>
        <v>112135.89619042694</v>
      </c>
      <c r="P13" s="50">
        <f t="shared" si="3"/>
        <v>263653.23753611901</v>
      </c>
      <c r="Q13" s="68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</row>
    <row r="14" spans="1:37" ht="15" x14ac:dyDescent="0.2">
      <c r="A14" s="165" t="s">
        <v>204</v>
      </c>
      <c r="B14" s="44">
        <f>+[1]Financiamiento!B19</f>
        <v>0</v>
      </c>
      <c r="C14" s="44">
        <f>+[1]Financiamiento!C19</f>
        <v>0</v>
      </c>
      <c r="D14" s="44">
        <f>+[1]Financiamiento!D19</f>
        <v>0</v>
      </c>
      <c r="E14" s="44">
        <f>+[1]Financiamiento!E19</f>
        <v>0</v>
      </c>
      <c r="F14" s="44">
        <f>+[1]Financiamiento!F19</f>
        <v>0</v>
      </c>
      <c r="G14" s="44">
        <f>+[1]Financiamiento!G19</f>
        <v>0</v>
      </c>
      <c r="H14" s="44">
        <f>+[1]Financiamiento!H19</f>
        <v>0</v>
      </c>
      <c r="I14" s="44">
        <f>+[1]Financiamiento!I19</f>
        <v>0</v>
      </c>
      <c r="J14" s="44">
        <f>+[1]Financiamiento!J19</f>
        <v>0</v>
      </c>
      <c r="K14" s="44">
        <f>+[1]Financiamiento!K19</f>
        <v>0</v>
      </c>
      <c r="L14" s="44">
        <f>+[1]Financiamiento!L19</f>
        <v>0</v>
      </c>
      <c r="M14" s="44">
        <f>+[1]Financiamiento!M19</f>
        <v>0</v>
      </c>
      <c r="N14" s="44">
        <f>SUM(B14:M14)</f>
        <v>0</v>
      </c>
      <c r="O14" s="44">
        <f>+SUM([1]Financiamiento!N19:Y19)</f>
        <v>0</v>
      </c>
      <c r="P14" s="44">
        <f>+SUM([1]Financiamiento!Z19:AK19)</f>
        <v>0</v>
      </c>
      <c r="Q14" s="68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</row>
    <row r="15" spans="1:37" ht="15" x14ac:dyDescent="0.25">
      <c r="A15" s="167" t="s">
        <v>205</v>
      </c>
      <c r="B15" s="50">
        <f>+B13-B14</f>
        <v>-3070.8389000000002</v>
      </c>
      <c r="C15" s="50">
        <f>+C13-C14</f>
        <v>-2434.5541500000013</v>
      </c>
      <c r="D15" s="50">
        <f>+D13-D14</f>
        <v>-1774.3769076375042</v>
      </c>
      <c r="E15" s="50">
        <f t="shared" ref="E15:J15" si="4">+E13-E14</f>
        <v>-1089.4100098242902</v>
      </c>
      <c r="F15" s="50">
        <f t="shared" si="4"/>
        <v>-378.72260499819606</v>
      </c>
      <c r="G15" s="50">
        <f t="shared" si="4"/>
        <v>358.65111187912623</v>
      </c>
      <c r="H15" s="50">
        <f t="shared" si="4"/>
        <v>1123.7132118251852</v>
      </c>
      <c r="I15" s="50">
        <f t="shared" si="4"/>
        <v>1917.5033936242203</v>
      </c>
      <c r="J15" s="50">
        <f t="shared" si="4"/>
        <v>2741.1003967498095</v>
      </c>
      <c r="K15" s="50">
        <f t="shared" ref="K15:P15" si="5">+K13-K14</f>
        <v>3595.623467342763</v>
      </c>
      <c r="L15" s="50">
        <f t="shared" si="5"/>
        <v>4482.2338792364808</v>
      </c>
      <c r="M15" s="50">
        <f t="shared" si="5"/>
        <v>5402.1365120968094</v>
      </c>
      <c r="N15" s="50">
        <f t="shared" si="5"/>
        <v>10873.059400294384</v>
      </c>
      <c r="O15" s="50">
        <f t="shared" si="5"/>
        <v>112135.89619042694</v>
      </c>
      <c r="P15" s="50">
        <f t="shared" si="5"/>
        <v>263653.23753611901</v>
      </c>
      <c r="Q15" s="68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</row>
    <row r="16" spans="1:37" ht="15" x14ac:dyDescent="0.2">
      <c r="A16" s="165" t="s">
        <v>186</v>
      </c>
      <c r="B16" s="47">
        <f t="shared" ref="B16:M16" si="6">B15*$B$20</f>
        <v>-905.89747550000004</v>
      </c>
      <c r="C16" s="47">
        <f t="shared" si="6"/>
        <v>-718.19347425000035</v>
      </c>
      <c r="D16" s="47">
        <f t="shared" si="6"/>
        <v>-523.44118775306367</v>
      </c>
      <c r="E16" s="47">
        <f t="shared" si="6"/>
        <v>-321.37595289816562</v>
      </c>
      <c r="F16" s="47">
        <f t="shared" si="6"/>
        <v>-111.72316847446783</v>
      </c>
      <c r="G16" s="47">
        <f t="shared" si="6"/>
        <v>105.80207800434223</v>
      </c>
      <c r="H16" s="47">
        <f t="shared" si="6"/>
        <v>331.4953974884296</v>
      </c>
      <c r="I16" s="47">
        <f t="shared" si="6"/>
        <v>565.66350111914494</v>
      </c>
      <c r="J16" s="47">
        <f t="shared" si="6"/>
        <v>808.6246170411938</v>
      </c>
      <c r="K16" s="47">
        <f t="shared" si="6"/>
        <v>1060.708922866115</v>
      </c>
      <c r="L16" s="47">
        <f t="shared" si="6"/>
        <v>1322.2589943747619</v>
      </c>
      <c r="M16" s="47">
        <f t="shared" si="6"/>
        <v>1593.6302710685586</v>
      </c>
      <c r="N16" s="44">
        <f>+N15*$B$20</f>
        <v>3207.5525230868429</v>
      </c>
      <c r="O16" s="44">
        <f>+O15*$B$20</f>
        <v>33080.089376175943</v>
      </c>
      <c r="P16" s="44">
        <f>+P15*$B$20</f>
        <v>77777.705073155099</v>
      </c>
      <c r="Q16" s="68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</row>
    <row r="17" spans="1:37" ht="15" x14ac:dyDescent="0.25">
      <c r="A17" s="166" t="s">
        <v>206</v>
      </c>
      <c r="B17" s="50">
        <f t="shared" ref="B17:P17" si="7">+B15-B16</f>
        <v>-2164.9414245000003</v>
      </c>
      <c r="C17" s="50">
        <f t="shared" si="7"/>
        <v>-1716.3606757500011</v>
      </c>
      <c r="D17" s="50">
        <f t="shared" si="7"/>
        <v>-1250.9357198844405</v>
      </c>
      <c r="E17" s="50">
        <f t="shared" si="7"/>
        <v>-768.03405692612455</v>
      </c>
      <c r="F17" s="50">
        <f t="shared" si="7"/>
        <v>-266.99943652372826</v>
      </c>
      <c r="G17" s="50">
        <f t="shared" si="7"/>
        <v>252.849033874784</v>
      </c>
      <c r="H17" s="50">
        <f t="shared" si="7"/>
        <v>792.21781433675562</v>
      </c>
      <c r="I17" s="50">
        <f t="shared" si="7"/>
        <v>1351.8398925050753</v>
      </c>
      <c r="J17" s="50">
        <f t="shared" si="7"/>
        <v>1932.4757797086158</v>
      </c>
      <c r="K17" s="50">
        <f t="shared" si="7"/>
        <v>2534.9145444766482</v>
      </c>
      <c r="L17" s="50">
        <f t="shared" si="7"/>
        <v>3159.9748848617191</v>
      </c>
      <c r="M17" s="50">
        <f t="shared" si="7"/>
        <v>3808.5062410282508</v>
      </c>
      <c r="N17" s="50">
        <f t="shared" si="7"/>
        <v>7665.506877207541</v>
      </c>
      <c r="O17" s="50">
        <f t="shared" si="7"/>
        <v>79055.806814251002</v>
      </c>
      <c r="P17" s="50">
        <f t="shared" si="7"/>
        <v>185875.53246296389</v>
      </c>
      <c r="Q17" s="68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</row>
    <row r="18" spans="1:37" x14ac:dyDescent="0.2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</row>
    <row r="19" spans="1:37" x14ac:dyDescent="0.2">
      <c r="A19" s="69"/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</row>
    <row r="20" spans="1:37" ht="15" x14ac:dyDescent="0.25">
      <c r="A20" s="48" t="s">
        <v>186</v>
      </c>
      <c r="B20" s="168">
        <v>0.29499999999999998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</row>
    <row r="21" spans="1:37" ht="15" x14ac:dyDescent="0.25">
      <c r="A21" s="169"/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32"/>
      <c r="N21" s="1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</row>
    <row r="22" spans="1:37" s="173" customFormat="1" ht="18.75" x14ac:dyDescent="0.3">
      <c r="A22" s="170"/>
      <c r="B22" s="170"/>
      <c r="C22" s="170"/>
      <c r="D22" s="170"/>
      <c r="E22" s="170"/>
      <c r="F22" s="170"/>
      <c r="G22" s="171"/>
      <c r="H22" s="171"/>
      <c r="I22" s="171"/>
      <c r="J22" s="171"/>
      <c r="K22" s="171"/>
      <c r="L22" s="171"/>
      <c r="M22" s="170"/>
      <c r="N22" s="170"/>
      <c r="O22" s="172"/>
      <c r="P22" s="172"/>
      <c r="Q22" s="172"/>
      <c r="R22" s="172"/>
      <c r="S22" s="172"/>
      <c r="T22" s="172"/>
      <c r="U22" s="17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 s="172"/>
      <c r="AI22" s="172"/>
      <c r="AJ22" s="172"/>
      <c r="AK22" s="172"/>
    </row>
    <row r="23" spans="1:37" s="173" customFormat="1" ht="18.75" x14ac:dyDescent="0.3">
      <c r="A23" s="170"/>
      <c r="B23" s="170"/>
      <c r="C23" s="170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2"/>
      <c r="P23" s="172"/>
      <c r="Q23" s="172"/>
      <c r="R23" s="172"/>
      <c r="S23" s="172"/>
      <c r="T23" s="172"/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/>
      <c r="AG23" s="172"/>
      <c r="AH23" s="172"/>
      <c r="AI23" s="172"/>
      <c r="AJ23" s="172"/>
      <c r="AK23" s="172"/>
    </row>
    <row r="24" spans="1:37" ht="15.75" x14ac:dyDescent="0.25">
      <c r="A24" s="174"/>
      <c r="B24" s="133"/>
      <c r="C24" s="175"/>
      <c r="D24" s="133"/>
      <c r="E24" s="133"/>
      <c r="F24" s="133"/>
      <c r="G24" s="133"/>
      <c r="H24" s="133"/>
      <c r="I24" s="133"/>
      <c r="J24" s="169"/>
      <c r="K24" s="169"/>
      <c r="L24" s="169"/>
      <c r="M24" s="169"/>
      <c r="N24" s="1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</row>
    <row r="25" spans="1:37" ht="15" x14ac:dyDescent="0.25">
      <c r="A25" s="169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</row>
    <row r="26" spans="1:37" ht="15" x14ac:dyDescent="0.25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</row>
    <row r="27" spans="1:37" ht="15" x14ac:dyDescent="0.25">
      <c r="A27" s="169"/>
      <c r="B27" s="169"/>
      <c r="C27" s="169"/>
      <c r="D27" s="169"/>
      <c r="E27" s="169"/>
      <c r="F27" s="169"/>
      <c r="G27" s="169"/>
      <c r="H27" s="169"/>
      <c r="I27" s="169"/>
      <c r="J27" s="169"/>
      <c r="K27" s="169"/>
      <c r="L27" s="169"/>
      <c r="M27" s="169"/>
      <c r="N27" s="1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</row>
    <row r="28" spans="1:37" x14ac:dyDescent="0.2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</row>
    <row r="29" spans="1:37" x14ac:dyDescent="0.2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</row>
    <row r="30" spans="1:37" x14ac:dyDescent="0.2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</row>
    <row r="31" spans="1:37" x14ac:dyDescent="0.2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</row>
    <row r="32" spans="1:37" x14ac:dyDescent="0.2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</row>
    <row r="33" spans="1:37" x14ac:dyDescent="0.2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</row>
    <row r="34" spans="1:37" x14ac:dyDescent="0.2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</row>
    <row r="35" spans="1:37" x14ac:dyDescent="0.2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</row>
    <row r="36" spans="1:37" x14ac:dyDescent="0.2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</row>
    <row r="37" spans="1:37" x14ac:dyDescent="0.2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</row>
    <row r="38" spans="1:37" x14ac:dyDescent="0.2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</row>
    <row r="39" spans="1:37" x14ac:dyDescent="0.2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</row>
    <row r="40" spans="1:37" x14ac:dyDescent="0.2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</row>
    <row r="41" spans="1:37" x14ac:dyDescent="0.2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</row>
    <row r="42" spans="1:37" x14ac:dyDescent="0.2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</row>
    <row r="43" spans="1:37" x14ac:dyDescent="0.2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</row>
    <row r="44" spans="1:37" x14ac:dyDescent="0.2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</row>
    <row r="45" spans="1:37" x14ac:dyDescent="0.2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</row>
    <row r="46" spans="1:37" x14ac:dyDescent="0.2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</row>
    <row r="47" spans="1:37" x14ac:dyDescent="0.2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</row>
    <row r="48" spans="1:37" x14ac:dyDescent="0.2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</row>
    <row r="49" spans="1:37" x14ac:dyDescent="0.2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</row>
    <row r="50" spans="1:37" x14ac:dyDescent="0.2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</row>
    <row r="51" spans="1:37" x14ac:dyDescent="0.2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</row>
    <row r="52" spans="1:37" x14ac:dyDescent="0.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</row>
    <row r="53" spans="1:37" x14ac:dyDescent="0.2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2"/>
  <sheetViews>
    <sheetView showGridLines="0" topLeftCell="A10" workbookViewId="0">
      <selection activeCell="G33" sqref="G33"/>
    </sheetView>
  </sheetViews>
  <sheetFormatPr baseColWidth="10" defaultRowHeight="12.75" x14ac:dyDescent="0.2"/>
  <cols>
    <col min="2" max="2" width="33.6640625" bestFit="1" customWidth="1"/>
    <col min="5" max="5" width="31.33203125" customWidth="1"/>
    <col min="6" max="6" width="7.1640625" bestFit="1" customWidth="1"/>
    <col min="7" max="7" width="10.6640625" customWidth="1"/>
  </cols>
  <sheetData>
    <row r="2" spans="2:9" ht="18.75" x14ac:dyDescent="0.3">
      <c r="B2" s="272" t="s">
        <v>224</v>
      </c>
      <c r="C2" s="272"/>
      <c r="D2" s="272"/>
      <c r="E2" s="272"/>
      <c r="F2" s="272"/>
      <c r="G2" s="272"/>
      <c r="H2" s="272"/>
      <c r="I2" s="272"/>
    </row>
    <row r="3" spans="2:9" ht="27" customHeight="1" x14ac:dyDescent="0.25">
      <c r="B3" s="39" t="s">
        <v>207</v>
      </c>
      <c r="C3" s="176">
        <v>1.1399999999999999</v>
      </c>
      <c r="E3" s="271" t="s">
        <v>220</v>
      </c>
      <c r="F3" s="271"/>
      <c r="G3" s="271"/>
      <c r="H3" s="271"/>
      <c r="I3" s="271"/>
    </row>
    <row r="4" spans="2:9" x14ac:dyDescent="0.2">
      <c r="B4" s="39" t="s">
        <v>208</v>
      </c>
      <c r="C4" s="177">
        <v>0.29499999999999998</v>
      </c>
      <c r="E4" s="177" t="s">
        <v>221</v>
      </c>
      <c r="F4" s="196">
        <v>375</v>
      </c>
      <c r="G4" s="196">
        <v>1.1399999999999999</v>
      </c>
    </row>
    <row r="5" spans="2:9" x14ac:dyDescent="0.2">
      <c r="B5" s="39" t="s">
        <v>209</v>
      </c>
      <c r="C5" s="177">
        <v>0</v>
      </c>
    </row>
    <row r="6" spans="2:9" x14ac:dyDescent="0.2">
      <c r="B6" s="39" t="s">
        <v>210</v>
      </c>
      <c r="C6" s="177">
        <v>1</v>
      </c>
    </row>
    <row r="7" spans="2:9" x14ac:dyDescent="0.2">
      <c r="B7" s="69"/>
      <c r="C7" s="141"/>
    </row>
    <row r="8" spans="2:9" ht="15.75" x14ac:dyDescent="0.25">
      <c r="B8" s="69"/>
      <c r="C8" s="178">
        <v>1.1399999999999999</v>
      </c>
    </row>
    <row r="9" spans="2:9" x14ac:dyDescent="0.2">
      <c r="B9" s="69"/>
      <c r="C9" s="69"/>
    </row>
    <row r="10" spans="2:9" ht="23.25" x14ac:dyDescent="0.2">
      <c r="B10" s="179" t="s">
        <v>211</v>
      </c>
      <c r="C10" s="180">
        <v>1.9439999999999999E-2</v>
      </c>
      <c r="E10" s="271" t="s">
        <v>222</v>
      </c>
      <c r="F10" s="271"/>
      <c r="G10" s="271"/>
      <c r="H10" s="271"/>
      <c r="I10" s="271"/>
    </row>
    <row r="11" spans="2:9" ht="23.25" x14ac:dyDescent="0.2">
      <c r="B11" s="179" t="s">
        <v>212</v>
      </c>
      <c r="C11" s="181">
        <v>0.08</v>
      </c>
    </row>
    <row r="12" spans="2:9" ht="31.5" customHeight="1" x14ac:dyDescent="0.2">
      <c r="B12" s="179" t="s">
        <v>213</v>
      </c>
      <c r="C12" s="182">
        <v>2.0400000000000001E-2</v>
      </c>
      <c r="E12" s="271" t="s">
        <v>223</v>
      </c>
      <c r="F12" s="271"/>
      <c r="G12" s="271"/>
      <c r="H12" s="271"/>
      <c r="I12" s="271"/>
    </row>
    <row r="13" spans="2:9" ht="13.5" thickBot="1" x14ac:dyDescent="0.25">
      <c r="B13" s="69"/>
      <c r="C13" s="69"/>
    </row>
    <row r="14" spans="2:9" ht="19.5" thickBot="1" x14ac:dyDescent="0.35">
      <c r="B14" s="183" t="s">
        <v>214</v>
      </c>
      <c r="C14" s="184">
        <v>0.13103999999999999</v>
      </c>
    </row>
    <row r="15" spans="2:9" x14ac:dyDescent="0.2">
      <c r="B15" s="69"/>
      <c r="C15" s="69"/>
    </row>
    <row r="16" spans="2:9" x14ac:dyDescent="0.2">
      <c r="B16" s="39" t="s">
        <v>215</v>
      </c>
      <c r="C16" s="185">
        <v>2.5000000000000001E-2</v>
      </c>
    </row>
    <row r="17" spans="2:8" x14ac:dyDescent="0.2">
      <c r="B17" s="39" t="s">
        <v>216</v>
      </c>
      <c r="C17" s="185">
        <v>0.02</v>
      </c>
    </row>
    <row r="18" spans="2:8" ht="13.5" thickBot="1" x14ac:dyDescent="0.25"/>
    <row r="19" spans="2:8" ht="16.5" thickBot="1" x14ac:dyDescent="0.3">
      <c r="B19" s="186" t="s">
        <v>217</v>
      </c>
      <c r="C19" s="187" t="s">
        <v>218</v>
      </c>
      <c r="D19" s="188"/>
      <c r="E19" s="188"/>
      <c r="F19" s="188"/>
      <c r="G19" s="195"/>
    </row>
    <row r="20" spans="2:8" ht="16.5" thickBot="1" x14ac:dyDescent="0.3">
      <c r="B20" s="189"/>
      <c r="C20" s="190"/>
      <c r="D20" s="191" t="s">
        <v>219</v>
      </c>
      <c r="E20" s="191"/>
      <c r="F20" s="191"/>
      <c r="G20" s="192"/>
    </row>
    <row r="21" spans="2:8" ht="13.5" thickBot="1" x14ac:dyDescent="0.25">
      <c r="B21" s="69"/>
      <c r="C21" s="193"/>
      <c r="D21" s="69"/>
      <c r="E21" s="69"/>
      <c r="F21" s="69"/>
      <c r="G21" s="69"/>
    </row>
    <row r="22" spans="2:8" ht="19.5" thickBot="1" x14ac:dyDescent="0.35">
      <c r="B22" s="183" t="s">
        <v>217</v>
      </c>
      <c r="C22" s="194">
        <f>+(1+C14)*(1+C16)/(1+C17)-1</f>
        <v>0.13658431372549029</v>
      </c>
      <c r="D22" s="141"/>
      <c r="E22" s="141"/>
      <c r="F22" s="69"/>
      <c r="G22" s="69"/>
    </row>
    <row r="24" spans="2:8" x14ac:dyDescent="0.2">
      <c r="C24">
        <v>-31236</v>
      </c>
      <c r="D24">
        <v>43499</v>
      </c>
      <c r="E24">
        <v>79907</v>
      </c>
      <c r="F24">
        <v>162454</v>
      </c>
    </row>
    <row r="26" spans="2:8" x14ac:dyDescent="0.2">
      <c r="C26" s="198">
        <f>IRR(C24:F24)</f>
        <v>1.8960351672052425</v>
      </c>
    </row>
    <row r="28" spans="2:8" ht="13.5" thickBot="1" x14ac:dyDescent="0.25"/>
    <row r="29" spans="2:8" ht="15.75" thickBot="1" x14ac:dyDescent="0.3">
      <c r="E29" s="204">
        <f>-26030-8893</f>
        <v>-34923</v>
      </c>
      <c r="F29" s="128">
        <v>3465.28180647922</v>
      </c>
      <c r="G29" s="128">
        <v>62778.848246688372</v>
      </c>
      <c r="H29" s="128">
        <v>133893.8226814401</v>
      </c>
    </row>
    <row r="30" spans="2:8" x14ac:dyDescent="0.2">
      <c r="D30" t="s">
        <v>234</v>
      </c>
      <c r="E30" s="206">
        <f>NPV(17%,F29:H29)+E29</f>
        <v>97498.939254336059</v>
      </c>
    </row>
    <row r="31" spans="2:8" x14ac:dyDescent="0.2">
      <c r="D31" t="s">
        <v>233</v>
      </c>
      <c r="E31" s="206">
        <f>NPV(C22,F29:H29)+E29</f>
        <v>107914.67301486543</v>
      </c>
      <c r="F31" s="206"/>
    </row>
    <row r="32" spans="2:8" x14ac:dyDescent="0.2">
      <c r="D32" t="s">
        <v>226</v>
      </c>
      <c r="E32" s="207">
        <f>IRR(E29:H29)</f>
        <v>0.9820773903136244</v>
      </c>
    </row>
  </sheetData>
  <mergeCells count="4">
    <mergeCell ref="E3:I3"/>
    <mergeCell ref="E10:I10"/>
    <mergeCell ref="E12:I12"/>
    <mergeCell ref="B2:I2"/>
  </mergeCells>
  <conditionalFormatting sqref="F29:H29">
    <cfRule type="cellIs" dxfId="2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2"/>
  <sheetViews>
    <sheetView topLeftCell="A4" workbookViewId="0">
      <selection activeCell="D20" sqref="D20"/>
    </sheetView>
  </sheetViews>
  <sheetFormatPr baseColWidth="10" defaultColWidth="13.33203125" defaultRowHeight="12.75" x14ac:dyDescent="0.2"/>
  <cols>
    <col min="1" max="1" width="59.1640625" style="93" bestFit="1" customWidth="1"/>
    <col min="2" max="3" width="11.1640625" style="92" customWidth="1"/>
    <col min="4" max="11" width="7.6640625" style="92" customWidth="1"/>
    <col min="12" max="14" width="8.5" style="92" customWidth="1"/>
    <col min="15" max="15" width="9.33203125" style="92" bestFit="1" customWidth="1"/>
    <col min="16" max="17" width="8.83203125" style="92" bestFit="1" customWidth="1"/>
    <col min="18" max="26" width="13.33203125" style="92"/>
    <col min="27" max="16384" width="13.33203125" style="93"/>
  </cols>
  <sheetData>
    <row r="1" spans="1:35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</row>
    <row r="2" spans="1:35" ht="15" x14ac:dyDescent="0.25">
      <c r="A2" s="94" t="s">
        <v>123</v>
      </c>
      <c r="B2" s="95">
        <v>1.4999999999999999E-2</v>
      </c>
      <c r="C2" s="91" t="s">
        <v>124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 ht="15" x14ac:dyDescent="0.25">
      <c r="A3" s="69"/>
      <c r="B3" s="69"/>
      <c r="C3" s="91" t="s">
        <v>125</v>
      </c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x14ac:dyDescent="0.2">
      <c r="A4" s="69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 ht="15" x14ac:dyDescent="0.25">
      <c r="A5" s="94"/>
      <c r="B5" s="69"/>
      <c r="C5" s="96" t="s">
        <v>126</v>
      </c>
      <c r="D5" s="97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 ht="15" x14ac:dyDescent="0.25">
      <c r="A6" s="69"/>
      <c r="B6" s="69"/>
      <c r="C6" s="97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 x14ac:dyDescent="0.2">
      <c r="A7" s="69"/>
      <c r="B7" s="69"/>
      <c r="C7" s="69"/>
      <c r="D7" s="98"/>
      <c r="E7" s="69"/>
      <c r="F7" s="98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</row>
    <row r="8" spans="1:35" x14ac:dyDescent="0.2">
      <c r="A8" s="69"/>
      <c r="B8" s="69"/>
      <c r="C8" s="68"/>
      <c r="D8" s="99"/>
      <c r="E8" s="99"/>
      <c r="F8" s="99"/>
      <c r="G8" s="99"/>
      <c r="H8" s="99"/>
      <c r="I8" s="68"/>
      <c r="J8" s="68"/>
      <c r="K8" s="68"/>
      <c r="L8" s="68"/>
      <c r="M8" s="69"/>
      <c r="N8" s="69"/>
      <c r="O8" s="98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</row>
    <row r="9" spans="1:35" ht="19.5" thickBot="1" x14ac:dyDescent="0.35">
      <c r="A9" s="37" t="s">
        <v>238</v>
      </c>
      <c r="B9" s="69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1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</row>
    <row r="10" spans="1:35" ht="15.75" thickBot="1" x14ac:dyDescent="0.3">
      <c r="A10" s="102" t="s">
        <v>128</v>
      </c>
      <c r="B10" s="53" t="s">
        <v>75</v>
      </c>
      <c r="C10" s="60" t="s">
        <v>76</v>
      </c>
      <c r="D10" s="60" t="s">
        <v>77</v>
      </c>
      <c r="E10" s="60" t="s">
        <v>78</v>
      </c>
      <c r="F10" s="60" t="s">
        <v>79</v>
      </c>
      <c r="G10" s="60" t="s">
        <v>80</v>
      </c>
      <c r="H10" s="60" t="s">
        <v>81</v>
      </c>
      <c r="I10" s="60" t="s">
        <v>82</v>
      </c>
      <c r="J10" s="60" t="s">
        <v>83</v>
      </c>
      <c r="K10" s="60" t="s">
        <v>84</v>
      </c>
      <c r="L10" s="60" t="s">
        <v>85</v>
      </c>
      <c r="M10" s="60" t="s">
        <v>86</v>
      </c>
      <c r="N10" s="60" t="s">
        <v>87</v>
      </c>
      <c r="O10" s="60" t="s">
        <v>88</v>
      </c>
      <c r="P10" s="60" t="s">
        <v>89</v>
      </c>
      <c r="Q10" s="60" t="s">
        <v>90</v>
      </c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</row>
    <row r="11" spans="1:35" x14ac:dyDescent="0.2">
      <c r="A11" s="103" t="s">
        <v>129</v>
      </c>
      <c r="B11" s="104"/>
      <c r="C11" s="104">
        <v>16945</v>
      </c>
      <c r="D11" s="104">
        <v>17453.349999999999</v>
      </c>
      <c r="E11" s="104">
        <v>17976.950499999995</v>
      </c>
      <c r="F11" s="104">
        <v>18516.259015</v>
      </c>
      <c r="G11" s="104">
        <v>19071.746785449999</v>
      </c>
      <c r="H11" s="104">
        <v>19643.8991890135</v>
      </c>
      <c r="I11" s="104">
        <v>20233.216164683905</v>
      </c>
      <c r="J11" s="104">
        <v>20840.21264962442</v>
      </c>
      <c r="K11" s="104">
        <v>21465.419029113156</v>
      </c>
      <c r="L11" s="104">
        <v>22109.381599986547</v>
      </c>
      <c r="M11" s="104">
        <v>22772.663047986149</v>
      </c>
      <c r="N11" s="104">
        <v>23455.842939425733</v>
      </c>
      <c r="O11" s="104">
        <v>240483.94092028344</v>
      </c>
      <c r="P11" s="104">
        <v>327058.15965158539</v>
      </c>
      <c r="Q11" s="104">
        <v>444799.09712615609</v>
      </c>
      <c r="R11" s="99"/>
      <c r="S11" s="69"/>
      <c r="T11" s="98"/>
      <c r="U11" s="98"/>
      <c r="V11" s="98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</row>
    <row r="12" spans="1:35" x14ac:dyDescent="0.2">
      <c r="A12" s="105" t="s">
        <v>130</v>
      </c>
      <c r="B12" s="106"/>
      <c r="C12" s="106">
        <v>0</v>
      </c>
      <c r="D12" s="106">
        <v>0</v>
      </c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99"/>
      <c r="S12" s="69"/>
      <c r="T12" s="98"/>
      <c r="U12" s="98"/>
      <c r="V12" s="98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x14ac:dyDescent="0.2">
      <c r="A13" s="105" t="s">
        <v>131</v>
      </c>
      <c r="B13" s="106"/>
      <c r="C13" s="106">
        <v>0</v>
      </c>
      <c r="D13" s="106">
        <v>0</v>
      </c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99"/>
      <c r="S13" s="69"/>
      <c r="T13" s="98"/>
      <c r="U13" s="99"/>
      <c r="V13" s="98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15" x14ac:dyDescent="0.25">
      <c r="A14" s="107" t="s">
        <v>132</v>
      </c>
      <c r="B14" s="106"/>
      <c r="C14" s="108">
        <f t="shared" ref="C14:Q14" si="0">C11-C12-C13</f>
        <v>16945</v>
      </c>
      <c r="D14" s="108">
        <f t="shared" si="0"/>
        <v>17453.349999999999</v>
      </c>
      <c r="E14" s="108">
        <f t="shared" si="0"/>
        <v>17976.950499999995</v>
      </c>
      <c r="F14" s="108">
        <f t="shared" si="0"/>
        <v>18516.259015</v>
      </c>
      <c r="G14" s="108">
        <f t="shared" si="0"/>
        <v>19071.746785449999</v>
      </c>
      <c r="H14" s="108">
        <f t="shared" si="0"/>
        <v>19643.8991890135</v>
      </c>
      <c r="I14" s="108">
        <f t="shared" si="0"/>
        <v>20233.216164683905</v>
      </c>
      <c r="J14" s="108">
        <f t="shared" si="0"/>
        <v>20840.21264962442</v>
      </c>
      <c r="K14" s="108">
        <f t="shared" si="0"/>
        <v>21465.419029113156</v>
      </c>
      <c r="L14" s="108">
        <f t="shared" si="0"/>
        <v>22109.381599986547</v>
      </c>
      <c r="M14" s="108">
        <f t="shared" si="0"/>
        <v>22772.663047986149</v>
      </c>
      <c r="N14" s="108">
        <f t="shared" si="0"/>
        <v>23455.842939425733</v>
      </c>
      <c r="O14" s="108">
        <f t="shared" si="0"/>
        <v>240483.94092028344</v>
      </c>
      <c r="P14" s="108">
        <f t="shared" si="0"/>
        <v>327058.15965158539</v>
      </c>
      <c r="Q14" s="108">
        <f t="shared" si="0"/>
        <v>444799.09712615609</v>
      </c>
      <c r="R14" s="99"/>
      <c r="S14" s="69"/>
      <c r="T14" s="98"/>
      <c r="U14" s="98"/>
      <c r="V14" s="98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</row>
    <row r="15" spans="1:35" x14ac:dyDescent="0.2">
      <c r="A15" s="105" t="s">
        <v>133</v>
      </c>
      <c r="B15" s="106"/>
      <c r="C15" s="106">
        <v>15600.08</v>
      </c>
      <c r="D15" s="106">
        <v>15600.08</v>
      </c>
      <c r="E15" s="106">
        <v>15600.08</v>
      </c>
      <c r="F15" s="106">
        <v>15600.08</v>
      </c>
      <c r="G15" s="106">
        <v>15600.08</v>
      </c>
      <c r="H15" s="106">
        <v>15600.08</v>
      </c>
      <c r="I15" s="106">
        <v>15600.08</v>
      </c>
      <c r="J15" s="106">
        <v>15600.08</v>
      </c>
      <c r="K15" s="106">
        <v>15600.08</v>
      </c>
      <c r="L15" s="106">
        <v>15600.08</v>
      </c>
      <c r="M15" s="106">
        <v>15600.08</v>
      </c>
      <c r="N15" s="106">
        <v>15600.08</v>
      </c>
      <c r="O15" s="106">
        <f>SUM(C15:N15)</f>
        <v>187200.95999999996</v>
      </c>
      <c r="P15" s="106">
        <f>O15*1.05</f>
        <v>196561.00799999997</v>
      </c>
      <c r="Q15" s="106">
        <f>P15*1.05</f>
        <v>206389.05839999998</v>
      </c>
      <c r="R15" s="99"/>
      <c r="S15" s="69"/>
      <c r="T15" s="69"/>
      <c r="U15" s="98"/>
      <c r="V15" s="98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</row>
    <row r="16" spans="1:35" x14ac:dyDescent="0.2">
      <c r="A16" s="105" t="s">
        <v>134</v>
      </c>
      <c r="B16" s="106"/>
      <c r="C16" s="106">
        <v>3925.8700000000003</v>
      </c>
      <c r="D16" s="106">
        <v>3925.8700000000003</v>
      </c>
      <c r="E16" s="106">
        <v>3925.8700000000003</v>
      </c>
      <c r="F16" s="106">
        <v>3825.8700000000003</v>
      </c>
      <c r="G16" s="106">
        <v>3825.8700000000003</v>
      </c>
      <c r="H16" s="106">
        <v>3825.8700000000003</v>
      </c>
      <c r="I16" s="106">
        <v>3825.8700000000003</v>
      </c>
      <c r="J16" s="106">
        <v>3825.8700000000003</v>
      </c>
      <c r="K16" s="106">
        <v>3825.8700000000003</v>
      </c>
      <c r="L16" s="106">
        <v>3825.8700000000003</v>
      </c>
      <c r="M16" s="106">
        <v>3825.8700000000003</v>
      </c>
      <c r="N16" s="106">
        <v>3825.8700000000003</v>
      </c>
      <c r="O16" s="106">
        <f>SUM(C16:N16)</f>
        <v>46210.44000000001</v>
      </c>
      <c r="P16" s="106">
        <f>O16*1.05</f>
        <v>48520.962000000014</v>
      </c>
      <c r="Q16" s="106">
        <f>P16*1.05</f>
        <v>50947.010100000014</v>
      </c>
      <c r="R16" s="99"/>
      <c r="S16" s="69"/>
      <c r="T16" s="109"/>
      <c r="U16" s="69"/>
      <c r="V16" s="98"/>
      <c r="W16" s="98"/>
      <c r="X16" s="98"/>
      <c r="Y16" s="98"/>
      <c r="Z16" s="69"/>
      <c r="AA16" s="69"/>
      <c r="AB16" s="69"/>
      <c r="AC16" s="69"/>
      <c r="AD16" s="69"/>
      <c r="AE16" s="69"/>
      <c r="AF16" s="69"/>
      <c r="AG16" s="69"/>
      <c r="AH16" s="69"/>
      <c r="AI16" s="69"/>
    </row>
    <row r="17" spans="1:35" x14ac:dyDescent="0.2">
      <c r="A17" s="212" t="s">
        <v>246</v>
      </c>
      <c r="B17" s="111"/>
      <c r="C17" s="111">
        <v>351</v>
      </c>
      <c r="D17" s="111">
        <v>351</v>
      </c>
      <c r="E17" s="111">
        <v>351</v>
      </c>
      <c r="F17" s="111">
        <v>351</v>
      </c>
      <c r="G17" s="111">
        <v>351</v>
      </c>
      <c r="H17" s="111">
        <v>351</v>
      </c>
      <c r="I17" s="111">
        <v>351</v>
      </c>
      <c r="J17" s="111">
        <v>351</v>
      </c>
      <c r="K17" s="111">
        <v>351</v>
      </c>
      <c r="L17" s="111">
        <v>351</v>
      </c>
      <c r="M17" s="111">
        <v>351</v>
      </c>
      <c r="N17" s="111">
        <v>351</v>
      </c>
      <c r="O17" s="106">
        <f>SUM(C17:N17)</f>
        <v>4212</v>
      </c>
      <c r="P17" s="106">
        <f>O17</f>
        <v>4212</v>
      </c>
      <c r="Q17" s="111">
        <f>P17</f>
        <v>4212</v>
      </c>
      <c r="R17" s="99"/>
      <c r="S17" s="69"/>
      <c r="T17" s="69"/>
      <c r="U17" s="69"/>
      <c r="V17" s="98"/>
      <c r="W17" s="98"/>
      <c r="X17" s="98"/>
      <c r="Y17" s="98"/>
      <c r="Z17" s="69"/>
      <c r="AA17" s="69"/>
      <c r="AB17" s="69"/>
      <c r="AC17" s="69"/>
      <c r="AD17" s="69"/>
      <c r="AE17" s="69"/>
      <c r="AF17" s="69"/>
      <c r="AG17" s="69"/>
      <c r="AH17" s="69"/>
      <c r="AI17" s="69"/>
    </row>
    <row r="18" spans="1:35" ht="13.5" thickBot="1" x14ac:dyDescent="0.25">
      <c r="A18" s="212" t="s">
        <v>247</v>
      </c>
      <c r="B18" s="111"/>
      <c r="C18" s="111">
        <v>138.88</v>
      </c>
      <c r="D18" s="111">
        <v>138.88</v>
      </c>
      <c r="E18" s="111">
        <v>138.88</v>
      </c>
      <c r="F18" s="111">
        <v>138.88</v>
      </c>
      <c r="G18" s="111">
        <v>138.88</v>
      </c>
      <c r="H18" s="111">
        <v>138.88</v>
      </c>
      <c r="I18" s="111">
        <v>138.88</v>
      </c>
      <c r="J18" s="111">
        <v>138.88</v>
      </c>
      <c r="K18" s="111">
        <v>138.88</v>
      </c>
      <c r="L18" s="111">
        <v>138.88</v>
      </c>
      <c r="M18" s="111">
        <v>138.88</v>
      </c>
      <c r="N18" s="111">
        <v>138.88</v>
      </c>
      <c r="O18" s="106">
        <f>SUM(C18:N18)</f>
        <v>1666.5600000000004</v>
      </c>
      <c r="P18" s="106">
        <f>O18</f>
        <v>1666.5600000000004</v>
      </c>
      <c r="Q18" s="111">
        <f>P18</f>
        <v>1666.5600000000004</v>
      </c>
      <c r="R18" s="99"/>
      <c r="S18" s="69"/>
      <c r="T18" s="69"/>
      <c r="U18" s="69"/>
      <c r="V18" s="98"/>
      <c r="W18" s="98"/>
      <c r="X18" s="98"/>
      <c r="Y18" s="98"/>
      <c r="Z18" s="69"/>
      <c r="AA18" s="69"/>
      <c r="AB18" s="69"/>
      <c r="AC18" s="69"/>
      <c r="AD18" s="69"/>
      <c r="AE18" s="69"/>
      <c r="AF18" s="69"/>
      <c r="AG18" s="69"/>
      <c r="AH18" s="69"/>
      <c r="AI18" s="69"/>
    </row>
    <row r="19" spans="1:35" ht="15.75" thickBot="1" x14ac:dyDescent="0.3">
      <c r="A19" s="112" t="s">
        <v>136</v>
      </c>
      <c r="B19" s="113"/>
      <c r="C19" s="114">
        <f t="shared" ref="C19:Q19" si="1">C14-C15-C16-C17-C18</f>
        <v>-3070.8300000000004</v>
      </c>
      <c r="D19" s="114">
        <f t="shared" si="1"/>
        <v>-2562.4800000000018</v>
      </c>
      <c r="E19" s="114">
        <f t="shared" si="1"/>
        <v>-2038.879500000005</v>
      </c>
      <c r="F19" s="114">
        <f t="shared" si="1"/>
        <v>-1399.5709850000007</v>
      </c>
      <c r="G19" s="114">
        <f t="shared" si="1"/>
        <v>-844.08321455000112</v>
      </c>
      <c r="H19" s="114">
        <f t="shared" si="1"/>
        <v>-271.93081098649998</v>
      </c>
      <c r="I19" s="114">
        <f t="shared" si="1"/>
        <v>317.38616468390467</v>
      </c>
      <c r="J19" s="114">
        <f t="shared" si="1"/>
        <v>924.38264962441974</v>
      </c>
      <c r="K19" s="114">
        <f t="shared" si="1"/>
        <v>1549.5890291131559</v>
      </c>
      <c r="L19" s="114">
        <f t="shared" si="1"/>
        <v>2193.551599986547</v>
      </c>
      <c r="M19" s="114">
        <f t="shared" si="1"/>
        <v>2856.8330479861484</v>
      </c>
      <c r="N19" s="114">
        <f t="shared" si="1"/>
        <v>3540.0129394257324</v>
      </c>
      <c r="O19" s="114">
        <f t="shared" si="1"/>
        <v>1193.9809202834631</v>
      </c>
      <c r="P19" s="114">
        <f t="shared" si="1"/>
        <v>76097.629651585405</v>
      </c>
      <c r="Q19" s="114">
        <f t="shared" si="1"/>
        <v>181584.4686261561</v>
      </c>
      <c r="R19" s="99"/>
      <c r="S19" s="69"/>
      <c r="T19" s="98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x14ac:dyDescent="0.2">
      <c r="A20" s="115" t="s">
        <v>137</v>
      </c>
      <c r="B20" s="104"/>
      <c r="C20" s="104">
        <f t="shared" ref="C20:H20" si="2">-C19*29.5%</f>
        <v>905.89485000000002</v>
      </c>
      <c r="D20" s="104">
        <f t="shared" si="2"/>
        <v>755.93160000000046</v>
      </c>
      <c r="E20" s="104">
        <f t="shared" si="2"/>
        <v>601.46945250000147</v>
      </c>
      <c r="F20" s="104">
        <f t="shared" si="2"/>
        <v>412.87344057500019</v>
      </c>
      <c r="G20" s="104">
        <f t="shared" si="2"/>
        <v>249.00454829225032</v>
      </c>
      <c r="H20" s="104">
        <f t="shared" si="2"/>
        <v>80.219589241017488</v>
      </c>
      <c r="I20" s="104">
        <f t="shared" ref="I20:Q20" si="3">I19*29.5%</f>
        <v>93.628918581751876</v>
      </c>
      <c r="J20" s="104">
        <f t="shared" si="3"/>
        <v>272.69288163920379</v>
      </c>
      <c r="K20" s="104">
        <f t="shared" si="3"/>
        <v>457.12876358838099</v>
      </c>
      <c r="L20" s="104">
        <f t="shared" si="3"/>
        <v>647.09772199603128</v>
      </c>
      <c r="M20" s="104">
        <f t="shared" si="3"/>
        <v>842.76574915591368</v>
      </c>
      <c r="N20" s="104">
        <f t="shared" si="3"/>
        <v>1044.3038171305909</v>
      </c>
      <c r="O20" s="104">
        <f t="shared" si="3"/>
        <v>352.22437148362161</v>
      </c>
      <c r="P20" s="104">
        <f t="shared" si="3"/>
        <v>22448.800747217694</v>
      </c>
      <c r="Q20" s="104">
        <f t="shared" si="3"/>
        <v>53567.418244716049</v>
      </c>
      <c r="R20" s="9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x14ac:dyDescent="0.2">
      <c r="A21" s="213" t="s">
        <v>249</v>
      </c>
      <c r="B21" s="106"/>
      <c r="C21" s="111">
        <v>351</v>
      </c>
      <c r="D21" s="111">
        <v>351</v>
      </c>
      <c r="E21" s="111">
        <v>351</v>
      </c>
      <c r="F21" s="111">
        <v>351</v>
      </c>
      <c r="G21" s="111">
        <v>351</v>
      </c>
      <c r="H21" s="111">
        <v>351</v>
      </c>
      <c r="I21" s="111">
        <v>351</v>
      </c>
      <c r="J21" s="111">
        <v>351</v>
      </c>
      <c r="K21" s="111">
        <v>351</v>
      </c>
      <c r="L21" s="111">
        <v>351</v>
      </c>
      <c r="M21" s="111">
        <v>351</v>
      </c>
      <c r="N21" s="111">
        <v>351</v>
      </c>
      <c r="O21" s="106">
        <f>SUM(C21:N21)</f>
        <v>4212</v>
      </c>
      <c r="P21" s="106">
        <f>O21</f>
        <v>4212</v>
      </c>
      <c r="Q21" s="111">
        <f>P21</f>
        <v>4212</v>
      </c>
      <c r="R21" s="9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</row>
    <row r="22" spans="1:35" x14ac:dyDescent="0.2">
      <c r="A22" s="213" t="s">
        <v>248</v>
      </c>
      <c r="B22" s="106"/>
      <c r="C22" s="111">
        <v>138.88</v>
      </c>
      <c r="D22" s="111">
        <v>138.88</v>
      </c>
      <c r="E22" s="111">
        <v>138.88</v>
      </c>
      <c r="F22" s="111">
        <v>138.88</v>
      </c>
      <c r="G22" s="111">
        <v>138.88</v>
      </c>
      <c r="H22" s="111">
        <v>138.88</v>
      </c>
      <c r="I22" s="111">
        <v>138.88</v>
      </c>
      <c r="J22" s="111">
        <v>138.88</v>
      </c>
      <c r="K22" s="111">
        <v>138.88</v>
      </c>
      <c r="L22" s="111">
        <v>138.88</v>
      </c>
      <c r="M22" s="111">
        <v>138.88</v>
      </c>
      <c r="N22" s="111">
        <v>138.88</v>
      </c>
      <c r="O22" s="106">
        <f>SUM(C22:N22)</f>
        <v>1666.5600000000004</v>
      </c>
      <c r="P22" s="106">
        <f>O22</f>
        <v>1666.5600000000004</v>
      </c>
      <c r="Q22" s="111">
        <f>P22</f>
        <v>1666.5600000000004</v>
      </c>
      <c r="R22" s="9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</row>
    <row r="23" spans="1:35" ht="15" x14ac:dyDescent="0.25">
      <c r="A23" s="117" t="s">
        <v>139</v>
      </c>
      <c r="B23" s="106"/>
      <c r="C23" s="108">
        <f t="shared" ref="C23:Q23" si="4">C19-C20+C21+C22</f>
        <v>-3486.8448500000004</v>
      </c>
      <c r="D23" s="108">
        <f t="shared" si="4"/>
        <v>-2828.5316000000021</v>
      </c>
      <c r="E23" s="108">
        <f t="shared" si="4"/>
        <v>-2150.4689525000063</v>
      </c>
      <c r="F23" s="108">
        <f t="shared" si="4"/>
        <v>-1322.5644255750008</v>
      </c>
      <c r="G23" s="108">
        <f t="shared" si="4"/>
        <v>-603.20776284225133</v>
      </c>
      <c r="H23" s="108">
        <f t="shared" si="4"/>
        <v>137.72959977248252</v>
      </c>
      <c r="I23" s="108">
        <f t="shared" si="4"/>
        <v>713.63724610215274</v>
      </c>
      <c r="J23" s="108">
        <f t="shared" si="4"/>
        <v>1141.569767985216</v>
      </c>
      <c r="K23" s="108">
        <f t="shared" si="4"/>
        <v>1582.3402655247751</v>
      </c>
      <c r="L23" s="108">
        <f t="shared" si="4"/>
        <v>2036.3338779905157</v>
      </c>
      <c r="M23" s="108">
        <f t="shared" si="4"/>
        <v>2503.947298830235</v>
      </c>
      <c r="N23" s="108">
        <f t="shared" si="4"/>
        <v>2985.5891222951414</v>
      </c>
      <c r="O23" s="108">
        <f t="shared" si="4"/>
        <v>6720.3165487998422</v>
      </c>
      <c r="P23" s="108">
        <f t="shared" si="4"/>
        <v>59527.388904367705</v>
      </c>
      <c r="Q23" s="108">
        <f t="shared" si="4"/>
        <v>133895.61038144006</v>
      </c>
      <c r="R23" s="99"/>
      <c r="S23" s="69"/>
      <c r="T23" s="98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</row>
    <row r="24" spans="1:35" x14ac:dyDescent="0.2">
      <c r="A24" s="118" t="s">
        <v>140</v>
      </c>
      <c r="B24" s="106">
        <v>-26030</v>
      </c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>
        <v>0</v>
      </c>
      <c r="R24" s="9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</row>
    <row r="25" spans="1:35" x14ac:dyDescent="0.2">
      <c r="A25" s="118" t="s">
        <v>141</v>
      </c>
      <c r="B25" s="111">
        <v>0</v>
      </c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9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</row>
    <row r="26" spans="1:35" x14ac:dyDescent="0.2">
      <c r="A26" s="119" t="s">
        <v>142</v>
      </c>
      <c r="B26" s="111">
        <v>-10921</v>
      </c>
      <c r="C26" s="111">
        <v>-100</v>
      </c>
      <c r="D26" s="111">
        <v>-103</v>
      </c>
      <c r="E26" s="111">
        <v>-106</v>
      </c>
      <c r="F26" s="111">
        <v>-109</v>
      </c>
      <c r="G26" s="111">
        <v>-111</v>
      </c>
      <c r="H26" s="111">
        <v>-113</v>
      </c>
      <c r="I26" s="111">
        <v>-114</v>
      </c>
      <c r="J26" s="111">
        <v>-120</v>
      </c>
      <c r="K26" s="111">
        <v>-125</v>
      </c>
      <c r="L26" s="111">
        <v>-132</v>
      </c>
      <c r="M26" s="111">
        <v>-163</v>
      </c>
      <c r="N26" s="111">
        <v>105</v>
      </c>
      <c r="O26" s="111">
        <v>-1191</v>
      </c>
      <c r="P26" s="111">
        <v>-1000</v>
      </c>
      <c r="Q26" s="111">
        <f>-B26-O26-P26</f>
        <v>13112</v>
      </c>
      <c r="R26" s="9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13.5" thickBot="1" x14ac:dyDescent="0.25">
      <c r="A27" s="120" t="s">
        <v>143</v>
      </c>
      <c r="B27" s="121"/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9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15.75" thickBot="1" x14ac:dyDescent="0.3">
      <c r="A28" s="122" t="s">
        <v>144</v>
      </c>
      <c r="B28" s="123">
        <f>B24+B26</f>
        <v>-36951</v>
      </c>
      <c r="C28" s="123">
        <f t="shared" ref="C28:Q28" si="5">C23+C26</f>
        <v>-3586.8448500000004</v>
      </c>
      <c r="D28" s="123">
        <f t="shared" si="5"/>
        <v>-2931.5316000000021</v>
      </c>
      <c r="E28" s="123">
        <f t="shared" si="5"/>
        <v>-2256.4689525000063</v>
      </c>
      <c r="F28" s="123">
        <f t="shared" si="5"/>
        <v>-1431.5644255750008</v>
      </c>
      <c r="G28" s="123">
        <f t="shared" si="5"/>
        <v>-714.20776284225133</v>
      </c>
      <c r="H28" s="123">
        <f t="shared" si="5"/>
        <v>24.729599772482516</v>
      </c>
      <c r="I28" s="123">
        <f t="shared" si="5"/>
        <v>599.63724610215274</v>
      </c>
      <c r="J28" s="123">
        <f t="shared" si="5"/>
        <v>1021.569767985216</v>
      </c>
      <c r="K28" s="123">
        <f t="shared" si="5"/>
        <v>1457.3402655247751</v>
      </c>
      <c r="L28" s="123">
        <f t="shared" si="5"/>
        <v>1904.3338779905157</v>
      </c>
      <c r="M28" s="123">
        <f t="shared" si="5"/>
        <v>2340.947298830235</v>
      </c>
      <c r="N28" s="123">
        <f t="shared" si="5"/>
        <v>3090.5891222951414</v>
      </c>
      <c r="O28" s="123">
        <f t="shared" si="5"/>
        <v>5529.3165487998422</v>
      </c>
      <c r="P28" s="123">
        <f t="shared" si="5"/>
        <v>58527.388904367705</v>
      </c>
      <c r="Q28" s="123">
        <f t="shared" si="5"/>
        <v>147007.61038144006</v>
      </c>
      <c r="R28" s="208">
        <v>4007173.3448990178</v>
      </c>
      <c r="S28" s="98"/>
      <c r="T28" s="98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</row>
    <row r="29" spans="1:35" x14ac:dyDescent="0.2">
      <c r="A29" s="124" t="s">
        <v>145</v>
      </c>
      <c r="B29" s="104">
        <v>0</v>
      </c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99"/>
      <c r="S29" s="69"/>
      <c r="T29" s="98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</row>
    <row r="30" spans="1:35" x14ac:dyDescent="0.2">
      <c r="A30" s="125" t="s">
        <v>146</v>
      </c>
      <c r="B30" s="106"/>
      <c r="C30" s="106">
        <v>0</v>
      </c>
      <c r="D30" s="106">
        <v>0</v>
      </c>
      <c r="E30" s="106">
        <v>0</v>
      </c>
      <c r="F30" s="106">
        <v>0</v>
      </c>
      <c r="G30" s="106">
        <v>0</v>
      </c>
      <c r="H30" s="106">
        <v>0</v>
      </c>
      <c r="I30" s="106">
        <v>0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>
        <v>0</v>
      </c>
      <c r="R30" s="9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</row>
    <row r="31" spans="1:35" x14ac:dyDescent="0.2">
      <c r="A31" s="125" t="s">
        <v>147</v>
      </c>
      <c r="B31" s="106"/>
      <c r="C31" s="106">
        <v>0</v>
      </c>
      <c r="D31" s="106">
        <v>0</v>
      </c>
      <c r="E31" s="106">
        <v>0</v>
      </c>
      <c r="F31" s="106">
        <v>0</v>
      </c>
      <c r="G31" s="106">
        <v>0</v>
      </c>
      <c r="H31" s="106">
        <v>0</v>
      </c>
      <c r="I31" s="106">
        <v>0</v>
      </c>
      <c r="J31" s="106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9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</row>
    <row r="32" spans="1:35" ht="13.5" thickBot="1" x14ac:dyDescent="0.25">
      <c r="A32" s="126" t="s">
        <v>148</v>
      </c>
      <c r="B32" s="111"/>
      <c r="C32" s="111">
        <v>0</v>
      </c>
      <c r="D32" s="111">
        <v>0</v>
      </c>
      <c r="E32" s="111">
        <v>0</v>
      </c>
      <c r="F32" s="111">
        <v>0</v>
      </c>
      <c r="G32" s="111">
        <v>0</v>
      </c>
      <c r="H32" s="111">
        <v>0</v>
      </c>
      <c r="I32" s="111">
        <v>0</v>
      </c>
      <c r="J32" s="111">
        <v>0</v>
      </c>
      <c r="K32" s="111">
        <v>0</v>
      </c>
      <c r="L32" s="111">
        <v>0</v>
      </c>
      <c r="M32" s="111">
        <v>0</v>
      </c>
      <c r="N32" s="111">
        <v>0</v>
      </c>
      <c r="O32" s="106">
        <v>0</v>
      </c>
      <c r="P32" s="106">
        <v>0</v>
      </c>
      <c r="Q32" s="106">
        <v>0</v>
      </c>
      <c r="R32" s="9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</row>
    <row r="33" spans="1:35" ht="15.75" thickBot="1" x14ac:dyDescent="0.3">
      <c r="A33" s="127" t="s">
        <v>149</v>
      </c>
      <c r="B33" s="209">
        <f>B28+B29-B30-B31+B32</f>
        <v>-36951</v>
      </c>
      <c r="C33" s="128">
        <f t="shared" ref="C33:Q33" si="6">C28+C29-C30-C31-C32</f>
        <v>-3586.8448500000004</v>
      </c>
      <c r="D33" s="128">
        <f t="shared" si="6"/>
        <v>-2931.5316000000021</v>
      </c>
      <c r="E33" s="128">
        <f t="shared" si="6"/>
        <v>-2256.4689525000063</v>
      </c>
      <c r="F33" s="128">
        <f t="shared" si="6"/>
        <v>-1431.5644255750008</v>
      </c>
      <c r="G33" s="128">
        <f t="shared" si="6"/>
        <v>-714.20776284225133</v>
      </c>
      <c r="H33" s="128">
        <f t="shared" si="6"/>
        <v>24.729599772482516</v>
      </c>
      <c r="I33" s="128">
        <f t="shared" si="6"/>
        <v>599.63724610215274</v>
      </c>
      <c r="J33" s="128">
        <f t="shared" si="6"/>
        <v>1021.569767985216</v>
      </c>
      <c r="K33" s="128">
        <f t="shared" si="6"/>
        <v>1457.3402655247751</v>
      </c>
      <c r="L33" s="128">
        <f t="shared" si="6"/>
        <v>1904.3338779905157</v>
      </c>
      <c r="M33" s="128">
        <f t="shared" si="6"/>
        <v>2340.947298830235</v>
      </c>
      <c r="N33" s="128">
        <f t="shared" si="6"/>
        <v>3090.5891222951414</v>
      </c>
      <c r="O33" s="128">
        <f t="shared" si="6"/>
        <v>5529.3165487998422</v>
      </c>
      <c r="P33" s="128">
        <f t="shared" si="6"/>
        <v>58527.388904367705</v>
      </c>
      <c r="Q33" s="128">
        <f t="shared" si="6"/>
        <v>147007.61038144006</v>
      </c>
      <c r="R33" s="208">
        <v>4007173.3448990178</v>
      </c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</row>
    <row r="34" spans="1:35" ht="15" x14ac:dyDescent="0.25">
      <c r="A34" s="130" t="s">
        <v>225</v>
      </c>
      <c r="B34" s="201">
        <f>'8.9'!C22</f>
        <v>0.13658431372549029</v>
      </c>
      <c r="C34" s="69"/>
      <c r="D34" s="214"/>
      <c r="E34" s="98"/>
      <c r="F34" s="98"/>
      <c r="G34" s="98"/>
      <c r="H34" s="98"/>
      <c r="I34" s="98"/>
      <c r="J34" s="98"/>
      <c r="K34" s="98"/>
      <c r="L34" s="98"/>
      <c r="M34" s="135"/>
      <c r="N34" s="139"/>
      <c r="O34" s="201">
        <v>0.2</v>
      </c>
      <c r="P34" s="139"/>
      <c r="Q34" s="139"/>
      <c r="R34" s="139"/>
      <c r="S34" s="137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</row>
    <row r="35" spans="1:35" ht="15" x14ac:dyDescent="0.25">
      <c r="A35" s="210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</row>
    <row r="36" spans="1:35" ht="15" x14ac:dyDescent="0.25">
      <c r="A36" s="210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</row>
    <row r="37" spans="1:35" ht="15" x14ac:dyDescent="0.25">
      <c r="A37" s="210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</row>
    <row r="38" spans="1:35" x14ac:dyDescent="0.2">
      <c r="A38" s="69"/>
      <c r="B38" s="69"/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8"/>
      <c r="P38" s="69"/>
      <c r="Q38" s="98"/>
      <c r="R38" s="9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</row>
    <row r="39" spans="1:35" ht="15" x14ac:dyDescent="0.25">
      <c r="A39" s="130" t="s">
        <v>150</v>
      </c>
      <c r="B39" s="131">
        <f>+NPV('[1]Determinación COK y WACC'!F40,O28:Q28)+B28</f>
        <v>113343.09390539178</v>
      </c>
      <c r="C39" s="69"/>
      <c r="D39" s="101"/>
      <c r="E39" s="101"/>
      <c r="F39" s="101"/>
      <c r="G39" s="101"/>
      <c r="H39" s="98"/>
      <c r="I39" s="98"/>
      <c r="J39" s="98"/>
      <c r="K39" s="98"/>
      <c r="L39" s="98"/>
      <c r="M39" s="132"/>
      <c r="N39" s="133"/>
      <c r="O39" s="131">
        <f>+NPV(O34,O28:Q28)+B28</f>
        <v>93374.632463514514</v>
      </c>
      <c r="P39" s="133"/>
      <c r="Q39" s="133"/>
      <c r="R39" s="133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</row>
    <row r="40" spans="1:35" ht="15" x14ac:dyDescent="0.25">
      <c r="A40" s="130" t="s">
        <v>151</v>
      </c>
      <c r="B40" s="134">
        <f>IRR(N40:R40)</f>
        <v>2.8367726689109718</v>
      </c>
      <c r="C40" s="69"/>
      <c r="D40" s="101"/>
      <c r="E40" s="101"/>
      <c r="F40" s="101"/>
      <c r="G40" s="101"/>
      <c r="H40" s="98"/>
      <c r="I40" s="98"/>
      <c r="J40" s="98"/>
      <c r="K40" s="98"/>
      <c r="L40" s="98"/>
      <c r="M40" s="135"/>
      <c r="N40" s="136">
        <v>-26030</v>
      </c>
      <c r="O40" s="136">
        <v>3465.28180647922</v>
      </c>
      <c r="P40" s="136">
        <v>62778.848246688372</v>
      </c>
      <c r="Q40" s="136">
        <v>133893.8226814401</v>
      </c>
      <c r="R40" s="136">
        <v>4007173.3448990178</v>
      </c>
      <c r="S40" s="137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</row>
    <row r="41" spans="1:35" ht="15" x14ac:dyDescent="0.25">
      <c r="A41" s="130" t="s">
        <v>150</v>
      </c>
      <c r="B41" s="131">
        <f>SUM(C33:G33)</f>
        <v>-10920.617590917262</v>
      </c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</row>
    <row r="42" spans="1:35" ht="15" x14ac:dyDescent="0.25">
      <c r="A42" s="69"/>
      <c r="B42" s="69"/>
      <c r="C42" s="69"/>
      <c r="D42" s="214"/>
      <c r="E42" s="98"/>
      <c r="F42" s="98"/>
      <c r="G42" s="98"/>
      <c r="H42" s="98"/>
      <c r="I42" s="98"/>
      <c r="J42" s="98"/>
      <c r="K42" s="98"/>
      <c r="L42" s="98"/>
      <c r="M42" s="135"/>
      <c r="N42" s="139"/>
      <c r="O42" s="139"/>
      <c r="P42" s="139"/>
      <c r="Q42" s="139"/>
      <c r="R42" s="139"/>
      <c r="S42" s="137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</row>
    <row r="43" spans="1:35" ht="15" x14ac:dyDescent="0.25">
      <c r="A43" s="130" t="s">
        <v>152</v>
      </c>
      <c r="B43" s="131">
        <f>NPV('[1]Determinación COK y WACC'!C33,O33:R33)+B33</f>
        <v>2514560.5840764903</v>
      </c>
      <c r="C43" s="69"/>
      <c r="D43" s="91"/>
      <c r="E43" s="69"/>
      <c r="F43" s="98"/>
      <c r="G43" s="140"/>
      <c r="H43" s="98"/>
      <c r="I43" s="98"/>
      <c r="J43" s="98"/>
      <c r="K43" s="98"/>
      <c r="L43" s="98"/>
      <c r="M43" s="135"/>
      <c r="N43" s="139"/>
      <c r="O43" s="139"/>
      <c r="P43" s="139"/>
      <c r="Q43" s="139"/>
      <c r="R43" s="139"/>
      <c r="S43" s="137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</row>
    <row r="44" spans="1:35" ht="15" x14ac:dyDescent="0.25">
      <c r="A44" s="130" t="s">
        <v>153</v>
      </c>
      <c r="B44" s="134">
        <f>IRR(N44:R44)</f>
        <v>2.8367726689109718</v>
      </c>
      <c r="C44" s="141"/>
      <c r="D44" s="91"/>
      <c r="E44" s="69"/>
      <c r="F44" s="98"/>
      <c r="G44" s="142"/>
      <c r="H44" s="98"/>
      <c r="I44" s="98"/>
      <c r="J44" s="98"/>
      <c r="K44" s="98"/>
      <c r="L44" s="98"/>
      <c r="M44" s="135"/>
      <c r="N44" s="136">
        <v>-26030</v>
      </c>
      <c r="O44" s="136">
        <v>3465.28180647922</v>
      </c>
      <c r="P44" s="136">
        <v>62778.848246688372</v>
      </c>
      <c r="Q44" s="136">
        <v>133893.8226814401</v>
      </c>
      <c r="R44" s="136">
        <v>4007173.3448990178</v>
      </c>
      <c r="S44" s="137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</row>
    <row r="45" spans="1:35" ht="15" x14ac:dyDescent="0.25">
      <c r="A45" s="91"/>
      <c r="B45" s="142"/>
      <c r="C45" s="141"/>
      <c r="D45" s="69"/>
      <c r="E45" s="98"/>
      <c r="F45" s="98"/>
      <c r="G45" s="98"/>
      <c r="H45" s="98"/>
      <c r="I45" s="98"/>
      <c r="J45" s="98"/>
      <c r="K45" s="98"/>
      <c r="L45" s="98"/>
      <c r="M45" s="143"/>
      <c r="N45" s="144"/>
      <c r="O45" s="144"/>
      <c r="P45" s="144"/>
      <c r="Q45" s="144"/>
      <c r="R45" s="144"/>
      <c r="S45" s="137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</row>
    <row r="46" spans="1:35" ht="15" x14ac:dyDescent="0.25">
      <c r="A46" s="91"/>
      <c r="B46" s="142"/>
      <c r="C46" s="141"/>
      <c r="D46" s="69"/>
      <c r="E46" s="98"/>
      <c r="F46" s="98"/>
      <c r="G46" s="98"/>
      <c r="H46" s="98"/>
      <c r="I46" s="98"/>
      <c r="J46" s="98"/>
      <c r="K46" s="98"/>
      <c r="L46" s="98"/>
      <c r="M46" s="98"/>
      <c r="N46" s="99"/>
      <c r="O46" s="99"/>
      <c r="P46" s="99"/>
      <c r="Q46" s="99"/>
      <c r="R46" s="9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</row>
    <row r="47" spans="1:35" ht="15" x14ac:dyDescent="0.25">
      <c r="A47" s="91"/>
      <c r="B47" s="142"/>
      <c r="C47" s="141"/>
      <c r="D47" s="69"/>
      <c r="E47" s="98"/>
      <c r="F47" s="98"/>
      <c r="G47" s="98"/>
      <c r="H47" s="98"/>
      <c r="I47" s="98"/>
      <c r="J47" s="98"/>
      <c r="K47" s="98"/>
      <c r="L47" s="98"/>
      <c r="M47" s="98"/>
      <c r="N47" s="99"/>
      <c r="O47" s="99"/>
      <c r="P47" s="99"/>
      <c r="Q47" s="99"/>
      <c r="R47" s="9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</row>
    <row r="48" spans="1:35" ht="15" x14ac:dyDescent="0.25">
      <c r="A48" s="91"/>
      <c r="B48" s="142"/>
      <c r="C48" s="141"/>
      <c r="D48" s="69"/>
      <c r="E48" s="98"/>
      <c r="F48" s="98"/>
      <c r="G48" s="98"/>
      <c r="H48" s="98"/>
      <c r="I48" s="98"/>
      <c r="J48" s="98"/>
      <c r="K48" s="98"/>
      <c r="L48" s="98"/>
      <c r="M48" s="98"/>
      <c r="N48" s="99"/>
      <c r="O48" s="99"/>
      <c r="P48" s="99"/>
      <c r="Q48" s="99"/>
      <c r="R48" s="9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</row>
    <row r="49" spans="1:35" ht="15" x14ac:dyDescent="0.25">
      <c r="A49" s="91"/>
      <c r="B49" s="142"/>
      <c r="C49" s="141"/>
      <c r="D49" s="69"/>
      <c r="E49" s="98"/>
      <c r="F49" s="98"/>
      <c r="G49" s="98"/>
      <c r="H49" s="98"/>
      <c r="I49" s="98"/>
      <c r="J49" s="98"/>
      <c r="K49" s="98"/>
      <c r="L49" s="98"/>
      <c r="M49" s="98"/>
      <c r="N49" s="99"/>
      <c r="O49" s="99"/>
      <c r="P49" s="99"/>
      <c r="Q49" s="99"/>
      <c r="R49" s="9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</row>
    <row r="50" spans="1:35" x14ac:dyDescent="0.2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</row>
    <row r="51" spans="1:35" x14ac:dyDescent="0.2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</row>
    <row r="52" spans="1:35" x14ac:dyDescent="0.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</row>
    <row r="53" spans="1:35" x14ac:dyDescent="0.2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</row>
    <row r="54" spans="1:35" x14ac:dyDescent="0.2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</row>
    <row r="55" spans="1:35" x14ac:dyDescent="0.2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</row>
    <row r="56" spans="1:35" x14ac:dyDescent="0.2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</row>
    <row r="57" spans="1:35" x14ac:dyDescent="0.2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</row>
    <row r="58" spans="1:35" x14ac:dyDescent="0.2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</row>
    <row r="59" spans="1:35" x14ac:dyDescent="0.2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</row>
    <row r="60" spans="1:35" x14ac:dyDescent="0.2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</row>
    <row r="61" spans="1:35" x14ac:dyDescent="0.2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</row>
    <row r="62" spans="1:35" x14ac:dyDescent="0.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</row>
    <row r="63" spans="1:35" x14ac:dyDescent="0.2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</row>
    <row r="64" spans="1:35" x14ac:dyDescent="0.2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</row>
    <row r="65" spans="1:35" x14ac:dyDescent="0.2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</row>
    <row r="66" spans="1:35" x14ac:dyDescent="0.2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</row>
    <row r="67" spans="1:35" x14ac:dyDescent="0.2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</row>
    <row r="68" spans="1:35" x14ac:dyDescent="0.2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</row>
    <row r="69" spans="1:35" x14ac:dyDescent="0.2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</row>
    <row r="70" spans="1:35" x14ac:dyDescent="0.2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</row>
    <row r="71" spans="1:35" x14ac:dyDescent="0.2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</row>
    <row r="72" spans="1:35" x14ac:dyDescent="0.2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</row>
    <row r="73" spans="1:35" x14ac:dyDescent="0.2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</row>
    <row r="74" spans="1:35" x14ac:dyDescent="0.2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</row>
    <row r="75" spans="1:35" x14ac:dyDescent="0.2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</row>
    <row r="76" spans="1:35" x14ac:dyDescent="0.2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</row>
    <row r="77" spans="1:35" x14ac:dyDescent="0.2"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</row>
    <row r="78" spans="1:35" x14ac:dyDescent="0.2"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</row>
    <row r="79" spans="1:35" x14ac:dyDescent="0.2"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</row>
    <row r="80" spans="1:35" x14ac:dyDescent="0.2"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</row>
    <row r="81" spans="2:18" x14ac:dyDescent="0.2"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</row>
    <row r="82" spans="2:18" x14ac:dyDescent="0.2"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</row>
    <row r="83" spans="2:18" x14ac:dyDescent="0.2"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</row>
    <row r="84" spans="2:18" x14ac:dyDescent="0.2"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</row>
    <row r="85" spans="2:18" x14ac:dyDescent="0.2"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</row>
    <row r="86" spans="2:18" x14ac:dyDescent="0.2"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</row>
    <row r="87" spans="2:18" x14ac:dyDescent="0.2"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</row>
    <row r="88" spans="2:18" x14ac:dyDescent="0.2"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</row>
    <row r="89" spans="2:18" x14ac:dyDescent="0.2"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</row>
    <row r="90" spans="2:18" x14ac:dyDescent="0.2"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</row>
    <row r="91" spans="2:18" x14ac:dyDescent="0.2"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</row>
    <row r="92" spans="2:18" x14ac:dyDescent="0.2"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</row>
    <row r="93" spans="2:18" x14ac:dyDescent="0.2"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</row>
    <row r="94" spans="2:18" x14ac:dyDescent="0.2"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</row>
    <row r="95" spans="2:18" x14ac:dyDescent="0.2"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</row>
    <row r="96" spans="2:18" x14ac:dyDescent="0.2"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</row>
    <row r="97" spans="1:18" x14ac:dyDescent="0.2"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</row>
    <row r="98" spans="1:18" x14ac:dyDescent="0.2"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</row>
    <row r="99" spans="1:18" x14ac:dyDescent="0.2"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</row>
    <row r="100" spans="1:18" x14ac:dyDescent="0.2"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</row>
    <row r="101" spans="1:18" x14ac:dyDescent="0.2"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</row>
    <row r="102" spans="1:18" x14ac:dyDescent="0.2">
      <c r="A102" s="92"/>
    </row>
    <row r="103" spans="1:18" x14ac:dyDescent="0.2">
      <c r="A103" s="92"/>
    </row>
    <row r="104" spans="1:18" x14ac:dyDescent="0.2">
      <c r="A104" s="92"/>
    </row>
    <row r="105" spans="1:18" x14ac:dyDescent="0.2">
      <c r="A105" s="92"/>
    </row>
    <row r="106" spans="1:18" x14ac:dyDescent="0.2">
      <c r="A106" s="92"/>
    </row>
    <row r="107" spans="1:18" x14ac:dyDescent="0.2">
      <c r="A107" s="92"/>
    </row>
    <row r="108" spans="1:18" x14ac:dyDescent="0.2">
      <c r="A108" s="92"/>
    </row>
    <row r="109" spans="1:18" x14ac:dyDescent="0.2">
      <c r="A109" s="92"/>
    </row>
    <row r="110" spans="1:18" x14ac:dyDescent="0.2">
      <c r="A110" s="92"/>
    </row>
    <row r="111" spans="1:18" x14ac:dyDescent="0.2">
      <c r="A111" s="92"/>
    </row>
    <row r="112" spans="1:18" x14ac:dyDescent="0.2">
      <c r="A112" s="92"/>
    </row>
    <row r="113" spans="1:1" x14ac:dyDescent="0.2">
      <c r="A113" s="92"/>
    </row>
    <row r="114" spans="1:1" x14ac:dyDescent="0.2">
      <c r="A114" s="92"/>
    </row>
    <row r="115" spans="1:1" x14ac:dyDescent="0.2">
      <c r="A115" s="92"/>
    </row>
    <row r="116" spans="1:1" x14ac:dyDescent="0.2">
      <c r="A116" s="92"/>
    </row>
    <row r="117" spans="1:1" x14ac:dyDescent="0.2">
      <c r="A117" s="92"/>
    </row>
    <row r="118" spans="1:1" x14ac:dyDescent="0.2">
      <c r="A118" s="92"/>
    </row>
    <row r="119" spans="1:1" x14ac:dyDescent="0.2">
      <c r="A119" s="92"/>
    </row>
    <row r="120" spans="1:1" x14ac:dyDescent="0.2">
      <c r="A120" s="92"/>
    </row>
    <row r="121" spans="1:1" x14ac:dyDescent="0.2">
      <c r="A121" s="92"/>
    </row>
    <row r="122" spans="1:1" x14ac:dyDescent="0.2">
      <c r="A122" s="92"/>
    </row>
    <row r="123" spans="1:1" x14ac:dyDescent="0.2">
      <c r="A123" s="92"/>
    </row>
    <row r="124" spans="1:1" x14ac:dyDescent="0.2">
      <c r="A124" s="92"/>
    </row>
    <row r="125" spans="1:1" x14ac:dyDescent="0.2">
      <c r="A125" s="92"/>
    </row>
    <row r="126" spans="1:1" x14ac:dyDescent="0.2">
      <c r="A126" s="92"/>
    </row>
    <row r="127" spans="1:1" x14ac:dyDescent="0.2">
      <c r="A127" s="92"/>
    </row>
    <row r="128" spans="1:1" x14ac:dyDescent="0.2">
      <c r="A128" s="92"/>
    </row>
    <row r="129" spans="1:1" x14ac:dyDescent="0.2">
      <c r="A129" s="92"/>
    </row>
    <row r="130" spans="1:1" x14ac:dyDescent="0.2">
      <c r="A130" s="92"/>
    </row>
    <row r="131" spans="1:1" x14ac:dyDescent="0.2">
      <c r="A131" s="92"/>
    </row>
    <row r="132" spans="1:1" x14ac:dyDescent="0.2">
      <c r="A132" s="92"/>
    </row>
    <row r="133" spans="1:1" x14ac:dyDescent="0.2">
      <c r="A133" s="92"/>
    </row>
    <row r="134" spans="1:1" x14ac:dyDescent="0.2">
      <c r="A134" s="92"/>
    </row>
    <row r="135" spans="1:1" x14ac:dyDescent="0.2">
      <c r="A135" s="92"/>
    </row>
    <row r="136" spans="1:1" x14ac:dyDescent="0.2">
      <c r="A136" s="92"/>
    </row>
    <row r="137" spans="1:1" x14ac:dyDescent="0.2">
      <c r="A137" s="92"/>
    </row>
    <row r="138" spans="1:1" x14ac:dyDescent="0.2">
      <c r="A138" s="92"/>
    </row>
    <row r="139" spans="1:1" x14ac:dyDescent="0.2">
      <c r="A139" s="92"/>
    </row>
    <row r="140" spans="1:1" x14ac:dyDescent="0.2">
      <c r="A140" s="92"/>
    </row>
    <row r="141" spans="1:1" x14ac:dyDescent="0.2">
      <c r="A141" s="92"/>
    </row>
    <row r="142" spans="1:1" x14ac:dyDescent="0.2">
      <c r="A142" s="92"/>
    </row>
    <row r="143" spans="1:1" x14ac:dyDescent="0.2">
      <c r="A143" s="92"/>
    </row>
    <row r="144" spans="1:1" x14ac:dyDescent="0.2">
      <c r="A144" s="92"/>
    </row>
    <row r="145" spans="1:1" x14ac:dyDescent="0.2">
      <c r="A145" s="92"/>
    </row>
    <row r="146" spans="1:1" x14ac:dyDescent="0.2">
      <c r="A146" s="92"/>
    </row>
    <row r="147" spans="1:1" x14ac:dyDescent="0.2">
      <c r="A147" s="92"/>
    </row>
    <row r="148" spans="1:1" x14ac:dyDescent="0.2">
      <c r="A148" s="92"/>
    </row>
    <row r="149" spans="1:1" x14ac:dyDescent="0.2">
      <c r="A149" s="92"/>
    </row>
    <row r="150" spans="1:1" x14ac:dyDescent="0.2">
      <c r="A150" s="92"/>
    </row>
    <row r="151" spans="1:1" x14ac:dyDescent="0.2">
      <c r="A151" s="92"/>
    </row>
    <row r="152" spans="1:1" x14ac:dyDescent="0.2">
      <c r="A152" s="92"/>
    </row>
    <row r="153" spans="1:1" x14ac:dyDescent="0.2">
      <c r="A153" s="92"/>
    </row>
    <row r="154" spans="1:1" x14ac:dyDescent="0.2">
      <c r="A154" s="92"/>
    </row>
    <row r="155" spans="1:1" x14ac:dyDescent="0.2">
      <c r="A155" s="92"/>
    </row>
    <row r="156" spans="1:1" x14ac:dyDescent="0.2">
      <c r="A156" s="92"/>
    </row>
    <row r="157" spans="1:1" x14ac:dyDescent="0.2">
      <c r="A157" s="92"/>
    </row>
    <row r="158" spans="1:1" x14ac:dyDescent="0.2">
      <c r="A158" s="92"/>
    </row>
    <row r="159" spans="1:1" x14ac:dyDescent="0.2">
      <c r="A159" s="92"/>
    </row>
    <row r="160" spans="1:1" x14ac:dyDescent="0.2">
      <c r="A160" s="92"/>
    </row>
    <row r="161" spans="1:1" x14ac:dyDescent="0.2">
      <c r="A161" s="92"/>
    </row>
    <row r="162" spans="1:1" x14ac:dyDescent="0.2">
      <c r="A162" s="92"/>
    </row>
    <row r="163" spans="1:1" x14ac:dyDescent="0.2">
      <c r="A163" s="92"/>
    </row>
    <row r="164" spans="1:1" x14ac:dyDescent="0.2">
      <c r="A164" s="92"/>
    </row>
    <row r="165" spans="1:1" x14ac:dyDescent="0.2">
      <c r="A165" s="92"/>
    </row>
    <row r="166" spans="1:1" x14ac:dyDescent="0.2">
      <c r="A166" s="92"/>
    </row>
    <row r="167" spans="1:1" x14ac:dyDescent="0.2">
      <c r="A167" s="92"/>
    </row>
    <row r="168" spans="1:1" x14ac:dyDescent="0.2">
      <c r="A168" s="92"/>
    </row>
    <row r="169" spans="1:1" x14ac:dyDescent="0.2">
      <c r="A169" s="92"/>
    </row>
    <row r="170" spans="1:1" x14ac:dyDescent="0.2">
      <c r="A170" s="92"/>
    </row>
    <row r="171" spans="1:1" x14ac:dyDescent="0.2">
      <c r="A171" s="92"/>
    </row>
    <row r="172" spans="1:1" x14ac:dyDescent="0.2">
      <c r="A172" s="92"/>
    </row>
  </sheetData>
  <conditionalFormatting sqref="C33:Q33 C35:Q37 C41:Q41">
    <cfRule type="cellIs" dxfId="1" priority="2" operator="lessThan">
      <formula>0</formula>
    </cfRule>
  </conditionalFormatting>
  <conditionalFormatting sqref="E40:G40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3"/>
  <sheetViews>
    <sheetView showGridLines="0" workbookViewId="0">
      <selection activeCell="D9" sqref="D9:G9"/>
    </sheetView>
  </sheetViews>
  <sheetFormatPr baseColWidth="10" defaultRowHeight="12.75" x14ac:dyDescent="0.2"/>
  <cols>
    <col min="3" max="3" width="49" bestFit="1" customWidth="1"/>
  </cols>
  <sheetData>
    <row r="3" spans="3:7" x14ac:dyDescent="0.2">
      <c r="C3" s="216" t="s">
        <v>129</v>
      </c>
      <c r="D3" s="217">
        <v>0.05</v>
      </c>
    </row>
    <row r="4" spans="3:7" x14ac:dyDescent="0.2">
      <c r="C4" s="216" t="s">
        <v>250</v>
      </c>
      <c r="D4" s="217">
        <v>-0.02</v>
      </c>
    </row>
    <row r="5" spans="3:7" x14ac:dyDescent="0.2">
      <c r="C5" s="216" t="s">
        <v>251</v>
      </c>
      <c r="D5" s="217">
        <v>-0.02</v>
      </c>
    </row>
    <row r="7" spans="3:7" ht="19.5" thickBot="1" x14ac:dyDescent="0.35">
      <c r="C7" s="37" t="s">
        <v>127</v>
      </c>
      <c r="D7" s="69"/>
    </row>
    <row r="8" spans="3:7" ht="15.75" thickBot="1" x14ac:dyDescent="0.3">
      <c r="C8" s="102" t="s">
        <v>128</v>
      </c>
      <c r="D8" s="53" t="s">
        <v>75</v>
      </c>
      <c r="E8" s="60" t="s">
        <v>88</v>
      </c>
      <c r="F8" s="60" t="s">
        <v>89</v>
      </c>
      <c r="G8" s="60" t="s">
        <v>90</v>
      </c>
    </row>
    <row r="9" spans="3:7" ht="15.75" thickBot="1" x14ac:dyDescent="0.3">
      <c r="C9" s="122" t="s">
        <v>144</v>
      </c>
      <c r="D9" s="123">
        <v>-36951</v>
      </c>
      <c r="E9" s="123">
        <v>36045</v>
      </c>
      <c r="F9" s="123">
        <v>84307</v>
      </c>
      <c r="G9" s="123">
        <v>174954</v>
      </c>
    </row>
    <row r="10" spans="3:7" ht="15" x14ac:dyDescent="0.25">
      <c r="C10" s="130" t="s">
        <v>225</v>
      </c>
      <c r="D10" s="201">
        <v>0.1366</v>
      </c>
      <c r="E10" s="201">
        <v>0.2</v>
      </c>
    </row>
    <row r="11" spans="3:7" ht="15" x14ac:dyDescent="0.25">
      <c r="C11" s="130" t="s">
        <v>150</v>
      </c>
      <c r="D11" s="131">
        <f>NPV(13.66%,E9:G9)+D9</f>
        <v>179174.07947795771</v>
      </c>
      <c r="E11" s="131">
        <f>NPV(20%,E9:G9)+D9</f>
        <v>152879.55555555559</v>
      </c>
    </row>
    <row r="12" spans="3:7" ht="15" x14ac:dyDescent="0.25">
      <c r="C12" s="130" t="s">
        <v>226</v>
      </c>
      <c r="D12" s="201">
        <f>IRR(D9:G9)</f>
        <v>1.5753208002739454</v>
      </c>
      <c r="E12" s="201">
        <f>IRR(D9:G9)</f>
        <v>1.5753208002739454</v>
      </c>
    </row>
    <row r="13" spans="3:7" ht="15" x14ac:dyDescent="0.25">
      <c r="C13" s="130" t="s">
        <v>227</v>
      </c>
      <c r="D13" s="202">
        <f>(D11-D9)/-D9</f>
        <v>5.8489642899504126</v>
      </c>
      <c r="E13" s="202">
        <f>(E11-D9)/-D9</f>
        <v>5.1373590851548157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43"/>
  <sheetViews>
    <sheetView showGridLines="0" topLeftCell="A18" workbookViewId="0">
      <selection activeCell="A2" sqref="A2:G35"/>
    </sheetView>
  </sheetViews>
  <sheetFormatPr baseColWidth="10" defaultRowHeight="12.75" x14ac:dyDescent="0.2"/>
  <cols>
    <col min="2" max="2" width="27.6640625" customWidth="1"/>
    <col min="3" max="3" width="20.83203125" bestFit="1" customWidth="1"/>
    <col min="4" max="4" width="14.33203125" bestFit="1" customWidth="1"/>
    <col min="5" max="5" width="14.6640625" bestFit="1" customWidth="1"/>
    <col min="6" max="6" width="13.6640625" bestFit="1" customWidth="1"/>
  </cols>
  <sheetData>
    <row r="3" spans="2:6" ht="18.75" x14ac:dyDescent="0.3">
      <c r="B3" s="272" t="s">
        <v>252</v>
      </c>
      <c r="C3" s="272"/>
      <c r="D3" s="272"/>
      <c r="E3" s="272"/>
      <c r="F3" s="272"/>
    </row>
    <row r="4" spans="2:6" x14ac:dyDescent="0.2">
      <c r="B4" s="223"/>
      <c r="C4" s="223"/>
      <c r="D4" s="223"/>
      <c r="E4" s="223"/>
      <c r="F4" s="223"/>
    </row>
    <row r="5" spans="2:6" x14ac:dyDescent="0.2">
      <c r="B5" s="223" t="s">
        <v>253</v>
      </c>
      <c r="C5" s="223"/>
      <c r="D5" s="223"/>
      <c r="E5" s="223"/>
      <c r="F5" s="223"/>
    </row>
    <row r="6" spans="2:6" x14ac:dyDescent="0.2">
      <c r="B6" s="223"/>
      <c r="C6" s="223"/>
      <c r="D6" s="223"/>
      <c r="E6" s="223"/>
      <c r="F6" s="223"/>
    </row>
    <row r="7" spans="2:6" ht="18.75" x14ac:dyDescent="0.3">
      <c r="B7" s="37" t="s">
        <v>254</v>
      </c>
      <c r="C7" s="37" t="s">
        <v>255</v>
      </c>
      <c r="D7" s="37" t="s">
        <v>110</v>
      </c>
      <c r="E7" s="37" t="s">
        <v>111</v>
      </c>
      <c r="F7" s="37" t="s">
        <v>112</v>
      </c>
    </row>
    <row r="8" spans="2:6" x14ac:dyDescent="0.2">
      <c r="B8" s="224" t="s">
        <v>256</v>
      </c>
      <c r="C8" s="225">
        <v>0.15</v>
      </c>
      <c r="D8" s="226">
        <f>1-D9-D10</f>
        <v>9.9999999999999978E-2</v>
      </c>
      <c r="E8" s="226">
        <f>D8*(1+10%)</f>
        <v>0.10999999999999999</v>
      </c>
      <c r="F8" s="226">
        <f>E8*(1+10%)</f>
        <v>0.121</v>
      </c>
    </row>
    <row r="9" spans="2:6" x14ac:dyDescent="0.2">
      <c r="B9" s="224" t="s">
        <v>257</v>
      </c>
      <c r="C9" s="227">
        <v>0.36</v>
      </c>
      <c r="D9" s="226">
        <v>0.65</v>
      </c>
      <c r="E9" s="226">
        <f>D9</f>
        <v>0.65</v>
      </c>
      <c r="F9" s="226">
        <f>E9</f>
        <v>0.65</v>
      </c>
    </row>
    <row r="10" spans="2:6" x14ac:dyDescent="0.2">
      <c r="B10" s="224" t="s">
        <v>258</v>
      </c>
      <c r="C10" s="225">
        <f>C9*1.25</f>
        <v>0.44999999999999996</v>
      </c>
      <c r="D10" s="226">
        <v>0.25</v>
      </c>
      <c r="E10" s="226">
        <f t="shared" ref="E10:F10" si="0">1-E9-E8</f>
        <v>0.24</v>
      </c>
      <c r="F10" s="226">
        <f t="shared" si="0"/>
        <v>0.22899999999999998</v>
      </c>
    </row>
    <row r="11" spans="2:6" ht="15" x14ac:dyDescent="0.25">
      <c r="B11" s="223" t="s">
        <v>259</v>
      </c>
      <c r="C11" s="228">
        <v>0</v>
      </c>
      <c r="D11" s="253">
        <v>1</v>
      </c>
      <c r="E11" s="253">
        <v>2</v>
      </c>
      <c r="F11" s="253">
        <v>3</v>
      </c>
    </row>
    <row r="12" spans="2:6" x14ac:dyDescent="0.2">
      <c r="B12" s="223"/>
      <c r="C12" s="223"/>
      <c r="D12" s="223"/>
      <c r="E12" s="223"/>
      <c r="F12" s="223"/>
    </row>
    <row r="13" spans="2:6" ht="18.75" x14ac:dyDescent="0.3">
      <c r="B13" s="37" t="s">
        <v>254</v>
      </c>
      <c r="C13" s="37" t="s">
        <v>255</v>
      </c>
      <c r="D13" s="37" t="s">
        <v>110</v>
      </c>
      <c r="E13" s="37" t="s">
        <v>111</v>
      </c>
      <c r="F13" s="37" t="s">
        <v>112</v>
      </c>
    </row>
    <row r="14" spans="2:6" x14ac:dyDescent="0.2">
      <c r="B14" s="229" t="s">
        <v>260</v>
      </c>
      <c r="C14" s="230"/>
      <c r="D14" s="231">
        <v>-19661.358138082396</v>
      </c>
      <c r="E14" s="231">
        <v>14798.040107576422</v>
      </c>
      <c r="F14" s="231">
        <v>22790.262709258492</v>
      </c>
    </row>
    <row r="15" spans="2:6" x14ac:dyDescent="0.2">
      <c r="B15" s="232" t="s">
        <v>261</v>
      </c>
      <c r="C15" s="233"/>
      <c r="D15" s="218">
        <f>D8</f>
        <v>9.9999999999999978E-2</v>
      </c>
      <c r="E15" s="218">
        <f t="shared" ref="E15:F15" si="1">E8</f>
        <v>0.10999999999999999</v>
      </c>
      <c r="F15" s="218">
        <f t="shared" si="1"/>
        <v>0.121</v>
      </c>
    </row>
    <row r="16" spans="2:6" x14ac:dyDescent="0.2">
      <c r="B16" s="232" t="s">
        <v>262</v>
      </c>
      <c r="C16" s="233"/>
      <c r="D16" s="234">
        <f t="shared" ref="D16:F16" si="2">+D14*D15</f>
        <v>-1966.1358138082392</v>
      </c>
      <c r="E16" s="234">
        <f t="shared" si="2"/>
        <v>1627.7844118334062</v>
      </c>
      <c r="F16" s="234">
        <f t="shared" si="2"/>
        <v>2757.6217878202774</v>
      </c>
    </row>
    <row r="17" spans="2:6" x14ac:dyDescent="0.2">
      <c r="B17" s="229" t="s">
        <v>263</v>
      </c>
      <c r="C17" s="230">
        <v>-36951</v>
      </c>
      <c r="D17" s="231">
        <v>5529</v>
      </c>
      <c r="E17" s="231">
        <v>58527</v>
      </c>
      <c r="F17" s="231">
        <v>147008</v>
      </c>
    </row>
    <row r="18" spans="2:6" x14ac:dyDescent="0.2">
      <c r="B18" s="232" t="s">
        <v>261</v>
      </c>
      <c r="C18" s="233"/>
      <c r="D18" s="218">
        <f>D9</f>
        <v>0.65</v>
      </c>
      <c r="E18" s="218">
        <f t="shared" ref="E18:F18" si="3">E9</f>
        <v>0.65</v>
      </c>
      <c r="F18" s="218">
        <f t="shared" si="3"/>
        <v>0.65</v>
      </c>
    </row>
    <row r="19" spans="2:6" x14ac:dyDescent="0.2">
      <c r="B19" s="232" t="s">
        <v>264</v>
      </c>
      <c r="C19" s="233"/>
      <c r="D19" s="234">
        <f>+D17*D18</f>
        <v>3593.85</v>
      </c>
      <c r="E19" s="234">
        <f>+E17*E18</f>
        <v>38042.550000000003</v>
      </c>
      <c r="F19" s="234">
        <f>+F17*F18</f>
        <v>95555.199999999997</v>
      </c>
    </row>
    <row r="20" spans="2:6" x14ac:dyDescent="0.2">
      <c r="B20" s="229" t="s">
        <v>265</v>
      </c>
      <c r="C20" s="230"/>
      <c r="D20" s="231">
        <v>12985.779307289975</v>
      </c>
      <c r="E20" s="231">
        <v>85489.22957216861</v>
      </c>
      <c r="F20" s="231">
        <v>191752.38005696391</v>
      </c>
    </row>
    <row r="21" spans="2:6" x14ac:dyDescent="0.2">
      <c r="B21" s="232" t="s">
        <v>261</v>
      </c>
      <c r="C21" s="233"/>
      <c r="D21" s="218">
        <f>D10</f>
        <v>0.25</v>
      </c>
      <c r="E21" s="218">
        <f t="shared" ref="E21:F21" si="4">E10</f>
        <v>0.24</v>
      </c>
      <c r="F21" s="218">
        <f t="shared" si="4"/>
        <v>0.22899999999999998</v>
      </c>
    </row>
    <row r="22" spans="2:6" x14ac:dyDescent="0.2">
      <c r="B22" s="232" t="s">
        <v>266</v>
      </c>
      <c r="C22" s="233"/>
      <c r="D22" s="234">
        <f t="shared" ref="D22:F22" si="5">+D20*D21</f>
        <v>3246.4448268224937</v>
      </c>
      <c r="E22" s="234">
        <f t="shared" si="5"/>
        <v>20517.415097320467</v>
      </c>
      <c r="F22" s="234">
        <f t="shared" si="5"/>
        <v>43911.295033044735</v>
      </c>
    </row>
    <row r="23" spans="2:6" x14ac:dyDescent="0.2">
      <c r="B23" s="236" t="s">
        <v>267</v>
      </c>
      <c r="C23" s="230"/>
      <c r="D23" s="231">
        <f>D16+D19+D22</f>
        <v>4874.159013014254</v>
      </c>
      <c r="E23" s="231">
        <f>E16+E19+E22</f>
        <v>60187.749509153873</v>
      </c>
      <c r="F23" s="231">
        <f>F16+F19+F22</f>
        <v>142224.11682086502</v>
      </c>
    </row>
    <row r="24" spans="2:6" x14ac:dyDescent="0.2">
      <c r="B24" s="237" t="s">
        <v>268</v>
      </c>
      <c r="C24" s="235">
        <f>C17</f>
        <v>-36951</v>
      </c>
      <c r="D24" s="231">
        <f>D23/(1+$C$31)^D11</f>
        <v>4288.3679509187523</v>
      </c>
      <c r="E24" s="231">
        <f>E23/(1+$C$31)^E11</f>
        <v>46590.009760158347</v>
      </c>
      <c r="F24" s="231">
        <f>F23/(1+$C$31)^F11</f>
        <v>96861.29931468275</v>
      </c>
    </row>
    <row r="25" spans="2:6" x14ac:dyDescent="0.2">
      <c r="B25" s="238" t="s">
        <v>269</v>
      </c>
      <c r="C25" s="233"/>
      <c r="D25" s="219">
        <f>+((D14-D24)^2)*D15</f>
        <v>57358937.97381822</v>
      </c>
      <c r="E25" s="219">
        <f>+((E14-E24)^2)*E15</f>
        <v>111180226.78297588</v>
      </c>
      <c r="F25" s="219">
        <f>+((F14-F24)^2)*F15</f>
        <v>663868734.12005424</v>
      </c>
    </row>
    <row r="26" spans="2:6" x14ac:dyDescent="0.2">
      <c r="B26" s="238" t="s">
        <v>270</v>
      </c>
      <c r="C26" s="233"/>
      <c r="D26" s="219">
        <f>+((D17-D24)^2)*D18</f>
        <v>1000459.1227848982</v>
      </c>
      <c r="E26" s="219">
        <f>+((E17-E24)^2)*E18</f>
        <v>92619628.390948668</v>
      </c>
      <c r="F26" s="219">
        <f>+((F17-F24)^2)*F18</f>
        <v>1634549533.2548184</v>
      </c>
    </row>
    <row r="27" spans="2:6" x14ac:dyDescent="0.2">
      <c r="B27" s="238" t="s">
        <v>271</v>
      </c>
      <c r="C27" s="233"/>
      <c r="D27" s="219">
        <f>+((D20-D24)^2)*D21</f>
        <v>18911241.07548378</v>
      </c>
      <c r="E27" s="219">
        <f t="shared" ref="E27:F27" si="6">+((E20-E24)^2)*E21</f>
        <v>363155832.47594196</v>
      </c>
      <c r="F27" s="219">
        <f t="shared" si="6"/>
        <v>2061988639.8163302</v>
      </c>
    </row>
    <row r="28" spans="2:6" x14ac:dyDescent="0.2">
      <c r="B28" s="239" t="s">
        <v>272</v>
      </c>
      <c r="C28" s="233"/>
      <c r="D28" s="240">
        <f>SUM(D25:D27)</f>
        <v>77270638.172086895</v>
      </c>
      <c r="E28" s="240">
        <f t="shared" ref="E28:F28" si="7">SUM(E25:E27)</f>
        <v>566955687.64986658</v>
      </c>
      <c r="F28" s="240">
        <f t="shared" si="7"/>
        <v>4360406907.1912031</v>
      </c>
    </row>
    <row r="29" spans="2:6" x14ac:dyDescent="0.2">
      <c r="B29" s="239" t="s">
        <v>273</v>
      </c>
      <c r="C29" s="233"/>
      <c r="D29" s="241">
        <f>(SQRT(D28))/(1+$C$31)^D11</f>
        <v>7733.9186185179515</v>
      </c>
      <c r="E29" s="241">
        <f>(SQRT(E28))/(1+$C$31)^E11</f>
        <v>18431.43948983775</v>
      </c>
      <c r="F29" s="241">
        <f>(SQRT(F28))/(1+$C$31)^F11</f>
        <v>44971.829382524687</v>
      </c>
    </row>
    <row r="30" spans="2:6" x14ac:dyDescent="0.2">
      <c r="B30" s="223"/>
      <c r="C30" s="223"/>
      <c r="D30" s="223"/>
      <c r="E30" s="223"/>
      <c r="F30" s="223"/>
    </row>
    <row r="31" spans="2:6" x14ac:dyDescent="0.2">
      <c r="B31" s="242" t="s">
        <v>225</v>
      </c>
      <c r="C31" s="243">
        <v>0.1366</v>
      </c>
      <c r="D31" s="223"/>
      <c r="E31" s="223"/>
      <c r="F31" s="223"/>
    </row>
    <row r="32" spans="2:6" x14ac:dyDescent="0.2">
      <c r="B32" s="242" t="s">
        <v>274</v>
      </c>
      <c r="C32" s="244">
        <f>(C24)+SUM(D24:F24)</f>
        <v>110788.67702575985</v>
      </c>
      <c r="D32" s="223"/>
      <c r="E32" s="223"/>
      <c r="F32" s="223"/>
    </row>
    <row r="33" spans="2:6" x14ac:dyDescent="0.2">
      <c r="B33" s="242" t="s">
        <v>275</v>
      </c>
      <c r="C33" s="244">
        <f>+SUM(D29:F29)</f>
        <v>71137.187490880387</v>
      </c>
      <c r="D33" s="223"/>
      <c r="E33" s="223"/>
      <c r="F33" s="223"/>
    </row>
    <row r="34" spans="2:6" x14ac:dyDescent="0.2">
      <c r="B34" s="242" t="s">
        <v>276</v>
      </c>
      <c r="C34" s="220">
        <f>(0-C32)/C33</f>
        <v>-1.5573946754636974</v>
      </c>
      <c r="D34" s="223"/>
      <c r="E34" s="223"/>
      <c r="F34" s="223"/>
    </row>
    <row r="35" spans="2:6" ht="15" x14ac:dyDescent="0.25">
      <c r="B35" s="221" t="s">
        <v>277</v>
      </c>
      <c r="C35" s="222">
        <f>+NORMSDIST(C34)</f>
        <v>5.9688404767970119E-2</v>
      </c>
      <c r="D35" s="245">
        <f>1-C35</f>
        <v>0.9403115952320299</v>
      </c>
      <c r="E35" s="223"/>
      <c r="F35" s="223"/>
    </row>
    <row r="36" spans="2:6" x14ac:dyDescent="0.2">
      <c r="B36" s="223"/>
      <c r="C36" s="223"/>
      <c r="D36" s="223"/>
      <c r="E36" s="223"/>
      <c r="F36" s="223"/>
    </row>
    <row r="37" spans="2:6" ht="14.25" x14ac:dyDescent="0.2">
      <c r="B37" s="246" t="s">
        <v>278</v>
      </c>
      <c r="C37" s="223"/>
      <c r="D37" s="223"/>
      <c r="E37" s="223"/>
      <c r="F37" s="247">
        <f>D35</f>
        <v>0.9403115952320299</v>
      </c>
    </row>
    <row r="38" spans="2:6" x14ac:dyDescent="0.2">
      <c r="B38" s="223"/>
      <c r="C38" s="223"/>
      <c r="D38" s="223"/>
      <c r="E38" s="223"/>
      <c r="F38" s="223"/>
    </row>
    <row r="39" spans="2:6" ht="15" x14ac:dyDescent="0.25">
      <c r="B39" s="248"/>
      <c r="C39" s="248"/>
      <c r="D39" s="248"/>
      <c r="E39" s="248"/>
      <c r="F39" s="248"/>
    </row>
    <row r="40" spans="2:6" ht="18.75" x14ac:dyDescent="0.3">
      <c r="B40" s="248"/>
      <c r="C40" s="37" t="s">
        <v>257</v>
      </c>
      <c r="D40" s="37" t="s">
        <v>256</v>
      </c>
      <c r="E40" s="37" t="s">
        <v>258</v>
      </c>
      <c r="F40" s="248"/>
    </row>
    <row r="41" spans="2:6" ht="15" x14ac:dyDescent="0.25">
      <c r="B41" s="249" t="s">
        <v>279</v>
      </c>
      <c r="C41" s="250">
        <f>C9</f>
        <v>0.36</v>
      </c>
      <c r="D41" s="250">
        <f>C8</f>
        <v>0.15</v>
      </c>
      <c r="E41" s="250">
        <f>C10</f>
        <v>0.44999999999999996</v>
      </c>
      <c r="F41" s="248"/>
    </row>
    <row r="42" spans="2:6" ht="15" x14ac:dyDescent="0.25">
      <c r="B42" s="249" t="s">
        <v>280</v>
      </c>
      <c r="C42" s="251">
        <f>'[2]Base - Escenarios'!C79</f>
        <v>0</v>
      </c>
      <c r="D42" s="251">
        <f>'[2]Base - Escenarios'!D79</f>
        <v>0</v>
      </c>
      <c r="E42" s="251">
        <f>'[2]Base - Escenarios'!E79</f>
        <v>0</v>
      </c>
      <c r="F42" s="248"/>
    </row>
    <row r="43" spans="2:6" ht="15" x14ac:dyDescent="0.25">
      <c r="B43" s="249" t="s">
        <v>281</v>
      </c>
      <c r="C43" s="252">
        <f>'[2]Base - Escenarios'!C80</f>
        <v>0.12669809999999981</v>
      </c>
      <c r="D43" s="252">
        <f>'[2]Base - Escenarios'!D80</f>
        <v>0</v>
      </c>
      <c r="E43" s="252">
        <f>'[2]Base - Escenarios'!E80</f>
        <v>0</v>
      </c>
      <c r="F43" s="248"/>
    </row>
  </sheetData>
  <mergeCells count="1">
    <mergeCell ref="B3:F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5"/>
  <sheetViews>
    <sheetView showGridLines="0" tabSelected="1" workbookViewId="0">
      <selection activeCell="P15" sqref="P15"/>
    </sheetView>
  </sheetViews>
  <sheetFormatPr baseColWidth="10" defaultRowHeight="12.75" x14ac:dyDescent="0.2"/>
  <cols>
    <col min="2" max="2" width="59.6640625" bestFit="1" customWidth="1"/>
    <col min="3" max="14" width="12" hidden="1" customWidth="1"/>
  </cols>
  <sheetData>
    <row r="3" spans="2:15" ht="18.75" x14ac:dyDescent="0.3">
      <c r="B3" s="37" t="s">
        <v>282</v>
      </c>
      <c r="C3" s="254"/>
      <c r="D3" s="214">
        <v>0.03</v>
      </c>
      <c r="E3" s="69"/>
      <c r="F3" s="69"/>
      <c r="G3" s="69"/>
      <c r="H3" s="69"/>
      <c r="I3" s="69"/>
      <c r="J3" s="69"/>
      <c r="K3" s="69"/>
      <c r="L3" s="69"/>
      <c r="M3" s="69"/>
      <c r="N3" s="69"/>
    </row>
    <row r="4" spans="2:15" ht="15" x14ac:dyDescent="0.25">
      <c r="B4" s="255"/>
      <c r="C4" s="60" t="s">
        <v>76</v>
      </c>
      <c r="D4" s="60" t="s">
        <v>77</v>
      </c>
      <c r="E4" s="60" t="s">
        <v>78</v>
      </c>
      <c r="F4" s="60" t="s">
        <v>79</v>
      </c>
      <c r="G4" s="60" t="s">
        <v>80</v>
      </c>
      <c r="H4" s="60" t="s">
        <v>81</v>
      </c>
      <c r="I4" s="60" t="s">
        <v>82</v>
      </c>
      <c r="J4" s="60" t="s">
        <v>83</v>
      </c>
      <c r="K4" s="60" t="s">
        <v>84</v>
      </c>
      <c r="L4" s="60" t="s">
        <v>85</v>
      </c>
      <c r="M4" s="60" t="s">
        <v>86</v>
      </c>
      <c r="N4" s="60" t="s">
        <v>87</v>
      </c>
    </row>
    <row r="5" spans="2:15" x14ac:dyDescent="0.2">
      <c r="B5" s="259" t="s">
        <v>284</v>
      </c>
      <c r="C5" s="43">
        <v>350</v>
      </c>
      <c r="D5" s="43">
        <f>C5*(1+$D$3)</f>
        <v>360.5</v>
      </c>
      <c r="E5" s="43">
        <f t="shared" ref="E5:N5" si="0">D5*(1+$D$3)</f>
        <v>371.315</v>
      </c>
      <c r="F5" s="43">
        <f t="shared" si="0"/>
        <v>382.45445000000001</v>
      </c>
      <c r="G5" s="43">
        <f t="shared" si="0"/>
        <v>393.92808350000001</v>
      </c>
      <c r="H5" s="43">
        <f t="shared" si="0"/>
        <v>405.745926005</v>
      </c>
      <c r="I5" s="43">
        <f t="shared" si="0"/>
        <v>417.91830378514999</v>
      </c>
      <c r="J5" s="43">
        <f t="shared" si="0"/>
        <v>430.45585289870451</v>
      </c>
      <c r="K5" s="43">
        <f t="shared" si="0"/>
        <v>443.36952848566563</v>
      </c>
      <c r="L5" s="43">
        <f t="shared" si="0"/>
        <v>456.6706143402356</v>
      </c>
      <c r="M5" s="43">
        <f t="shared" si="0"/>
        <v>470.37073277044266</v>
      </c>
      <c r="N5" s="43">
        <f t="shared" si="0"/>
        <v>484.48185475355592</v>
      </c>
    </row>
    <row r="6" spans="2:15" x14ac:dyDescent="0.2">
      <c r="B6" s="259" t="s">
        <v>285</v>
      </c>
      <c r="C6" s="43">
        <v>200</v>
      </c>
      <c r="D6" s="43">
        <f>C6*(1+$D$3)</f>
        <v>206</v>
      </c>
      <c r="E6" s="43">
        <f t="shared" ref="E6:N6" si="1">D6*(1+$D$3)</f>
        <v>212.18</v>
      </c>
      <c r="F6" s="43">
        <f t="shared" si="1"/>
        <v>218.5454</v>
      </c>
      <c r="G6" s="43">
        <f t="shared" si="1"/>
        <v>225.10176200000001</v>
      </c>
      <c r="H6" s="43">
        <f t="shared" si="1"/>
        <v>231.85481486</v>
      </c>
      <c r="I6" s="43">
        <f t="shared" si="1"/>
        <v>238.81045930580001</v>
      </c>
      <c r="J6" s="43">
        <f t="shared" si="1"/>
        <v>245.974773084974</v>
      </c>
      <c r="K6" s="43">
        <f t="shared" si="1"/>
        <v>253.35401627752324</v>
      </c>
      <c r="L6" s="43">
        <f t="shared" si="1"/>
        <v>260.95463676584893</v>
      </c>
      <c r="M6" s="43">
        <f t="shared" si="1"/>
        <v>268.78327586882443</v>
      </c>
      <c r="N6" s="43">
        <f t="shared" si="1"/>
        <v>276.8467741448892</v>
      </c>
    </row>
    <row r="7" spans="2:15" x14ac:dyDescent="0.2">
      <c r="B7" s="259" t="s">
        <v>121</v>
      </c>
      <c r="C7" s="44">
        <f>SUM(C5:C6)</f>
        <v>550</v>
      </c>
      <c r="D7" s="44">
        <f t="shared" ref="D7:N7" si="2">SUM(D5:D6)</f>
        <v>566.5</v>
      </c>
      <c r="E7" s="44">
        <f t="shared" si="2"/>
        <v>583.495</v>
      </c>
      <c r="F7" s="44">
        <f t="shared" si="2"/>
        <v>600.99985000000004</v>
      </c>
      <c r="G7" s="44">
        <f t="shared" si="2"/>
        <v>619.02984549999996</v>
      </c>
      <c r="H7" s="44">
        <f t="shared" si="2"/>
        <v>637.60074086500003</v>
      </c>
      <c r="I7" s="44">
        <f t="shared" si="2"/>
        <v>656.72876309095</v>
      </c>
      <c r="J7" s="44">
        <f t="shared" si="2"/>
        <v>676.43062598367851</v>
      </c>
      <c r="K7" s="44">
        <f t="shared" si="2"/>
        <v>696.7235447631889</v>
      </c>
      <c r="L7" s="44">
        <f t="shared" si="2"/>
        <v>717.62525110608453</v>
      </c>
      <c r="M7" s="44">
        <f t="shared" si="2"/>
        <v>739.15400863926709</v>
      </c>
      <c r="N7" s="44">
        <f t="shared" si="2"/>
        <v>761.32862889844512</v>
      </c>
    </row>
    <row r="10" spans="2:15" ht="18.75" x14ac:dyDescent="0.3">
      <c r="B10" s="37" t="s">
        <v>283</v>
      </c>
      <c r="C10" s="66"/>
      <c r="D10" s="66"/>
      <c r="E10" s="256"/>
      <c r="F10" s="256"/>
      <c r="G10" s="68"/>
      <c r="H10" s="69"/>
      <c r="I10" s="69"/>
      <c r="J10" s="69"/>
      <c r="K10" s="69"/>
      <c r="L10" s="69"/>
      <c r="M10" s="69"/>
      <c r="N10" s="69"/>
      <c r="O10" s="69"/>
    </row>
    <row r="11" spans="2:15" ht="15" x14ac:dyDescent="0.25">
      <c r="B11" s="255"/>
      <c r="C11" s="60" t="s">
        <v>76</v>
      </c>
      <c r="D11" s="60" t="s">
        <v>77</v>
      </c>
      <c r="E11" s="60" t="s">
        <v>78</v>
      </c>
      <c r="F11" s="60" t="s">
        <v>79</v>
      </c>
      <c r="G11" s="60" t="s">
        <v>80</v>
      </c>
      <c r="H11" s="60" t="s">
        <v>81</v>
      </c>
      <c r="I11" s="60" t="s">
        <v>82</v>
      </c>
      <c r="J11" s="60" t="s">
        <v>83</v>
      </c>
      <c r="K11" s="60" t="s">
        <v>84</v>
      </c>
      <c r="L11" s="60" t="s">
        <v>85</v>
      </c>
      <c r="M11" s="60" t="s">
        <v>86</v>
      </c>
      <c r="N11" s="60" t="s">
        <v>87</v>
      </c>
      <c r="O11" s="60" t="s">
        <v>88</v>
      </c>
    </row>
    <row r="12" spans="2:15" ht="15" x14ac:dyDescent="0.25">
      <c r="B12" s="257" t="s">
        <v>284</v>
      </c>
      <c r="C12" s="258">
        <v>19.899999999999999</v>
      </c>
      <c r="D12" s="258">
        <v>19.899999999999999</v>
      </c>
      <c r="E12" s="258">
        <v>19.899999999999999</v>
      </c>
      <c r="F12" s="258">
        <v>19.899999999999999</v>
      </c>
      <c r="G12" s="258">
        <v>19.899999999999999</v>
      </c>
      <c r="H12" s="258">
        <v>19.899999999999999</v>
      </c>
      <c r="I12" s="258">
        <v>19.899999999999999</v>
      </c>
      <c r="J12" s="258">
        <v>19.899999999999999</v>
      </c>
      <c r="K12" s="258">
        <v>19.899999999999999</v>
      </c>
      <c r="L12" s="258">
        <v>19.899999999999999</v>
      </c>
      <c r="M12" s="258">
        <v>19.899999999999999</v>
      </c>
      <c r="N12" s="258">
        <v>19.899999999999999</v>
      </c>
      <c r="O12" s="258">
        <v>19.899999999999999</v>
      </c>
    </row>
    <row r="13" spans="2:15" ht="15" x14ac:dyDescent="0.25">
      <c r="B13" s="257" t="s">
        <v>285</v>
      </c>
      <c r="C13" s="258">
        <v>49.9</v>
      </c>
      <c r="D13" s="258">
        <v>49.9</v>
      </c>
      <c r="E13" s="258">
        <v>49.9</v>
      </c>
      <c r="F13" s="258">
        <v>49.9</v>
      </c>
      <c r="G13" s="258">
        <v>49.9</v>
      </c>
      <c r="H13" s="258">
        <v>49.9</v>
      </c>
      <c r="I13" s="258">
        <v>49.9</v>
      </c>
      <c r="J13" s="258">
        <v>49.9</v>
      </c>
      <c r="K13" s="258">
        <v>49.9</v>
      </c>
      <c r="L13" s="258">
        <v>49.9</v>
      </c>
      <c r="M13" s="258">
        <v>49.9</v>
      </c>
      <c r="N13" s="258">
        <v>49.9</v>
      </c>
      <c r="O13" s="258">
        <v>49.9</v>
      </c>
    </row>
    <row r="15" spans="2:15" ht="18.75" x14ac:dyDescent="0.3">
      <c r="B15" s="37" t="s">
        <v>286</v>
      </c>
    </row>
    <row r="16" spans="2:15" ht="15" x14ac:dyDescent="0.25">
      <c r="B16" s="255"/>
      <c r="C16" s="60" t="s">
        <v>76</v>
      </c>
      <c r="D16" s="60" t="s">
        <v>77</v>
      </c>
      <c r="E16" s="60" t="s">
        <v>78</v>
      </c>
      <c r="F16" s="60" t="s">
        <v>79</v>
      </c>
      <c r="G16" s="60" t="s">
        <v>80</v>
      </c>
      <c r="H16" s="60" t="s">
        <v>81</v>
      </c>
      <c r="I16" s="60" t="s">
        <v>82</v>
      </c>
      <c r="J16" s="60" t="s">
        <v>83</v>
      </c>
      <c r="K16" s="60" t="s">
        <v>84</v>
      </c>
      <c r="L16" s="60" t="s">
        <v>85</v>
      </c>
      <c r="M16" s="60" t="s">
        <v>86</v>
      </c>
      <c r="N16" s="60" t="s">
        <v>87</v>
      </c>
      <c r="O16" s="60" t="s">
        <v>88</v>
      </c>
    </row>
    <row r="17" spans="2:15" x14ac:dyDescent="0.2">
      <c r="B17" s="259" t="s">
        <v>287</v>
      </c>
      <c r="C17" s="258">
        <v>3926</v>
      </c>
      <c r="D17" s="258">
        <v>3926</v>
      </c>
      <c r="E17" s="258">
        <v>3926</v>
      </c>
      <c r="F17" s="258">
        <v>3826</v>
      </c>
      <c r="G17" s="258">
        <v>3826</v>
      </c>
      <c r="H17" s="258">
        <v>3826</v>
      </c>
      <c r="I17" s="258">
        <v>3826</v>
      </c>
      <c r="J17" s="258">
        <v>3826</v>
      </c>
      <c r="K17" s="258">
        <v>3826</v>
      </c>
      <c r="L17" s="258">
        <v>3826</v>
      </c>
      <c r="M17" s="258">
        <v>3826</v>
      </c>
      <c r="N17" s="258">
        <v>3826</v>
      </c>
      <c r="O17" s="258">
        <f>SUM(C17:N17)</f>
        <v>46212</v>
      </c>
    </row>
    <row r="18" spans="2:15" x14ac:dyDescent="0.2">
      <c r="B18" s="259" t="s">
        <v>288</v>
      </c>
      <c r="C18" s="258">
        <v>15600</v>
      </c>
      <c r="D18" s="258">
        <v>15600</v>
      </c>
      <c r="E18" s="258">
        <v>15600</v>
      </c>
      <c r="F18" s="258">
        <v>15600</v>
      </c>
      <c r="G18" s="258">
        <v>15600</v>
      </c>
      <c r="H18" s="258">
        <v>15600</v>
      </c>
      <c r="I18" s="258">
        <v>15600</v>
      </c>
      <c r="J18" s="258">
        <v>15600</v>
      </c>
      <c r="K18" s="258">
        <v>15600</v>
      </c>
      <c r="L18" s="258">
        <v>15600</v>
      </c>
      <c r="M18" s="258">
        <v>15600</v>
      </c>
      <c r="N18" s="258">
        <v>15600</v>
      </c>
      <c r="O18" s="258">
        <f>SUM(C18:N18)</f>
        <v>187200</v>
      </c>
    </row>
    <row r="19" spans="2:15" x14ac:dyDescent="0.2">
      <c r="B19" s="259" t="s">
        <v>289</v>
      </c>
      <c r="C19" s="258">
        <v>351</v>
      </c>
      <c r="D19" s="258">
        <v>351</v>
      </c>
      <c r="E19" s="258">
        <v>351</v>
      </c>
      <c r="F19" s="258">
        <v>351</v>
      </c>
      <c r="G19" s="258">
        <v>351</v>
      </c>
      <c r="H19" s="258">
        <v>351</v>
      </c>
      <c r="I19" s="258">
        <v>351</v>
      </c>
      <c r="J19" s="258">
        <v>351</v>
      </c>
      <c r="K19" s="258">
        <v>351</v>
      </c>
      <c r="L19" s="258">
        <v>351</v>
      </c>
      <c r="M19" s="258">
        <v>351</v>
      </c>
      <c r="N19" s="258">
        <v>351</v>
      </c>
      <c r="O19" s="258">
        <f>SUM(C19:N19)</f>
        <v>4212</v>
      </c>
    </row>
    <row r="20" spans="2:15" x14ac:dyDescent="0.2">
      <c r="B20" s="259" t="s">
        <v>122</v>
      </c>
      <c r="C20" s="258">
        <f>SUM(C17:C19)</f>
        <v>19877</v>
      </c>
      <c r="D20" s="258">
        <f t="shared" ref="D20:N20" si="3">SUM(D17:D19)</f>
        <v>19877</v>
      </c>
      <c r="E20" s="258">
        <f t="shared" si="3"/>
        <v>19877</v>
      </c>
      <c r="F20" s="258">
        <f t="shared" si="3"/>
        <v>19777</v>
      </c>
      <c r="G20" s="258">
        <f t="shared" si="3"/>
        <v>19777</v>
      </c>
      <c r="H20" s="258">
        <f t="shared" si="3"/>
        <v>19777</v>
      </c>
      <c r="I20" s="258">
        <f t="shared" si="3"/>
        <v>19777</v>
      </c>
      <c r="J20" s="258">
        <f t="shared" si="3"/>
        <v>19777</v>
      </c>
      <c r="K20" s="258">
        <f t="shared" si="3"/>
        <v>19777</v>
      </c>
      <c r="L20" s="258">
        <f t="shared" si="3"/>
        <v>19777</v>
      </c>
      <c r="M20" s="258">
        <f t="shared" si="3"/>
        <v>19777</v>
      </c>
      <c r="N20" s="258">
        <f t="shared" si="3"/>
        <v>19777</v>
      </c>
      <c r="O20" s="258">
        <f>SUM(O17:O19)</f>
        <v>237624</v>
      </c>
    </row>
    <row r="22" spans="2:15" ht="18.75" x14ac:dyDescent="0.3">
      <c r="B22" s="37" t="s">
        <v>290</v>
      </c>
      <c r="C22" s="66"/>
      <c r="D22" s="66"/>
      <c r="E22" s="256"/>
      <c r="F22" s="256"/>
      <c r="G22" s="68"/>
      <c r="H22" s="69"/>
      <c r="I22" s="69"/>
      <c r="J22" s="69"/>
      <c r="K22" s="69"/>
      <c r="L22" s="69"/>
      <c r="M22" s="69"/>
      <c r="N22" s="69"/>
      <c r="O22" s="69"/>
    </row>
    <row r="23" spans="2:15" ht="15" x14ac:dyDescent="0.25">
      <c r="B23" s="255"/>
      <c r="C23" s="60" t="s">
        <v>76</v>
      </c>
      <c r="D23" s="60" t="s">
        <v>77</v>
      </c>
      <c r="E23" s="60" t="s">
        <v>78</v>
      </c>
      <c r="F23" s="60" t="s">
        <v>79</v>
      </c>
      <c r="G23" s="60" t="s">
        <v>80</v>
      </c>
      <c r="H23" s="60" t="s">
        <v>81</v>
      </c>
      <c r="I23" s="60" t="s">
        <v>82</v>
      </c>
      <c r="J23" s="60" t="s">
        <v>83</v>
      </c>
      <c r="K23" s="60" t="s">
        <v>84</v>
      </c>
      <c r="L23" s="60" t="s">
        <v>85</v>
      </c>
      <c r="M23" s="60" t="s">
        <v>86</v>
      </c>
      <c r="N23" s="60" t="s">
        <v>87</v>
      </c>
      <c r="O23" s="60" t="s">
        <v>88</v>
      </c>
    </row>
    <row r="24" spans="2:15" ht="15" x14ac:dyDescent="0.25">
      <c r="B24" s="257" t="s">
        <v>284</v>
      </c>
      <c r="C24" s="258">
        <f>C20/C12</f>
        <v>998.84422110552771</v>
      </c>
      <c r="D24" s="258">
        <f t="shared" ref="D24:N24" si="4">D20/D12</f>
        <v>998.84422110552771</v>
      </c>
      <c r="E24" s="258">
        <f t="shared" si="4"/>
        <v>998.84422110552771</v>
      </c>
      <c r="F24" s="258">
        <f t="shared" si="4"/>
        <v>993.81909547738701</v>
      </c>
      <c r="G24" s="258">
        <f t="shared" si="4"/>
        <v>993.81909547738701</v>
      </c>
      <c r="H24" s="258">
        <f t="shared" si="4"/>
        <v>993.81909547738701</v>
      </c>
      <c r="I24" s="258">
        <f t="shared" si="4"/>
        <v>993.81909547738701</v>
      </c>
      <c r="J24" s="258">
        <f t="shared" si="4"/>
        <v>993.81909547738701</v>
      </c>
      <c r="K24" s="258">
        <f t="shared" si="4"/>
        <v>993.81909547738701</v>
      </c>
      <c r="L24" s="258">
        <f t="shared" si="4"/>
        <v>993.81909547738701</v>
      </c>
      <c r="M24" s="258">
        <f t="shared" si="4"/>
        <v>993.81909547738701</v>
      </c>
      <c r="N24" s="258">
        <f t="shared" si="4"/>
        <v>993.81909547738701</v>
      </c>
      <c r="O24" s="258">
        <f>O20/O12</f>
        <v>11940.904522613066</v>
      </c>
    </row>
    <row r="25" spans="2:15" ht="15" x14ac:dyDescent="0.25">
      <c r="B25" s="257" t="s">
        <v>285</v>
      </c>
      <c r="C25" s="258">
        <f>C20/C13</f>
        <v>398.33667334669337</v>
      </c>
      <c r="D25" s="258">
        <f t="shared" ref="D25:N25" si="5">D20/D13</f>
        <v>398.33667334669337</v>
      </c>
      <c r="E25" s="258">
        <f t="shared" si="5"/>
        <v>398.33667334669337</v>
      </c>
      <c r="F25" s="258">
        <f t="shared" si="5"/>
        <v>396.33266533066131</v>
      </c>
      <c r="G25" s="258">
        <f t="shared" si="5"/>
        <v>396.33266533066131</v>
      </c>
      <c r="H25" s="258">
        <f t="shared" si="5"/>
        <v>396.33266533066131</v>
      </c>
      <c r="I25" s="258">
        <f t="shared" si="5"/>
        <v>396.33266533066131</v>
      </c>
      <c r="J25" s="258">
        <f t="shared" si="5"/>
        <v>396.33266533066131</v>
      </c>
      <c r="K25" s="258">
        <f t="shared" si="5"/>
        <v>396.33266533066131</v>
      </c>
      <c r="L25" s="258">
        <f t="shared" si="5"/>
        <v>396.33266533066131</v>
      </c>
      <c r="M25" s="258">
        <f t="shared" si="5"/>
        <v>396.33266533066131</v>
      </c>
      <c r="N25" s="258">
        <f t="shared" si="5"/>
        <v>396.33266533066131</v>
      </c>
      <c r="O25" s="258">
        <f>O20/O13</f>
        <v>4762.0040080160325</v>
      </c>
    </row>
  </sheetData>
  <phoneticPr fontId="3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Table 1</vt:lpstr>
      <vt:lpstr>8.2.</vt:lpstr>
      <vt:lpstr>Table 2</vt:lpstr>
      <vt:lpstr>8.4.</vt:lpstr>
      <vt:lpstr>8.5.</vt:lpstr>
      <vt:lpstr>8.5.2</vt:lpstr>
      <vt:lpstr>8.10</vt:lpstr>
      <vt:lpstr>Hoja5</vt:lpstr>
      <vt:lpstr>8.6.</vt:lpstr>
      <vt:lpstr>8.7.</vt:lpstr>
      <vt:lpstr>8.7.1</vt:lpstr>
      <vt:lpstr>8.7.2.</vt:lpstr>
      <vt:lpstr>8.9</vt:lpstr>
      <vt:lpstr>Hoja4</vt:lpstr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Frederick Sylvester Garcia</dc:creator>
  <cp:lastModifiedBy>Patricia</cp:lastModifiedBy>
  <dcterms:created xsi:type="dcterms:W3CDTF">2022-02-01T00:52:30Z</dcterms:created>
  <dcterms:modified xsi:type="dcterms:W3CDTF">2022-03-31T15:58:12Z</dcterms:modified>
</cp:coreProperties>
</file>