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bast\Desktop\Semestre\Recuperación de Información Multimedia\C2\"/>
    </mc:Choice>
  </mc:AlternateContent>
  <xr:revisionPtr revIDLastSave="0" documentId="13_ncr:1_{ACD518BD-334A-49F8-82BB-6A6FDFD37AEA}" xr6:coauthVersionLast="47" xr6:coauthVersionMax="47" xr10:uidLastSave="{00000000-0000-0000-0000-000000000000}"/>
  <bookViews>
    <workbookView xWindow="216" yWindow="432" windowWidth="17280" windowHeight="8880" xr2:uid="{00000000-000D-0000-FFFF-FFFF00000000}"/>
  </bookViews>
  <sheets>
    <sheet name="SEM_5" sheetId="1" r:id="rId1"/>
    <sheet name="SEM_6" sheetId="2" r:id="rId2"/>
    <sheet name="SEM_8"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0" i="3" l="1"/>
  <c r="I148" i="3"/>
  <c r="K144" i="3"/>
  <c r="E144" i="3"/>
  <c r="I169" i="3"/>
  <c r="I170" i="3" s="1"/>
  <c r="C170" i="3"/>
  <c r="C169" i="3"/>
  <c r="I149" i="3"/>
  <c r="C149" i="3"/>
  <c r="K147" i="3"/>
  <c r="L147" i="3" s="1"/>
  <c r="K146" i="3"/>
  <c r="L146" i="3" s="1"/>
  <c r="K145" i="3"/>
  <c r="L145" i="3" s="1"/>
  <c r="L144" i="3"/>
  <c r="C148" i="3"/>
  <c r="F145" i="3"/>
  <c r="F146" i="3"/>
  <c r="F147" i="3"/>
  <c r="F144" i="3"/>
  <c r="E145" i="3"/>
  <c r="E146" i="3"/>
  <c r="E147" i="3"/>
  <c r="D123" i="3"/>
  <c r="D122" i="3"/>
  <c r="D121" i="3"/>
  <c r="C123" i="3"/>
  <c r="C122" i="3"/>
  <c r="C121" i="3"/>
  <c r="I110" i="3"/>
  <c r="I111" i="3"/>
  <c r="I109" i="3"/>
  <c r="H109" i="3"/>
  <c r="H110" i="3"/>
  <c r="H111" i="3"/>
  <c r="G111" i="3"/>
  <c r="G109" i="3"/>
  <c r="G110" i="3"/>
  <c r="D109" i="3"/>
  <c r="C109" i="3"/>
  <c r="B109" i="3"/>
  <c r="I74" i="3"/>
  <c r="H74" i="3"/>
  <c r="H75" i="3" s="1"/>
  <c r="D74" i="3"/>
  <c r="C74" i="3"/>
  <c r="I71" i="3"/>
  <c r="H71" i="3"/>
  <c r="H72" i="3" s="1"/>
  <c r="D71" i="3"/>
  <c r="C71" i="3"/>
  <c r="I80" i="3"/>
  <c r="H80" i="3"/>
  <c r="H81" i="3" s="1"/>
  <c r="D80" i="3"/>
  <c r="C80" i="3"/>
  <c r="I77" i="3"/>
  <c r="H77" i="3"/>
  <c r="H78" i="3" s="1"/>
  <c r="D77" i="3"/>
  <c r="C77" i="3"/>
  <c r="C78" i="3"/>
  <c r="I49" i="3"/>
  <c r="I50" i="3"/>
  <c r="I51" i="3"/>
  <c r="I52" i="3"/>
  <c r="I53" i="3"/>
  <c r="I54" i="3"/>
  <c r="I55" i="3"/>
  <c r="I56" i="3"/>
  <c r="I57" i="3"/>
  <c r="I58" i="3"/>
  <c r="I59" i="3"/>
  <c r="I48" i="3"/>
  <c r="I65" i="3" s="1"/>
  <c r="H49" i="3"/>
  <c r="H50" i="3"/>
  <c r="H51" i="3"/>
  <c r="H52" i="3"/>
  <c r="H53" i="3"/>
  <c r="H54" i="3"/>
  <c r="H55" i="3"/>
  <c r="H56" i="3"/>
  <c r="H57" i="3"/>
  <c r="H58" i="3"/>
  <c r="H59" i="3"/>
  <c r="H48" i="3"/>
  <c r="D49" i="3"/>
  <c r="D65" i="3" s="1"/>
  <c r="D50" i="3"/>
  <c r="D51" i="3"/>
  <c r="D52" i="3"/>
  <c r="D53" i="3"/>
  <c r="D54" i="3"/>
  <c r="D55" i="3"/>
  <c r="D56" i="3"/>
  <c r="D57" i="3"/>
  <c r="D58" i="3"/>
  <c r="D59" i="3"/>
  <c r="D48" i="3"/>
  <c r="C49" i="3"/>
  <c r="C50" i="3"/>
  <c r="C51" i="3"/>
  <c r="C52" i="3"/>
  <c r="C53" i="3"/>
  <c r="C54" i="3"/>
  <c r="C55" i="3"/>
  <c r="C56" i="3"/>
  <c r="C57" i="3"/>
  <c r="C58" i="3"/>
  <c r="C59" i="3"/>
  <c r="C65" i="3"/>
  <c r="C48" i="3"/>
  <c r="C72" i="3"/>
  <c r="H65" i="3"/>
  <c r="I150" i="3" l="1"/>
  <c r="E123" i="3"/>
  <c r="E122" i="3"/>
  <c r="E121" i="3"/>
  <c r="C81" i="3"/>
  <c r="H66" i="3"/>
  <c r="C66" i="3"/>
  <c r="C75" i="3"/>
  <c r="E37" i="2" l="1"/>
  <c r="E36" i="2"/>
  <c r="E38" i="2" s="1"/>
  <c r="E8" i="2"/>
  <c r="E9" i="2" s="1"/>
  <c r="E27" i="2"/>
  <c r="E26" i="2"/>
  <c r="E28" i="2" s="1"/>
  <c r="E18" i="2"/>
  <c r="E17" i="2"/>
  <c r="E16" i="2"/>
  <c r="E7" i="2"/>
  <c r="K25" i="1"/>
  <c r="Z64" i="1"/>
  <c r="Z53" i="1"/>
  <c r="Q68" i="1"/>
  <c r="P65" i="1"/>
  <c r="Q65" i="1"/>
  <c r="R65" i="1" s="1"/>
  <c r="P66" i="1"/>
  <c r="P67" i="1" s="1"/>
  <c r="Q66" i="1"/>
  <c r="R66" i="1" s="1"/>
  <c r="Q64" i="1"/>
  <c r="R64" i="1" s="1"/>
  <c r="P64" i="1"/>
  <c r="O64" i="1"/>
  <c r="O65" i="1" s="1"/>
  <c r="O66" i="1" s="1"/>
  <c r="O67" i="1" s="1"/>
  <c r="O68" i="1" s="1"/>
  <c r="P63" i="1"/>
  <c r="Q63" i="1" s="1"/>
  <c r="R63" i="1" s="1"/>
  <c r="I68" i="1"/>
  <c r="I67" i="1"/>
  <c r="I66" i="1"/>
  <c r="I65" i="1"/>
  <c r="L63" i="1"/>
  <c r="K63" i="1"/>
  <c r="J63" i="1"/>
  <c r="I64" i="1"/>
  <c r="Q54" i="1"/>
  <c r="P54" i="1"/>
  <c r="Q53" i="1"/>
  <c r="P55" i="1"/>
  <c r="P56" i="1" s="1"/>
  <c r="P53" i="1"/>
  <c r="O53" i="1"/>
  <c r="O54" i="1" s="1"/>
  <c r="O55" i="1" s="1"/>
  <c r="O56" i="1" s="1"/>
  <c r="P52" i="1"/>
  <c r="Q52" i="1" s="1"/>
  <c r="R52" i="1" s="1"/>
  <c r="O52" i="1"/>
  <c r="I56" i="1"/>
  <c r="I55" i="1"/>
  <c r="I54" i="1"/>
  <c r="I53" i="1"/>
  <c r="L52" i="1"/>
  <c r="K52" i="1"/>
  <c r="J52" i="1"/>
  <c r="I52" i="1"/>
  <c r="P68" i="1" l="1"/>
  <c r="Q67" i="1"/>
  <c r="R67" i="1" s="1"/>
  <c r="R53" i="1"/>
  <c r="R54" i="1" s="1"/>
  <c r="Q55" i="1"/>
  <c r="R68" i="1" l="1"/>
  <c r="R55" i="1"/>
  <c r="Q56" i="1"/>
  <c r="R56" i="1" s="1"/>
  <c r="E31" i="1" l="1"/>
  <c r="H21" i="1"/>
  <c r="D7" i="1"/>
</calcChain>
</file>

<file path=xl/sharedStrings.xml><?xml version="1.0" encoding="utf-8"?>
<sst xmlns="http://schemas.openxmlformats.org/spreadsheetml/2006/main" count="512" uniqueCount="242">
  <si>
    <t>Semana 05</t>
  </si>
  <si>
    <t>1. Suponga que descarga la canción “Despacito”, de 3 minutos y 49 segundos de duración, y guarda el audio en un archivo llamado “A.raw” en formato PCM de 16 bits (s16le) y sample rate de 22.050.</t>
  </si>
  <si>
    <t>a. (0.25 puntos) Señale el tamaño en bytes de “A.raw” y la frecuencia máxima audible al reproducirlo.</t>
  </si>
  <si>
    <t>b. (0.25 puntos) Suponga que descarga la misma canción, pero guarda el audio en un archivo llamado “B.raw” en formato PCM de 32 bits (32f) y sample rate 11.025. ¿Al reproducir “B.raw” oirá un sonido de mejor o peor calidad que “A.raw”? Justifique en máximo dos líneas.</t>
  </si>
  <si>
    <t xml:space="preserve">Tiempo en seg = </t>
  </si>
  <si>
    <t>3*60+49=</t>
  </si>
  <si>
    <t>formato de 16 bits =</t>
  </si>
  <si>
    <t>2 bytes por sample</t>
  </si>
  <si>
    <t xml:space="preserve">Tamaño del archivo = </t>
  </si>
  <si>
    <t>Tam = sample_rate * bytes_per_sample * segs</t>
  </si>
  <si>
    <t xml:space="preserve">22.050 samples/seg * 2 bytes/sample * 229 seg = 10.098.900 bytes = </t>
  </si>
  <si>
    <t>10,0989 MB</t>
  </si>
  <si>
    <t>Respuesta: 10,0989 MB</t>
  </si>
  <si>
    <t>Usando el Sampling Theorem</t>
  </si>
  <si>
    <t>Respuesta: 11 KHz</t>
  </si>
  <si>
    <t>Freq_max = 22.050/2 = 11.025 = 11 KHz</t>
  </si>
  <si>
    <t>Nombre: Patricio Espinoza A.</t>
  </si>
  <si>
    <t>2. Suponga que tiene un audio de 48.000 samples por segundo al que le desea realizar un análisis de espectro con una Transformada de Fourier usando ventanas de tamaño 40 ms.</t>
  </si>
  <si>
    <t>Respuesta:</t>
  </si>
  <si>
    <t>a. (0.25 puntos) ¿Cuántos coeficientes tendrá la transformada de Fourier de cada ventana?</t>
  </si>
  <si>
    <t>b. (0.25 puntos) Suponga que la Transformada de Fourier de una ventana obtiene alta energía para una señal de 40 ciclos ¿Qué frecuencia de sonido es audible en esa ventana?</t>
  </si>
  <si>
    <t>48.000 samples/segundo</t>
  </si>
  <si>
    <t>40ms = 0,04 segundos</t>
  </si>
  <si>
    <t xml:space="preserve">La cantidad de muestras (samples) es igual al numero de coeficientes de la TF </t>
  </si>
  <si>
    <t>samples</t>
  </si>
  <si>
    <t>En una ventana de 0,04 segundos se tiene una señal de 40 ciclos</t>
  </si>
  <si>
    <t>Frecuencia = 100 ciclos / 0,04 segundos =</t>
  </si>
  <si>
    <t>Hz</t>
  </si>
  <si>
    <t>3. De acuerdo al video “05.5-Descriptores de audio y MFCC” publicado en la sección de Enlaces de U-Cursos (ver acá) responda las siguientes preguntas:</t>
  </si>
  <si>
    <t>a. (0.25 puntos) En el minuto 19:35 se da una razón de por qué es mala idea buscar audios similares comparando sus coeficientes de la transformada de Fourier. Explique en máximo dos líneas cómo la escala Mel evita el problema mencionado.</t>
  </si>
  <si>
    <t>b. (0.25 puntos) En el minuto 25:20 se menciona qué significa o qué representa el primer coeficiente del descriptor MFCC. Señale si para el caso de la tarea 2 es buena idea o mala idea descartar el primer coeficiente de MFCC. Justifique en máximo dos líneas.</t>
  </si>
  <si>
    <t>La transformada de fourier es sensible a frecuencias altas y bajas debido a su linealidad. Por otra parte, el oido no es tan sensible las frecuencias altas.</t>
  </si>
  <si>
    <t>La escala de Mel soluciona el problema modelando las frecuencias tal que sean similares al oido humano, en donde las frecuencias más bajas son las que tienen mayor resolución.</t>
  </si>
  <si>
    <t>Es una buena idea descartar el primer coeficiente de MFCC. Este coeficiente entrega la energia general de un espectro, que puede llegar a variar por diferencias de volumen u otros sonidos que generen 'ruido'.</t>
  </si>
  <si>
    <t>Como lo que se busca es robustez frente a las variaciones, y este coeficiente las refleja, es mejor descartarlo para mejorar la precisión.</t>
  </si>
  <si>
    <t>4. Calcular la DTW entre X e Y</t>
  </si>
  <si>
    <t>a. (0.3 puntos) Calcule la distancia DTW entre A y M. Señale la alineación óptima entre las ventanas de A y de M, y el costo total de esa alineación.</t>
  </si>
  <si>
    <t>M1</t>
  </si>
  <si>
    <t>M2</t>
  </si>
  <si>
    <t>M3</t>
  </si>
  <si>
    <t>M4</t>
  </si>
  <si>
    <t>A1</t>
  </si>
  <si>
    <t>A2</t>
  </si>
  <si>
    <t>A3</t>
  </si>
  <si>
    <t>A4</t>
  </si>
  <si>
    <t>A5</t>
  </si>
  <si>
    <t>b. (0.3 puntos) Calcule la distancia DTW entre B y M. Señale la alineación óptima entre las ventanas de B y de M, y el costo total de esa alineación.</t>
  </si>
  <si>
    <t>c. (0.2 puntos) Señale el ganador del concurso. Justifique en no más de dos líneas por qué es el ganador.</t>
  </si>
  <si>
    <t>B1</t>
  </si>
  <si>
    <t>B2</t>
  </si>
  <si>
    <t>B3</t>
  </si>
  <si>
    <t>B4</t>
  </si>
  <si>
    <t>B5</t>
  </si>
  <si>
    <t>B6</t>
  </si>
  <si>
    <t>Completar bordes</t>
  </si>
  <si>
    <t>DTW(B,M)=13</t>
  </si>
  <si>
    <t>DTW(A,M) = 12</t>
  </si>
  <si>
    <t xml:space="preserve">Costo total = </t>
  </si>
  <si>
    <t>Costo total =</t>
  </si>
  <si>
    <t>El ganador del concurso seria el participante A ya que el costo total de su DTW fue de 36, mientras que el del participante B fue de 53.</t>
  </si>
  <si>
    <t>Es decir, hay 1920 coeficientes en cada ventana. Luego, aplicando la simetria de la TF tenemos que hay</t>
  </si>
  <si>
    <t>coeficientes únicos para cada ventana.</t>
  </si>
  <si>
    <t>El costo menor para A significa que su imitación del sonido M fue más similar que la de B, y por tanto es mejor.</t>
  </si>
  <si>
    <t>1. (0.6 puntos) Para las siguientes resoluciones de video señale la cantidad de bytes que se necesitan para guardar un segundo de video sin compresión. Escriba cualquier supuesto que necesite realizar.</t>
  </si>
  <si>
    <t>a. 1920 x 1080, 60 fps, 4:2:0.</t>
  </si>
  <si>
    <t>b. 1280 x 720, 24 fps, 4:4:4.</t>
  </si>
  <si>
    <t>c. 3180 x 2160, 30 fps, 4:2:0.</t>
  </si>
  <si>
    <t>d. 1920 x 1440, 30 fps, 4:4:4.</t>
  </si>
  <si>
    <t>Resolución total por frame</t>
  </si>
  <si>
    <t>Bytes por pixel para 4:2:0</t>
  </si>
  <si>
    <t>Bytes por segundo</t>
  </si>
  <si>
    <t>pixeles/frame</t>
  </si>
  <si>
    <t>Bytes por pixel para 4:2:0:</t>
  </si>
  <si>
    <t>bytes/pixel</t>
  </si>
  <si>
    <t>bytes/segundo</t>
  </si>
  <si>
    <t>Cantidad de bytes que se necesitan para guardar un segundo de video sin compresión</t>
  </si>
  <si>
    <t>Bytes por pixel para 4:4:4:</t>
  </si>
  <si>
    <t>FPS</t>
  </si>
  <si>
    <t>frames/segundo</t>
  </si>
  <si>
    <t>Semana 06</t>
  </si>
  <si>
    <t>2. (0.8 puntos) Se tiene un video compuesto de 28 cuadros, donde un encoder MPEG-1 decidió que el tipo de cada cuadro (I, P o B) será de acuerdo a la siguiente tabla:</t>
  </si>
  <si>
    <t>N° de cuadro</t>
  </si>
  <si>
    <t>Tipo de cuadro</t>
  </si>
  <si>
    <t>I</t>
  </si>
  <si>
    <t>B</t>
  </si>
  <si>
    <t>P</t>
  </si>
  <si>
    <t xml:space="preserve">Suponga que durante la reproducción del video anterior, el decoder MPEG-1 tuvo un error al decodificar cierto cuadro. </t>
  </si>
  <si>
    <t>Señale todos los cuadros donde se verán errores cuando el cuadro erróneo es:</t>
  </si>
  <si>
    <t xml:space="preserve">a. El cuadro 6 </t>
  </si>
  <si>
    <t>Decodificación</t>
  </si>
  <si>
    <t>Dependencia</t>
  </si>
  <si>
    <t>-</t>
  </si>
  <si>
    <t>1 y 4</t>
  </si>
  <si>
    <t>1y 4</t>
  </si>
  <si>
    <t>4 y 6</t>
  </si>
  <si>
    <t>6 y 9</t>
  </si>
  <si>
    <t>9 y 12</t>
  </si>
  <si>
    <t>12 y 14</t>
  </si>
  <si>
    <t>14 y 16</t>
  </si>
  <si>
    <t>16 y 19</t>
  </si>
  <si>
    <t>19 y 21</t>
  </si>
  <si>
    <t>21 y 23</t>
  </si>
  <si>
    <t>23 y 25</t>
  </si>
  <si>
    <t>25 y 28</t>
  </si>
  <si>
    <t>25 y 29</t>
  </si>
  <si>
    <t>Es independiente</t>
  </si>
  <si>
    <t>Depende del último I o P anterior</t>
  </si>
  <si>
    <t>Depende del último I o P anterior y posterior</t>
  </si>
  <si>
    <t>c. El cuadro 18</t>
  </si>
  <si>
    <t>d. El cuadro 19</t>
  </si>
  <si>
    <t>b. El cuadro 9</t>
  </si>
  <si>
    <r>
      <t xml:space="preserve">Los cuadros que dependen del 9 y tendran errores son: </t>
    </r>
    <r>
      <rPr>
        <b/>
        <sz val="11"/>
        <color theme="1"/>
        <rFont val="Calibri"/>
        <family val="2"/>
        <scheme val="minor"/>
      </rPr>
      <t>7, 8, 10, 11 y 12</t>
    </r>
  </si>
  <si>
    <r>
      <t>Los cuadros que dependen del 6 y tendran errores son:</t>
    </r>
    <r>
      <rPr>
        <b/>
        <sz val="11"/>
        <color theme="1"/>
        <rFont val="Calibri"/>
        <family val="2"/>
        <scheme val="minor"/>
      </rPr>
      <t xml:space="preserve"> 5, 7 y 8</t>
    </r>
  </si>
  <si>
    <r>
      <t xml:space="preserve">Los cuadros que dependen del 18 y tendran errores son: </t>
    </r>
    <r>
      <rPr>
        <b/>
        <sz val="11"/>
        <color theme="1"/>
        <rFont val="Calibri"/>
        <family val="2"/>
        <scheme val="minor"/>
      </rPr>
      <t>ninguno</t>
    </r>
  </si>
  <si>
    <r>
      <t xml:space="preserve">Los cuadros que dependen del 19 y tendran errores son: </t>
    </r>
    <r>
      <rPr>
        <b/>
        <sz val="11"/>
        <color theme="1"/>
        <rFont val="Calibri"/>
        <family val="2"/>
        <scheme val="minor"/>
      </rPr>
      <t>17, 18, 20 y 21</t>
    </r>
  </si>
  <si>
    <t>El audio B.raw tiene 32 bits, es decir, el doble de bits por sample que A.raw, esto hace que sea más precisa.</t>
  </si>
  <si>
    <t>Por otra parte el sample rate de B.raw es la mitad que el de A.raw, esto reduciría la calidad respecto al total de frecuencias que se se pueden observar. Esto último nos hace concluir que la calidad será peor.</t>
  </si>
  <si>
    <t>Semana 08</t>
  </si>
  <si>
    <t>cantidad de imágenes similares dentro de la primera página de resultados (que es de tamaño 8).</t>
  </si>
  <si>
    <t>Sistema 1</t>
  </si>
  <si>
    <t xml:space="preserve">Lugar </t>
  </si>
  <si>
    <t>Q1</t>
  </si>
  <si>
    <t>Q2</t>
  </si>
  <si>
    <t>Sistema 2</t>
  </si>
  <si>
    <t>1. Una empresa necesita un buscador de imágenes para que dada una foto de consulta recupere la mayor</t>
  </si>
  <si>
    <t>Para esto se implementaron dos sistemas con algoritmos distintos y se desea comparar la efectividad de cada uno.</t>
  </si>
  <si>
    <t>Se elaboraron dos casos de prueba Q1 y Q2 y se determinó que las imágenes relevantes para</t>
  </si>
  <si>
    <t>Q1 son {d37, d06, d22, d80} y para Q2 son {d48, d71, d14}.</t>
  </si>
  <si>
    <t>La respuesta de cada sistema con los primeros 12 resultados fue:</t>
  </si>
  <si>
    <t>d48</t>
  </si>
  <si>
    <t>d80</t>
  </si>
  <si>
    <t>d59</t>
  </si>
  <si>
    <t>d22</t>
  </si>
  <si>
    <t>d24</t>
  </si>
  <si>
    <t>d06</t>
  </si>
  <si>
    <t>d54</t>
  </si>
  <si>
    <t>d37</t>
  </si>
  <si>
    <t>d13</t>
  </si>
  <si>
    <t>d47</t>
  </si>
  <si>
    <t>d42</t>
  </si>
  <si>
    <t>d71</t>
  </si>
  <si>
    <t>d95</t>
  </si>
  <si>
    <t>d83</t>
  </si>
  <si>
    <t>d05</t>
  </si>
  <si>
    <t>d10</t>
  </si>
  <si>
    <t>d14</t>
  </si>
  <si>
    <t>d66</t>
  </si>
  <si>
    <t>d74</t>
  </si>
  <si>
    <t>d25</t>
  </si>
  <si>
    <t>d53</t>
  </si>
  <si>
    <t>d75</t>
  </si>
  <si>
    <t>d87</t>
  </si>
  <si>
    <t>d55</t>
  </si>
  <si>
    <t>d29</t>
  </si>
  <si>
    <t>d20</t>
  </si>
  <si>
    <t>d62</t>
  </si>
  <si>
    <t>d65</t>
  </si>
  <si>
    <t>d21</t>
  </si>
  <si>
    <t>d92</t>
  </si>
  <si>
    <t>d11</t>
  </si>
  <si>
    <t>d96</t>
  </si>
  <si>
    <t>a. (0.4 puntos) Calcule Mean Average Precision (MAP) de ambos sistemas.</t>
  </si>
  <si>
    <t>Total</t>
  </si>
  <si>
    <t>AP</t>
  </si>
  <si>
    <t>RR</t>
  </si>
  <si>
    <t>MAP</t>
  </si>
  <si>
    <t>b. (0.4 puntos) Calcule Mean Reciprocal Rank (MRR), precision@1, recall@12 y R-Precision de ambos sistemas.</t>
  </si>
  <si>
    <t>MRR</t>
  </si>
  <si>
    <t>Prec@1</t>
  </si>
  <si>
    <t>R-Prec</t>
  </si>
  <si>
    <t>Rec@12</t>
  </si>
  <si>
    <t>c. (0.3 puntos) Señale cuál sistema logra mejor efectividad. Justifique con métricas.</t>
  </si>
  <si>
    <t>De acuerdo a las métricas, ambos sistemas tienen el mismo Recall@12 y MRR, pero el sistema 2 presenta mejor MAP, R-Precision y Precision@1.</t>
  </si>
  <si>
    <t>Esto significa que ambos sistemas tienen la misma efectividad al recuperar imágenes completas, pero que el sistema 2 es más efectivo obteniendo</t>
  </si>
  <si>
    <t>los resultados útiles ya que se encuentran en las primeras posiciones, y por tanto es más efectivo recuperandolos.</t>
  </si>
  <si>
    <t xml:space="preserve">2. Una estudiante de computación para su trabajo de memoria desarrolló un buscador </t>
  </si>
  <si>
    <t>de fotografías “near duplicates” cuyo objetivo es encontrar la mayor cantidad de imágenes duplicadas de una consulta.</t>
  </si>
  <si>
    <t>La estudiante implementó tres algoritmos distintos de descriptores visuales y en su trabajo desea determinar el</t>
  </si>
  <si>
    <t xml:space="preserve">descriptor que logra mayor efectividad. Para la evaluación, la estudiante construyó un conjunto de 20 imágenes de </t>
  </si>
  <si>
    <t>consulta y para cada consulta determinó las respuestas relevantes dentro de un dataset de imágenes.</t>
  </si>
  <si>
    <t xml:space="preserve">Para cada uno de los tres algoritmos, la estudiante calculó el Average Precision (AP) de cada consulta, </t>
  </si>
  <si>
    <t>y a esos 20 valores les calculó el promedio (mu) y la desviación estándar (rho) obteniendo los siguientes resultados:</t>
  </si>
  <si>
    <t>Promedio AP</t>
  </si>
  <si>
    <t>Desv. Est. AP</t>
  </si>
  <si>
    <t>Alg 1</t>
  </si>
  <si>
    <t>Alg2</t>
  </si>
  <si>
    <t>Alg3</t>
  </si>
  <si>
    <t>a. (0.3 puntos) Calcule el MAP de cada algoritmo y calcule el intervalo de confianza de cada uno (utilice un p-value de 5%). Considerando los intervalos de confianza obtenidos, señale el mejor y el peor algoritmo</t>
  </si>
  <si>
    <t>MAP 1</t>
  </si>
  <si>
    <t>MAP 2</t>
  </si>
  <si>
    <t>MAP 3</t>
  </si>
  <si>
    <t>Intervalos de confianza</t>
  </si>
  <si>
    <t>Alg 2</t>
  </si>
  <si>
    <t>Alg 3</t>
  </si>
  <si>
    <t>Delta</t>
  </si>
  <si>
    <t>El peor algoritmo seria el 3 ya que aunque tiene un MAP intermedio, su intervalo de confianza es extremadamente acotado respecto a los otros 2 algoritmos.</t>
  </si>
  <si>
    <t>El mejor algoritmo seria el 2 ya que tiene el MAP más alto, y aunque tiene un intervalo de confianza menor al algoritmo 1, la diferencia es de solo 0,04</t>
  </si>
  <si>
    <t>Además, el tercer algoritmo tiene un intervalo de confiaza que esta practicamente abarcado y extendido en el algoritmo 2</t>
  </si>
  <si>
    <t>b. (0.3 puntos) La estudiante construyó un conjunto más grande de consultas, ahora con 200 imágenes de consulta y calculó el AP de las nuevas consultas. Suponga que obtuvo el mismo promedio AP () y desviación estándar () de la tabla anterior, pero con la diferencia que ahora es el resultado de evaluar 200 consultas en vez de 20. Calcule los nuevos intervalos de confianza para este caso. ¿Hay alguna diferencia en el algoritmo que resulta ser el mejor y el peor?</t>
  </si>
  <si>
    <t>Los intervalos de confianza se acotaron notoriamente para todos los algoritmos, sin embargo, se mantuvo el orden de los delta: Alg1 &gt; Alg2 &gt; Alg3</t>
  </si>
  <si>
    <t>Se puede notar que ninguno de los intervalos de confianza se intersectan en esta ocasión debido al cambio de los limites. Y por tanto solo nos queda el MAP y delta para establecer el mejor y peor algoritmo</t>
  </si>
  <si>
    <t>Mejor algoritmo: 2 (Mayor MAP y mayor delta)</t>
  </si>
  <si>
    <t>Peor algoritmo: 1 (Peor MAP aunque mejor delta)</t>
  </si>
  <si>
    <t>3. La empresa RIM-BET necesita un software que prediga los resultados de la fase de grupos de la Copa Mundial de Fútbol, y para esto tiene dos proveedores que le ofrecen el mejor servicio de predicción del mercado. Al ingeniero jefe de RIM-BET se le ocurre la idea de evaluar ambos servicios ingresando los datos del mundial Sudáfrica 2010 y comparar las predicciones que entregue cada servicio con lo que realmente sucedió. En particular, al evaluar el caso del Grupo H, se ingresaron los datos de los equipos y ambos servicios entregaron las siguientes predicciones:</t>
  </si>
  <si>
    <t>Lugar</t>
  </si>
  <si>
    <t>Equipo</t>
  </si>
  <si>
    <t>Suiza</t>
  </si>
  <si>
    <t>Honduras</t>
  </si>
  <si>
    <t>España</t>
  </si>
  <si>
    <t>Chile</t>
  </si>
  <si>
    <t>Servicio 1</t>
  </si>
  <si>
    <t>Servicio 2</t>
  </si>
  <si>
    <t>Resultado Real</t>
  </si>
  <si>
    <t>a) (0.3 puntos) Calcule el Coeficiente de Spearman para ambos servicios y señale el que se acerca más a la respuesta real.</t>
  </si>
  <si>
    <t>Lugar R</t>
  </si>
  <si>
    <t>Lugar S1</t>
  </si>
  <si>
    <t>Diferencia</t>
  </si>
  <si>
    <t>Diferencia^2</t>
  </si>
  <si>
    <t>S</t>
  </si>
  <si>
    <t>M</t>
  </si>
  <si>
    <t>Coef. Spear</t>
  </si>
  <si>
    <t>Lugar S2</t>
  </si>
  <si>
    <t>b) (0.3 puntos) Calcule el Coeficiente de Kendall-Tau para ambos servicios y señale el que se acerca más a la respuesta real.</t>
  </si>
  <si>
    <t>Coincide</t>
  </si>
  <si>
    <t>España, Chile</t>
  </si>
  <si>
    <t>España, Suiza</t>
  </si>
  <si>
    <t>España, Honduras</t>
  </si>
  <si>
    <t>Chile, Suiza</t>
  </si>
  <si>
    <t>Chile, Honduras</t>
  </si>
  <si>
    <t>Suiza, Honduras</t>
  </si>
  <si>
    <t>Duplas</t>
  </si>
  <si>
    <t xml:space="preserve">Concordantes </t>
  </si>
  <si>
    <t>Discordantes</t>
  </si>
  <si>
    <t>N°</t>
  </si>
  <si>
    <t>D</t>
  </si>
  <si>
    <t>C</t>
  </si>
  <si>
    <t>Mn</t>
  </si>
  <si>
    <t>t</t>
  </si>
  <si>
    <t xml:space="preserve">El coeficiente de Kendall-Tau que más se acerca a la respuesta real es el del servicio X, </t>
  </si>
  <si>
    <t>ya que tuvo un tau de XXX mientras que el del servicio Y tuvo un tau de YYY.</t>
  </si>
  <si>
    <t>El coeficiente de Spearman que más se acerca a la respuesta real es el del servicio 2,</t>
  </si>
  <si>
    <t>ya que tuvo un coeficiente de -0,4 mientras que el del servicio 1 tuvo un coeficiente de -0,6, es decir, este último se aleja más de una correlación positiva perfecta.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</si>
</sst>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sz val="16"/>
      <color theme="1"/>
      <name val="Calibri"/>
      <family val="2"/>
      <scheme val="minor"/>
    </font>
    <font>
      <sz val="8"/>
      <name val="Calibri"/>
      <family val="2"/>
      <scheme val="minor"/>
    </font>
    <font>
      <b/>
      <sz val="11"/>
      <color theme="9"/>
      <name val="Calibri"/>
      <family val="2"/>
      <scheme val="minor"/>
    </font>
    <font>
      <b/>
      <sz val="11"/>
      <color theme="8"/>
      <name val="Calibri"/>
      <family val="2"/>
      <scheme val="minor"/>
    </font>
    <font>
      <b/>
      <sz val="11"/>
      <color theme="5" tint="-0.249977111117893"/>
      <name val="Calibri"/>
      <family val="2"/>
      <scheme val="minor"/>
    </font>
    <font>
      <sz val="18"/>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11" fillId="0" borderId="0" applyNumberFormat="0" applyFill="0" applyBorder="0" applyAlignment="0" applyProtection="0"/>
  </cellStyleXfs>
  <cellXfs count="47">
    <xf numFmtId="0" fontId="0" fillId="0" borderId="0" xfId="0"/>
    <xf numFmtId="0" fontId="1" fillId="0" borderId="0" xfId="0" applyFont="1"/>
    <xf numFmtId="0" fontId="2" fillId="0" borderId="0" xfId="0" applyFont="1"/>
    <xf numFmtId="3" fontId="0" fillId="0" borderId="0" xfId="0" applyNumberFormat="1"/>
    <xf numFmtId="0" fontId="0" fillId="0" borderId="0" xfId="0" applyAlignment="1">
      <alignment vertical="center"/>
    </xf>
    <xf numFmtId="0" fontId="4" fillId="0" borderId="0" xfId="0" applyFont="1"/>
    <xf numFmtId="0" fontId="0" fillId="0" borderId="1" xfId="0" applyBorder="1"/>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0" fillId="2" borderId="1" xfId="0" applyFill="1" applyBorder="1" applyAlignment="1">
      <alignment horizontal="center"/>
    </xf>
    <xf numFmtId="0" fontId="1" fillId="0" borderId="1" xfId="0" applyFont="1" applyBorder="1" applyAlignment="1">
      <alignment horizontal="center"/>
    </xf>
    <xf numFmtId="0" fontId="0" fillId="3" borderId="1" xfId="0" applyFill="1" applyBorder="1" applyAlignment="1">
      <alignment horizontal="center"/>
    </xf>
    <xf numFmtId="0" fontId="6" fillId="0" borderId="1" xfId="0" applyFont="1" applyBorder="1" applyAlignment="1">
      <alignment horizontal="center"/>
    </xf>
    <xf numFmtId="0" fontId="7" fillId="0" borderId="1" xfId="0" applyFont="1" applyBorder="1" applyAlignment="1">
      <alignment horizontal="center"/>
    </xf>
    <xf numFmtId="0" fontId="8" fillId="0" borderId="1" xfId="0" applyFont="1" applyBorder="1" applyAlignment="1">
      <alignment horizontal="center"/>
    </xf>
    <xf numFmtId="0" fontId="9" fillId="0" borderId="0" xfId="0" applyFont="1"/>
    <xf numFmtId="0" fontId="1" fillId="0" borderId="1" xfId="0" applyFont="1" applyBorder="1"/>
    <xf numFmtId="0" fontId="0" fillId="4" borderId="1" xfId="0" applyFill="1" applyBorder="1" applyAlignment="1">
      <alignment horizontal="center"/>
    </xf>
    <xf numFmtId="0" fontId="10" fillId="0" borderId="0" xfId="0" applyFont="1"/>
    <xf numFmtId="0" fontId="0" fillId="5" borderId="1" xfId="0" applyFill="1" applyBorder="1"/>
    <xf numFmtId="0" fontId="0" fillId="6" borderId="1" xfId="0" applyFill="1" applyBorder="1"/>
    <xf numFmtId="0" fontId="12" fillId="6" borderId="1" xfId="2" applyFont="1" applyFill="1" applyBorder="1"/>
    <xf numFmtId="0" fontId="0" fillId="0" borderId="0" xfId="0" applyAlignment="1">
      <alignment wrapText="1"/>
    </xf>
    <xf numFmtId="0" fontId="0" fillId="0" borderId="0" xfId="0" applyAlignment="1">
      <alignment horizontal="left"/>
    </xf>
    <xf numFmtId="0" fontId="1" fillId="2" borderId="1" xfId="0" applyFont="1" applyFill="1" applyBorder="1" applyAlignment="1">
      <alignment horizontal="center" vertical="center"/>
    </xf>
    <xf numFmtId="0" fontId="1" fillId="7"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7"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2" xfId="0" applyBorder="1"/>
    <xf numFmtId="0" fontId="0" fillId="0" borderId="3" xfId="0" applyBorder="1"/>
    <xf numFmtId="0" fontId="1" fillId="7" borderId="0" xfId="0" applyFont="1" applyFill="1" applyAlignment="1">
      <alignment horizontal="center"/>
    </xf>
    <xf numFmtId="0" fontId="1" fillId="5" borderId="2" xfId="0" applyFont="1" applyFill="1" applyBorder="1" applyAlignment="1">
      <alignment horizontal="center"/>
    </xf>
    <xf numFmtId="0" fontId="1" fillId="5" borderId="4" xfId="0" applyFont="1" applyFill="1" applyBorder="1" applyAlignment="1">
      <alignment horizontal="center"/>
    </xf>
    <xf numFmtId="0" fontId="1" fillId="5" borderId="3" xfId="0" applyFont="1" applyFill="1" applyBorder="1" applyAlignment="1">
      <alignment horizontal="center"/>
    </xf>
    <xf numFmtId="0" fontId="1" fillId="8" borderId="2" xfId="0" applyFont="1" applyFill="1" applyBorder="1" applyAlignment="1">
      <alignment horizontal="center"/>
    </xf>
    <xf numFmtId="0" fontId="1" fillId="8" borderId="4" xfId="0" applyFont="1" applyFill="1" applyBorder="1" applyAlignment="1">
      <alignment horizontal="center"/>
    </xf>
    <xf numFmtId="0" fontId="1" fillId="8" borderId="3"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applyAlignment="1">
      <alignment horizontal="center"/>
    </xf>
  </cellXfs>
  <cellStyles count="3">
    <cellStyle name="Hipervínculo" xfId="2" builtinId="8"/>
    <cellStyle name="Normal" xfId="0" builtinId="0"/>
    <cellStyle name="Normal 2" xfId="1" xr:uid="{A6983AB9-6F6B-4A6C-B9DC-80F623F855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21166</xdr:colOff>
      <xdr:row>48</xdr:row>
      <xdr:rowOff>74084</xdr:rowOff>
    </xdr:from>
    <xdr:to>
      <xdr:col>23</xdr:col>
      <xdr:colOff>208414</xdr:colOff>
      <xdr:row>49</xdr:row>
      <xdr:rowOff>124202</xdr:rowOff>
    </xdr:to>
    <xdr:pic>
      <xdr:nvPicPr>
        <xdr:cNvPr id="3" name="Picture 3">
          <a:extLst>
            <a:ext uri="{FF2B5EF4-FFF2-40B4-BE49-F238E27FC236}">
              <a16:creationId xmlns:a16="http://schemas.microsoft.com/office/drawing/2014/main" id="{4DE37F23-5C53-4D6E-95C3-CF004B0E23F4}"/>
            </a:ext>
          </a:extLst>
        </xdr:cNvPr>
        <xdr:cNvPicPr>
          <a:picLocks noChangeAspect="1"/>
        </xdr:cNvPicPr>
      </xdr:nvPicPr>
      <xdr:blipFill>
        <a:blip xmlns:r="http://schemas.openxmlformats.org/officeDocument/2006/relationships" r:embed="rId1"/>
        <a:stretch>
          <a:fillRect/>
        </a:stretch>
      </xdr:blipFill>
      <xdr:spPr>
        <a:xfrm>
          <a:off x="8000999" y="9165167"/>
          <a:ext cx="6525607" cy="230034"/>
        </a:xfrm>
        <a:prstGeom prst="rect">
          <a:avLst/>
        </a:prstGeom>
      </xdr:spPr>
    </xdr:pic>
    <xdr:clientData/>
  </xdr:twoCellAnchor>
  <xdr:twoCellAnchor>
    <xdr:from>
      <xdr:col>20</xdr:col>
      <xdr:colOff>5773</xdr:colOff>
      <xdr:row>51</xdr:row>
      <xdr:rowOff>86591</xdr:rowOff>
    </xdr:from>
    <xdr:to>
      <xdr:col>20</xdr:col>
      <xdr:colOff>604664</xdr:colOff>
      <xdr:row>51</xdr:row>
      <xdr:rowOff>98720</xdr:rowOff>
    </xdr:to>
    <xdr:cxnSp macro="">
      <xdr:nvCxnSpPr>
        <xdr:cNvPr id="4" name="Straight Arrow Connector 5">
          <a:extLst>
            <a:ext uri="{FF2B5EF4-FFF2-40B4-BE49-F238E27FC236}">
              <a16:creationId xmlns:a16="http://schemas.microsoft.com/office/drawing/2014/main" id="{F94E3DE0-7679-47FA-B19E-303FCEFE3062}"/>
            </a:ext>
          </a:extLst>
        </xdr:cNvPr>
        <xdr:cNvCxnSpPr/>
      </xdr:nvCxnSpPr>
      <xdr:spPr>
        <a:xfrm>
          <a:off x="12222453" y="9816745"/>
          <a:ext cx="598891" cy="12129"/>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9255</xdr:colOff>
      <xdr:row>52</xdr:row>
      <xdr:rowOff>80211</xdr:rowOff>
    </xdr:from>
    <xdr:to>
      <xdr:col>20</xdr:col>
      <xdr:colOff>608146</xdr:colOff>
      <xdr:row>52</xdr:row>
      <xdr:rowOff>92340</xdr:rowOff>
    </xdr:to>
    <xdr:cxnSp macro="">
      <xdr:nvCxnSpPr>
        <xdr:cNvPr id="7" name="Straight Arrow Connector 5">
          <a:extLst>
            <a:ext uri="{FF2B5EF4-FFF2-40B4-BE49-F238E27FC236}">
              <a16:creationId xmlns:a16="http://schemas.microsoft.com/office/drawing/2014/main" id="{EBA1E37B-1A2B-4951-9692-0314002726F1}"/>
            </a:ext>
          </a:extLst>
        </xdr:cNvPr>
        <xdr:cNvCxnSpPr/>
      </xdr:nvCxnSpPr>
      <xdr:spPr>
        <a:xfrm>
          <a:off x="12225935" y="9992381"/>
          <a:ext cx="598891" cy="12129"/>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0</xdr:colOff>
      <xdr:row>52</xdr:row>
      <xdr:rowOff>101806</xdr:rowOff>
    </xdr:from>
    <xdr:to>
      <xdr:col>20</xdr:col>
      <xdr:colOff>607749</xdr:colOff>
      <xdr:row>53</xdr:row>
      <xdr:rowOff>74041</xdr:rowOff>
    </xdr:to>
    <xdr:cxnSp macro="">
      <xdr:nvCxnSpPr>
        <xdr:cNvPr id="8" name="Straight Arrow Connector 5">
          <a:extLst>
            <a:ext uri="{FF2B5EF4-FFF2-40B4-BE49-F238E27FC236}">
              <a16:creationId xmlns:a16="http://schemas.microsoft.com/office/drawing/2014/main" id="{A22B18F4-D11F-42BC-9432-5F2F701FBE02}"/>
            </a:ext>
          </a:extLst>
        </xdr:cNvPr>
        <xdr:cNvCxnSpPr/>
      </xdr:nvCxnSpPr>
      <xdr:spPr>
        <a:xfrm flipV="1">
          <a:off x="12216680" y="10013976"/>
          <a:ext cx="607749" cy="154251"/>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0</xdr:colOff>
      <xdr:row>53</xdr:row>
      <xdr:rowOff>98721</xdr:rowOff>
    </xdr:from>
    <xdr:to>
      <xdr:col>21</xdr:col>
      <xdr:colOff>0</xdr:colOff>
      <xdr:row>54</xdr:row>
      <xdr:rowOff>89466</xdr:rowOff>
    </xdr:to>
    <xdr:cxnSp macro="">
      <xdr:nvCxnSpPr>
        <xdr:cNvPr id="10" name="Straight Arrow Connector 5">
          <a:extLst>
            <a:ext uri="{FF2B5EF4-FFF2-40B4-BE49-F238E27FC236}">
              <a16:creationId xmlns:a16="http://schemas.microsoft.com/office/drawing/2014/main" id="{00235F39-749A-4707-8FBA-C8AAEF36B970}"/>
            </a:ext>
          </a:extLst>
        </xdr:cNvPr>
        <xdr:cNvCxnSpPr/>
      </xdr:nvCxnSpPr>
      <xdr:spPr>
        <a:xfrm flipV="1">
          <a:off x="12216680" y="10192907"/>
          <a:ext cx="610834" cy="172761"/>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5013</xdr:colOff>
      <xdr:row>54</xdr:row>
      <xdr:rowOff>80211</xdr:rowOff>
    </xdr:from>
    <xdr:to>
      <xdr:col>20</xdr:col>
      <xdr:colOff>606592</xdr:colOff>
      <xdr:row>55</xdr:row>
      <xdr:rowOff>107782</xdr:rowOff>
    </xdr:to>
    <xdr:cxnSp macro="">
      <xdr:nvCxnSpPr>
        <xdr:cNvPr id="12" name="Straight Arrow Connector 5">
          <a:extLst>
            <a:ext uri="{FF2B5EF4-FFF2-40B4-BE49-F238E27FC236}">
              <a16:creationId xmlns:a16="http://schemas.microsoft.com/office/drawing/2014/main" id="{2F5783EE-0749-4485-A315-46D545EFD81E}"/>
            </a:ext>
          </a:extLst>
        </xdr:cNvPr>
        <xdr:cNvCxnSpPr/>
      </xdr:nvCxnSpPr>
      <xdr:spPr>
        <a:xfrm flipV="1">
          <a:off x="12186987" y="10407316"/>
          <a:ext cx="601579" cy="210552"/>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13</xdr:col>
      <xdr:colOff>7697</xdr:colOff>
      <xdr:row>59</xdr:row>
      <xdr:rowOff>107758</xdr:rowOff>
    </xdr:from>
    <xdr:to>
      <xdr:col>23</xdr:col>
      <xdr:colOff>194945</xdr:colOff>
      <xdr:row>60</xdr:row>
      <xdr:rowOff>157874</xdr:rowOff>
    </xdr:to>
    <xdr:pic>
      <xdr:nvPicPr>
        <xdr:cNvPr id="17" name="Picture 3">
          <a:extLst>
            <a:ext uri="{FF2B5EF4-FFF2-40B4-BE49-F238E27FC236}">
              <a16:creationId xmlns:a16="http://schemas.microsoft.com/office/drawing/2014/main" id="{F1E883C2-C5D5-4263-9DB0-F9F9FD64ACD4}"/>
            </a:ext>
          </a:extLst>
        </xdr:cNvPr>
        <xdr:cNvPicPr>
          <a:picLocks noChangeAspect="1"/>
        </xdr:cNvPicPr>
      </xdr:nvPicPr>
      <xdr:blipFill>
        <a:blip xmlns:r="http://schemas.openxmlformats.org/officeDocument/2006/relationships" r:embed="rId1"/>
        <a:stretch>
          <a:fillRect/>
        </a:stretch>
      </xdr:blipFill>
      <xdr:spPr>
        <a:xfrm>
          <a:off x="7912485" y="11460788"/>
          <a:ext cx="6467879" cy="234845"/>
        </a:xfrm>
        <a:prstGeom prst="rect">
          <a:avLst/>
        </a:prstGeom>
      </xdr:spPr>
    </xdr:pic>
    <xdr:clientData/>
  </xdr:twoCellAnchor>
  <xdr:twoCellAnchor>
    <xdr:from>
      <xdr:col>20</xdr:col>
      <xdr:colOff>3682</xdr:colOff>
      <xdr:row>62</xdr:row>
      <xdr:rowOff>95711</xdr:rowOff>
    </xdr:from>
    <xdr:to>
      <xdr:col>20</xdr:col>
      <xdr:colOff>602573</xdr:colOff>
      <xdr:row>62</xdr:row>
      <xdr:rowOff>107840</xdr:rowOff>
    </xdr:to>
    <xdr:cxnSp macro="">
      <xdr:nvCxnSpPr>
        <xdr:cNvPr id="20" name="Straight Arrow Connector 5">
          <a:extLst>
            <a:ext uri="{FF2B5EF4-FFF2-40B4-BE49-F238E27FC236}">
              <a16:creationId xmlns:a16="http://schemas.microsoft.com/office/drawing/2014/main" id="{3AB91001-DAB2-4252-B8F4-F33A700FFE33}"/>
            </a:ext>
          </a:extLst>
        </xdr:cNvPr>
        <xdr:cNvCxnSpPr/>
      </xdr:nvCxnSpPr>
      <xdr:spPr>
        <a:xfrm>
          <a:off x="12225131" y="11945363"/>
          <a:ext cx="598891" cy="12129"/>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3681</xdr:colOff>
      <xdr:row>62</xdr:row>
      <xdr:rowOff>121478</xdr:rowOff>
    </xdr:from>
    <xdr:to>
      <xdr:col>20</xdr:col>
      <xdr:colOff>600029</xdr:colOff>
      <xdr:row>63</xdr:row>
      <xdr:rowOff>84667</xdr:rowOff>
    </xdr:to>
    <xdr:cxnSp macro="">
      <xdr:nvCxnSpPr>
        <xdr:cNvPr id="21" name="Straight Arrow Connector 5">
          <a:extLst>
            <a:ext uri="{FF2B5EF4-FFF2-40B4-BE49-F238E27FC236}">
              <a16:creationId xmlns:a16="http://schemas.microsoft.com/office/drawing/2014/main" id="{2DCC3493-8456-459C-99B4-D0A6CB37572A}"/>
            </a:ext>
          </a:extLst>
        </xdr:cNvPr>
        <xdr:cNvCxnSpPr/>
      </xdr:nvCxnSpPr>
      <xdr:spPr>
        <a:xfrm flipV="1">
          <a:off x="12225130" y="11971130"/>
          <a:ext cx="596348" cy="147247"/>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607391</xdr:colOff>
      <xdr:row>63</xdr:row>
      <xdr:rowOff>80986</xdr:rowOff>
    </xdr:from>
    <xdr:to>
      <xdr:col>21</xdr:col>
      <xdr:colOff>0</xdr:colOff>
      <xdr:row>64</xdr:row>
      <xdr:rowOff>103073</xdr:rowOff>
    </xdr:to>
    <xdr:cxnSp macro="">
      <xdr:nvCxnSpPr>
        <xdr:cNvPr id="23" name="Straight Arrow Connector 5">
          <a:extLst>
            <a:ext uri="{FF2B5EF4-FFF2-40B4-BE49-F238E27FC236}">
              <a16:creationId xmlns:a16="http://schemas.microsoft.com/office/drawing/2014/main" id="{E3D2090E-3F4F-44A5-AD84-12EC9E3F2714}"/>
            </a:ext>
          </a:extLst>
        </xdr:cNvPr>
        <xdr:cNvCxnSpPr/>
      </xdr:nvCxnSpPr>
      <xdr:spPr>
        <a:xfrm flipV="1">
          <a:off x="12217768" y="12114696"/>
          <a:ext cx="614754" cy="206145"/>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7363</xdr:colOff>
      <xdr:row>64</xdr:row>
      <xdr:rowOff>95710</xdr:rowOff>
    </xdr:from>
    <xdr:to>
      <xdr:col>21</xdr:col>
      <xdr:colOff>0</xdr:colOff>
      <xdr:row>65</xdr:row>
      <xdr:rowOff>103073</xdr:rowOff>
    </xdr:to>
    <xdr:cxnSp macro="">
      <xdr:nvCxnSpPr>
        <xdr:cNvPr id="26" name="Straight Arrow Connector 5">
          <a:extLst>
            <a:ext uri="{FF2B5EF4-FFF2-40B4-BE49-F238E27FC236}">
              <a16:creationId xmlns:a16="http://schemas.microsoft.com/office/drawing/2014/main" id="{2C3504D0-2F92-48E6-A510-BF98A8BF970C}"/>
            </a:ext>
          </a:extLst>
        </xdr:cNvPr>
        <xdr:cNvCxnSpPr/>
      </xdr:nvCxnSpPr>
      <xdr:spPr>
        <a:xfrm flipV="1">
          <a:off x="12228812" y="12313478"/>
          <a:ext cx="603710" cy="191421"/>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3681</xdr:colOff>
      <xdr:row>65</xdr:row>
      <xdr:rowOff>69942</xdr:rowOff>
    </xdr:from>
    <xdr:to>
      <xdr:col>20</xdr:col>
      <xdr:colOff>607392</xdr:colOff>
      <xdr:row>66</xdr:row>
      <xdr:rowOff>103073</xdr:rowOff>
    </xdr:to>
    <xdr:cxnSp macro="">
      <xdr:nvCxnSpPr>
        <xdr:cNvPr id="28" name="Straight Arrow Connector 5">
          <a:extLst>
            <a:ext uri="{FF2B5EF4-FFF2-40B4-BE49-F238E27FC236}">
              <a16:creationId xmlns:a16="http://schemas.microsoft.com/office/drawing/2014/main" id="{C59F0E23-73D4-4A29-98E3-A4590CA39007}"/>
            </a:ext>
          </a:extLst>
        </xdr:cNvPr>
        <xdr:cNvCxnSpPr/>
      </xdr:nvCxnSpPr>
      <xdr:spPr>
        <a:xfrm flipV="1">
          <a:off x="12225130" y="12471768"/>
          <a:ext cx="603711" cy="217189"/>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611072</xdr:colOff>
      <xdr:row>65</xdr:row>
      <xdr:rowOff>80986</xdr:rowOff>
    </xdr:from>
    <xdr:to>
      <xdr:col>20</xdr:col>
      <xdr:colOff>603710</xdr:colOff>
      <xdr:row>67</xdr:row>
      <xdr:rowOff>92030</xdr:rowOff>
    </xdr:to>
    <xdr:cxnSp macro="">
      <xdr:nvCxnSpPr>
        <xdr:cNvPr id="31" name="Straight Arrow Connector 5">
          <a:extLst>
            <a:ext uri="{FF2B5EF4-FFF2-40B4-BE49-F238E27FC236}">
              <a16:creationId xmlns:a16="http://schemas.microsoft.com/office/drawing/2014/main" id="{798417E7-0485-431B-8D8F-6C58AB6F3EF8}"/>
            </a:ext>
          </a:extLst>
        </xdr:cNvPr>
        <xdr:cNvCxnSpPr/>
      </xdr:nvCxnSpPr>
      <xdr:spPr>
        <a:xfrm flipV="1">
          <a:off x="12221449" y="12482812"/>
          <a:ext cx="603710" cy="379160"/>
        </a:xfrm>
        <a:prstGeom prst="straightConnector1">
          <a:avLst/>
        </a:prstGeom>
        <a:ln>
          <a:solidFill>
            <a:schemeClr val="accent6">
              <a:lumMod val="75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mailto:Prec@1" TargetMode="External"/><Relationship Id="rId2" Type="http://schemas.openxmlformats.org/officeDocument/2006/relationships/hyperlink" Target="mailto:Rec@12" TargetMode="External"/><Relationship Id="rId1" Type="http://schemas.openxmlformats.org/officeDocument/2006/relationships/hyperlink" Target="mailto:Prec@1" TargetMode="External"/><Relationship Id="rId6" Type="http://schemas.openxmlformats.org/officeDocument/2006/relationships/hyperlink" Target="mailto:Prec@1" TargetMode="External"/><Relationship Id="rId5" Type="http://schemas.openxmlformats.org/officeDocument/2006/relationships/hyperlink" Target="mailto:Rec@12" TargetMode="External"/><Relationship Id="rId4" Type="http://schemas.openxmlformats.org/officeDocument/2006/relationships/hyperlink" Target="mailto:Pre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4"/>
  <sheetViews>
    <sheetView tabSelected="1" topLeftCell="N47" zoomScale="127" zoomScaleNormal="115" workbookViewId="0">
      <selection activeCell="M45" sqref="M45"/>
    </sheetView>
  </sheetViews>
  <sheetFormatPr baseColWidth="10" defaultColWidth="8.88671875" defaultRowHeight="14.4" x14ac:dyDescent="0.3"/>
  <cols>
    <col min="14" max="14" width="11.77734375" customWidth="1"/>
  </cols>
  <sheetData>
    <row r="1" spans="1:13" ht="21" x14ac:dyDescent="0.4">
      <c r="A1" s="2" t="s">
        <v>0</v>
      </c>
      <c r="D1" t="s">
        <v>16</v>
      </c>
    </row>
    <row r="3" spans="1:13" ht="21" x14ac:dyDescent="0.4">
      <c r="A3" s="5" t="s">
        <v>1</v>
      </c>
    </row>
    <row r="5" spans="1:13" x14ac:dyDescent="0.3">
      <c r="A5" s="1" t="s">
        <v>2</v>
      </c>
      <c r="L5" t="s">
        <v>9</v>
      </c>
    </row>
    <row r="7" spans="1:13" x14ac:dyDescent="0.3">
      <c r="A7" t="s">
        <v>4</v>
      </c>
      <c r="C7" t="s">
        <v>5</v>
      </c>
      <c r="D7">
        <f>3*60+49</f>
        <v>229</v>
      </c>
      <c r="L7" t="s">
        <v>13</v>
      </c>
    </row>
    <row r="8" spans="1:13" x14ac:dyDescent="0.3">
      <c r="A8" t="s">
        <v>6</v>
      </c>
      <c r="C8" t="s">
        <v>7</v>
      </c>
      <c r="M8" t="s">
        <v>15</v>
      </c>
    </row>
    <row r="9" spans="1:13" x14ac:dyDescent="0.3">
      <c r="A9" t="s">
        <v>8</v>
      </c>
      <c r="C9" t="s">
        <v>10</v>
      </c>
      <c r="J9" s="3" t="s">
        <v>11</v>
      </c>
      <c r="M9" s="1" t="s">
        <v>14</v>
      </c>
    </row>
    <row r="10" spans="1:13" x14ac:dyDescent="0.3">
      <c r="A10" s="1" t="s">
        <v>12</v>
      </c>
      <c r="B10" s="1"/>
    </row>
    <row r="14" spans="1:13" x14ac:dyDescent="0.3">
      <c r="A14" s="1" t="s">
        <v>3</v>
      </c>
    </row>
    <row r="15" spans="1:13" x14ac:dyDescent="0.3">
      <c r="A15" s="1" t="s">
        <v>18</v>
      </c>
    </row>
    <row r="16" spans="1:13" x14ac:dyDescent="0.3">
      <c r="A16" s="4" t="s">
        <v>115</v>
      </c>
    </row>
    <row r="17" spans="1:12" x14ac:dyDescent="0.3">
      <c r="A17" s="4" t="s">
        <v>116</v>
      </c>
    </row>
    <row r="18" spans="1:12" x14ac:dyDescent="0.3">
      <c r="A18" s="4"/>
    </row>
    <row r="20" spans="1:12" ht="21" x14ac:dyDescent="0.4">
      <c r="A20" s="5" t="s">
        <v>17</v>
      </c>
    </row>
    <row r="21" spans="1:12" x14ac:dyDescent="0.3">
      <c r="A21" s="4"/>
      <c r="B21" s="4" t="s">
        <v>21</v>
      </c>
      <c r="E21" t="s">
        <v>22</v>
      </c>
      <c r="H21">
        <f>48000*0.04</f>
        <v>1920</v>
      </c>
      <c r="I21" t="s">
        <v>24</v>
      </c>
    </row>
    <row r="22" spans="1:12" x14ac:dyDescent="0.3">
      <c r="A22" s="1" t="s">
        <v>19</v>
      </c>
    </row>
    <row r="23" spans="1:12" x14ac:dyDescent="0.3">
      <c r="A23" s="1" t="s">
        <v>18</v>
      </c>
    </row>
    <row r="24" spans="1:12" x14ac:dyDescent="0.3">
      <c r="A24" t="s">
        <v>23</v>
      </c>
    </row>
    <row r="25" spans="1:12" x14ac:dyDescent="0.3">
      <c r="A25" t="s">
        <v>60</v>
      </c>
      <c r="K25">
        <f>H21/2+1</f>
        <v>961</v>
      </c>
      <c r="L25" t="s">
        <v>61</v>
      </c>
    </row>
    <row r="28" spans="1:12" x14ac:dyDescent="0.3">
      <c r="A28" s="1" t="s">
        <v>20</v>
      </c>
    </row>
    <row r="29" spans="1:12" x14ac:dyDescent="0.3">
      <c r="A29" s="1" t="s">
        <v>18</v>
      </c>
    </row>
    <row r="30" spans="1:12" x14ac:dyDescent="0.3">
      <c r="A30" t="s">
        <v>25</v>
      </c>
    </row>
    <row r="31" spans="1:12" x14ac:dyDescent="0.3">
      <c r="A31" t="s">
        <v>26</v>
      </c>
      <c r="E31">
        <f>100/0.04</f>
        <v>2500</v>
      </c>
      <c r="F31" t="s">
        <v>27</v>
      </c>
    </row>
    <row r="34" spans="1:1" ht="21" x14ac:dyDescent="0.4">
      <c r="A34" s="5" t="s">
        <v>28</v>
      </c>
    </row>
    <row r="36" spans="1:1" x14ac:dyDescent="0.3">
      <c r="A36" s="1" t="s">
        <v>29</v>
      </c>
    </row>
    <row r="37" spans="1:1" x14ac:dyDescent="0.3">
      <c r="A37" s="1" t="s">
        <v>18</v>
      </c>
    </row>
    <row r="38" spans="1:1" x14ac:dyDescent="0.3">
      <c r="A38" t="s">
        <v>31</v>
      </c>
    </row>
    <row r="39" spans="1:1" x14ac:dyDescent="0.3">
      <c r="A39" t="s">
        <v>32</v>
      </c>
    </row>
    <row r="41" spans="1:1" x14ac:dyDescent="0.3">
      <c r="A41" s="1" t="s">
        <v>30</v>
      </c>
    </row>
    <row r="42" spans="1:1" x14ac:dyDescent="0.3">
      <c r="A42" s="1" t="s">
        <v>18</v>
      </c>
    </row>
    <row r="43" spans="1:1" x14ac:dyDescent="0.3">
      <c r="A43" t="s">
        <v>33</v>
      </c>
    </row>
    <row r="44" spans="1:1" x14ac:dyDescent="0.3">
      <c r="A44" t="s">
        <v>34</v>
      </c>
    </row>
    <row r="45" spans="1:1" x14ac:dyDescent="0.3">
      <c r="A45" s="1"/>
    </row>
    <row r="46" spans="1:1" ht="21" x14ac:dyDescent="0.4">
      <c r="A46" s="5" t="s">
        <v>35</v>
      </c>
    </row>
    <row r="48" spans="1:1" x14ac:dyDescent="0.3">
      <c r="A48" s="1" t="s">
        <v>36</v>
      </c>
    </row>
    <row r="50" spans="1:26" x14ac:dyDescent="0.3">
      <c r="J50" t="s">
        <v>54</v>
      </c>
    </row>
    <row r="51" spans="1:26" x14ac:dyDescent="0.3">
      <c r="B51" s="7"/>
      <c r="C51" s="9" t="s">
        <v>37</v>
      </c>
      <c r="D51" s="9" t="s">
        <v>38</v>
      </c>
      <c r="E51" s="9" t="s">
        <v>39</v>
      </c>
      <c r="F51" s="9" t="s">
        <v>40</v>
      </c>
      <c r="H51" s="7"/>
      <c r="I51" s="9" t="s">
        <v>37</v>
      </c>
      <c r="J51" s="9" t="s">
        <v>38</v>
      </c>
      <c r="K51" s="9" t="s">
        <v>39</v>
      </c>
      <c r="L51" s="9" t="s">
        <v>40</v>
      </c>
      <c r="N51" s="7"/>
      <c r="O51" s="9" t="s">
        <v>37</v>
      </c>
      <c r="P51" s="9" t="s">
        <v>38</v>
      </c>
      <c r="Q51" s="9" t="s">
        <v>39</v>
      </c>
      <c r="R51" s="9" t="s">
        <v>40</v>
      </c>
    </row>
    <row r="52" spans="1:26" x14ac:dyDescent="0.3">
      <c r="B52" s="9" t="s">
        <v>41</v>
      </c>
      <c r="C52" s="8">
        <v>2</v>
      </c>
      <c r="D52" s="8">
        <v>10</v>
      </c>
      <c r="E52" s="8">
        <v>2</v>
      </c>
      <c r="F52" s="8">
        <v>3</v>
      </c>
      <c r="H52" s="9" t="s">
        <v>41</v>
      </c>
      <c r="I52" s="8">
        <f>C52</f>
        <v>2</v>
      </c>
      <c r="J52" s="8">
        <f>C52+D52</f>
        <v>12</v>
      </c>
      <c r="K52" s="8">
        <f>E52+J52</f>
        <v>14</v>
      </c>
      <c r="L52" s="8">
        <f>F52+K52</f>
        <v>17</v>
      </c>
      <c r="N52" s="9" t="s">
        <v>41</v>
      </c>
      <c r="O52" s="10">
        <f>I52</f>
        <v>2</v>
      </c>
      <c r="P52" s="8">
        <f>I52+J52</f>
        <v>14</v>
      </c>
      <c r="Q52" s="8">
        <f>K52+P52</f>
        <v>28</v>
      </c>
      <c r="R52" s="8">
        <f>L52+Q52</f>
        <v>45</v>
      </c>
      <c r="T52" s="11" t="s">
        <v>41</v>
      </c>
      <c r="V52" s="11" t="s">
        <v>37</v>
      </c>
      <c r="X52" t="s">
        <v>56</v>
      </c>
    </row>
    <row r="53" spans="1:26" x14ac:dyDescent="0.3">
      <c r="B53" s="9" t="s">
        <v>42</v>
      </c>
      <c r="C53" s="8">
        <v>11</v>
      </c>
      <c r="D53" s="8">
        <v>3</v>
      </c>
      <c r="E53" s="8">
        <v>11</v>
      </c>
      <c r="F53" s="8">
        <v>8</v>
      </c>
      <c r="H53" s="9" t="s">
        <v>42</v>
      </c>
      <c r="I53" s="8">
        <f>C52+C53</f>
        <v>13</v>
      </c>
      <c r="J53" s="8"/>
      <c r="K53" s="8"/>
      <c r="L53" s="8"/>
      <c r="N53" s="9" t="s">
        <v>42</v>
      </c>
      <c r="O53" s="8">
        <f>I52+I53</f>
        <v>15</v>
      </c>
      <c r="P53" s="10">
        <f>MIN(O53,O52,P52)+D53</f>
        <v>5</v>
      </c>
      <c r="Q53" s="8">
        <f>MIN(P53,P52,Q52)+E53</f>
        <v>16</v>
      </c>
      <c r="R53" s="8">
        <f t="shared" ref="R53" si="0">MIN(Q53,Q52,R52)+F53</f>
        <v>24</v>
      </c>
      <c r="T53" s="11" t="s">
        <v>42</v>
      </c>
      <c r="V53" s="11" t="s">
        <v>38</v>
      </c>
      <c r="X53" t="s">
        <v>57</v>
      </c>
      <c r="Z53">
        <f>SUM(O52,P53,P54,Q55,R56)</f>
        <v>36</v>
      </c>
    </row>
    <row r="54" spans="1:26" x14ac:dyDescent="0.3">
      <c r="B54" s="9" t="s">
        <v>43</v>
      </c>
      <c r="C54" s="8">
        <v>8</v>
      </c>
      <c r="D54" s="8">
        <v>2</v>
      </c>
      <c r="E54" s="8">
        <v>8</v>
      </c>
      <c r="F54" s="8">
        <v>7</v>
      </c>
      <c r="H54" s="9" t="s">
        <v>43</v>
      </c>
      <c r="I54" s="8">
        <f>C54+I53</f>
        <v>21</v>
      </c>
      <c r="J54" s="8"/>
      <c r="K54" s="8"/>
      <c r="L54" s="8"/>
      <c r="N54" s="9" t="s">
        <v>43</v>
      </c>
      <c r="O54" s="8">
        <f>I54+O53</f>
        <v>36</v>
      </c>
      <c r="P54" s="10">
        <f>MIN(O54,O53,P53)+D54</f>
        <v>7</v>
      </c>
      <c r="Q54" s="8">
        <f>MIN(P54,P53,Q53)+E54</f>
        <v>13</v>
      </c>
      <c r="R54" s="8">
        <f t="shared" ref="R54:R56" si="1">MIN(Q54,Q53,R53)+F54</f>
        <v>20</v>
      </c>
      <c r="T54" s="11" t="s">
        <v>43</v>
      </c>
      <c r="V54" s="11" t="s">
        <v>39</v>
      </c>
    </row>
    <row r="55" spans="1:26" x14ac:dyDescent="0.3">
      <c r="B55" s="9" t="s">
        <v>44</v>
      </c>
      <c r="C55" s="8">
        <v>1</v>
      </c>
      <c r="D55" s="8">
        <v>9</v>
      </c>
      <c r="E55" s="8">
        <v>3</v>
      </c>
      <c r="F55" s="8">
        <v>2</v>
      </c>
      <c r="H55" s="9" t="s">
        <v>44</v>
      </c>
      <c r="I55" s="8">
        <f>C55+I54</f>
        <v>22</v>
      </c>
      <c r="J55" s="8"/>
      <c r="K55" s="8"/>
      <c r="L55" s="8"/>
      <c r="N55" s="9" t="s">
        <v>44</v>
      </c>
      <c r="O55" s="8">
        <f>I55+O54</f>
        <v>58</v>
      </c>
      <c r="P55" s="8">
        <f t="shared" ref="P55:P56" si="2">MIN(O55,O54,P54)+D55</f>
        <v>16</v>
      </c>
      <c r="Q55" s="10">
        <f t="shared" ref="Q55:Q56" si="3">MIN(P55,P54,Q54)+E55</f>
        <v>10</v>
      </c>
      <c r="R55" s="8">
        <f t="shared" si="1"/>
        <v>12</v>
      </c>
      <c r="T55" s="11" t="s">
        <v>44</v>
      </c>
      <c r="V55" s="11" t="s">
        <v>40</v>
      </c>
    </row>
    <row r="56" spans="1:26" x14ac:dyDescent="0.3">
      <c r="B56" s="9" t="s">
        <v>45</v>
      </c>
      <c r="C56" s="8">
        <v>3</v>
      </c>
      <c r="D56" s="8">
        <v>7</v>
      </c>
      <c r="E56" s="8">
        <v>3</v>
      </c>
      <c r="F56" s="8">
        <v>2</v>
      </c>
      <c r="H56" s="9" t="s">
        <v>45</v>
      </c>
      <c r="I56" s="8">
        <f>C56+I55</f>
        <v>25</v>
      </c>
      <c r="J56" s="8"/>
      <c r="K56" s="8"/>
      <c r="L56" s="8"/>
      <c r="N56" s="9" t="s">
        <v>45</v>
      </c>
      <c r="O56" s="8">
        <f>I56+O55</f>
        <v>83</v>
      </c>
      <c r="P56" s="8">
        <f t="shared" si="2"/>
        <v>23</v>
      </c>
      <c r="Q56" s="8">
        <f t="shared" si="3"/>
        <v>13</v>
      </c>
      <c r="R56" s="10">
        <f t="shared" si="1"/>
        <v>12</v>
      </c>
      <c r="T56" s="11" t="s">
        <v>45</v>
      </c>
    </row>
    <row r="59" spans="1:26" x14ac:dyDescent="0.3">
      <c r="A59" s="1" t="s">
        <v>46</v>
      </c>
    </row>
    <row r="61" spans="1:26" x14ac:dyDescent="0.3">
      <c r="J61" t="s">
        <v>54</v>
      </c>
    </row>
    <row r="62" spans="1:26" x14ac:dyDescent="0.3">
      <c r="B62" s="7"/>
      <c r="C62" s="9" t="s">
        <v>37</v>
      </c>
      <c r="D62" s="9" t="s">
        <v>38</v>
      </c>
      <c r="E62" s="9" t="s">
        <v>39</v>
      </c>
      <c r="F62" s="9" t="s">
        <v>40</v>
      </c>
      <c r="H62" s="7"/>
      <c r="I62" s="9" t="s">
        <v>37</v>
      </c>
      <c r="J62" s="9" t="s">
        <v>38</v>
      </c>
      <c r="K62" s="9" t="s">
        <v>39</v>
      </c>
      <c r="L62" s="9" t="s">
        <v>40</v>
      </c>
      <c r="N62" s="7"/>
      <c r="O62" s="9" t="s">
        <v>37</v>
      </c>
      <c r="P62" s="9" t="s">
        <v>38</v>
      </c>
      <c r="Q62" s="9" t="s">
        <v>39</v>
      </c>
      <c r="R62" s="9" t="s">
        <v>40</v>
      </c>
    </row>
    <row r="63" spans="1:26" x14ac:dyDescent="0.3">
      <c r="B63" s="9" t="s">
        <v>48</v>
      </c>
      <c r="C63" s="8">
        <v>2</v>
      </c>
      <c r="D63" s="8">
        <v>8</v>
      </c>
      <c r="E63" s="8">
        <v>6</v>
      </c>
      <c r="F63" s="8">
        <v>1</v>
      </c>
      <c r="H63" s="9" t="s">
        <v>48</v>
      </c>
      <c r="I63" s="8">
        <v>2</v>
      </c>
      <c r="J63" s="8">
        <f>C63+D63</f>
        <v>10</v>
      </c>
      <c r="K63" s="8">
        <f>J63+E63</f>
        <v>16</v>
      </c>
      <c r="L63" s="8">
        <f>K63+F63</f>
        <v>17</v>
      </c>
      <c r="N63" s="9" t="s">
        <v>48</v>
      </c>
      <c r="O63" s="10">
        <v>2</v>
      </c>
      <c r="P63" s="8">
        <f>I63+J63</f>
        <v>12</v>
      </c>
      <c r="Q63" s="8">
        <f>P63+K63</f>
        <v>28</v>
      </c>
      <c r="R63" s="8">
        <f>Q63+L63</f>
        <v>45</v>
      </c>
      <c r="T63" s="11" t="s">
        <v>48</v>
      </c>
      <c r="V63" s="11" t="s">
        <v>37</v>
      </c>
      <c r="X63" t="s">
        <v>55</v>
      </c>
    </row>
    <row r="64" spans="1:26" x14ac:dyDescent="0.3">
      <c r="B64" s="9" t="s">
        <v>49</v>
      </c>
      <c r="C64" s="8">
        <v>2</v>
      </c>
      <c r="D64" s="8">
        <v>12</v>
      </c>
      <c r="E64" s="8">
        <v>2</v>
      </c>
      <c r="F64" s="8">
        <v>5</v>
      </c>
      <c r="H64" s="9" t="s">
        <v>49</v>
      </c>
      <c r="I64" s="8">
        <f>C63+C64</f>
        <v>4</v>
      </c>
      <c r="J64" s="8"/>
      <c r="K64" s="8"/>
      <c r="L64" s="8"/>
      <c r="N64" s="9" t="s">
        <v>49</v>
      </c>
      <c r="O64" s="10">
        <f>I63+I64</f>
        <v>6</v>
      </c>
      <c r="P64" s="12">
        <f>MIN(O64,O63,P63)+D64</f>
        <v>14</v>
      </c>
      <c r="Q64" s="12">
        <f t="shared" ref="Q64:R64" si="4">MIN(P64,P63,Q63)+E64</f>
        <v>14</v>
      </c>
      <c r="R64" s="12">
        <f t="shared" si="4"/>
        <v>19</v>
      </c>
      <c r="T64" s="11" t="s">
        <v>49</v>
      </c>
      <c r="V64" s="11" t="s">
        <v>38</v>
      </c>
      <c r="X64" t="s">
        <v>58</v>
      </c>
      <c r="Z64">
        <f>SUM(O63,O64,P65,Q66,R67,R68)</f>
        <v>53</v>
      </c>
    </row>
    <row r="65" spans="1:22" x14ac:dyDescent="0.3">
      <c r="B65" s="9" t="s">
        <v>50</v>
      </c>
      <c r="C65" s="8">
        <v>13</v>
      </c>
      <c r="D65" s="8">
        <v>3</v>
      </c>
      <c r="E65" s="8">
        <v>13</v>
      </c>
      <c r="F65" s="8">
        <v>10</v>
      </c>
      <c r="H65" s="9" t="s">
        <v>50</v>
      </c>
      <c r="I65" s="8">
        <f>C65+I64</f>
        <v>17</v>
      </c>
      <c r="J65" s="8"/>
      <c r="K65" s="8"/>
      <c r="L65" s="8"/>
      <c r="N65" s="9" t="s">
        <v>50</v>
      </c>
      <c r="O65" s="8">
        <f>I65+O64</f>
        <v>23</v>
      </c>
      <c r="P65" s="10">
        <f t="shared" ref="P65:P68" si="5">MIN(O65,O64,P64)+D65</f>
        <v>9</v>
      </c>
      <c r="Q65" s="12">
        <f t="shared" ref="Q65:Q67" si="6">MIN(P65,P64,Q64)+E65</f>
        <v>22</v>
      </c>
      <c r="R65" s="12">
        <f t="shared" ref="R65:R68" si="7">MIN(Q65,Q64,R64)+F65</f>
        <v>24</v>
      </c>
      <c r="T65" s="11" t="s">
        <v>50</v>
      </c>
      <c r="V65" s="11" t="s">
        <v>39</v>
      </c>
    </row>
    <row r="66" spans="1:22" x14ac:dyDescent="0.3">
      <c r="B66" s="9" t="s">
        <v>51</v>
      </c>
      <c r="C66" s="8">
        <v>2</v>
      </c>
      <c r="D66" s="8">
        <v>10</v>
      </c>
      <c r="E66" s="8">
        <v>2</v>
      </c>
      <c r="F66" s="8">
        <v>3</v>
      </c>
      <c r="H66" s="9" t="s">
        <v>51</v>
      </c>
      <c r="I66" s="8">
        <f>I65+C66</f>
        <v>19</v>
      </c>
      <c r="J66" s="8"/>
      <c r="K66" s="8"/>
      <c r="L66" s="8"/>
      <c r="N66" s="9" t="s">
        <v>51</v>
      </c>
      <c r="O66" s="8">
        <f>O65+I66</f>
        <v>42</v>
      </c>
      <c r="P66" s="12">
        <f t="shared" si="5"/>
        <v>19</v>
      </c>
      <c r="Q66" s="10">
        <f t="shared" si="6"/>
        <v>11</v>
      </c>
      <c r="R66" s="12">
        <f t="shared" si="7"/>
        <v>14</v>
      </c>
      <c r="T66" s="11" t="s">
        <v>51</v>
      </c>
      <c r="V66" s="11" t="s">
        <v>40</v>
      </c>
    </row>
    <row r="67" spans="1:22" x14ac:dyDescent="0.3">
      <c r="B67" s="9" t="s">
        <v>52</v>
      </c>
      <c r="C67" s="8">
        <v>2</v>
      </c>
      <c r="D67" s="8">
        <v>8</v>
      </c>
      <c r="E67" s="8">
        <v>6</v>
      </c>
      <c r="F67" s="8">
        <v>1</v>
      </c>
      <c r="H67" s="9" t="s">
        <v>52</v>
      </c>
      <c r="I67" s="8">
        <f>I66+C67</f>
        <v>21</v>
      </c>
      <c r="J67" s="8"/>
      <c r="K67" s="8"/>
      <c r="L67" s="8"/>
      <c r="N67" s="9" t="s">
        <v>52</v>
      </c>
      <c r="O67" s="8">
        <f>O66+I67</f>
        <v>63</v>
      </c>
      <c r="P67" s="12">
        <f t="shared" si="5"/>
        <v>27</v>
      </c>
      <c r="Q67" s="12">
        <f t="shared" si="6"/>
        <v>17</v>
      </c>
      <c r="R67" s="10">
        <f t="shared" si="7"/>
        <v>12</v>
      </c>
      <c r="T67" s="11" t="s">
        <v>52</v>
      </c>
    </row>
    <row r="68" spans="1:22" x14ac:dyDescent="0.3">
      <c r="B68" s="9" t="s">
        <v>53</v>
      </c>
      <c r="C68" s="8">
        <v>2</v>
      </c>
      <c r="D68" s="8">
        <v>8</v>
      </c>
      <c r="E68" s="8">
        <v>6</v>
      </c>
      <c r="F68" s="8">
        <v>1</v>
      </c>
      <c r="H68" s="9" t="s">
        <v>53</v>
      </c>
      <c r="I68" s="8">
        <f>I67+C68</f>
        <v>23</v>
      </c>
      <c r="J68" s="8"/>
      <c r="K68" s="8"/>
      <c r="L68" s="8"/>
      <c r="N68" s="9" t="s">
        <v>53</v>
      </c>
      <c r="O68" s="8">
        <f>O67+I68</f>
        <v>86</v>
      </c>
      <c r="P68" s="12">
        <f t="shared" si="5"/>
        <v>35</v>
      </c>
      <c r="Q68" s="12">
        <f>MIN(P68,P67,Q67)+E68</f>
        <v>23</v>
      </c>
      <c r="R68" s="10">
        <f t="shared" si="7"/>
        <v>13</v>
      </c>
      <c r="T68" s="11" t="s">
        <v>53</v>
      </c>
    </row>
    <row r="71" spans="1:22" x14ac:dyDescent="0.3">
      <c r="A71" s="1" t="s">
        <v>47</v>
      </c>
    </row>
    <row r="73" spans="1:22" x14ac:dyDescent="0.3">
      <c r="A73" t="s">
        <v>59</v>
      </c>
    </row>
    <row r="74" spans="1:22" x14ac:dyDescent="0.3">
      <c r="A74" t="s">
        <v>62</v>
      </c>
    </row>
  </sheetData>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3DF8F-93D8-4B39-8842-737E9BFA6BC5}">
  <dimension ref="A1:T72"/>
  <sheetViews>
    <sheetView topLeftCell="B35" zoomScale="115" zoomScaleNormal="100" workbookViewId="0">
      <selection activeCell="A3" sqref="A3"/>
    </sheetView>
  </sheetViews>
  <sheetFormatPr baseColWidth="10" defaultRowHeight="14.4" x14ac:dyDescent="0.3"/>
  <sheetData>
    <row r="1" spans="1:8" ht="21" x14ac:dyDescent="0.4">
      <c r="A1" s="2" t="s">
        <v>79</v>
      </c>
      <c r="D1" t="s">
        <v>16</v>
      </c>
    </row>
    <row r="3" spans="1:8" ht="21" x14ac:dyDescent="0.4">
      <c r="A3" s="5" t="s">
        <v>63</v>
      </c>
    </row>
    <row r="5" spans="1:8" x14ac:dyDescent="0.3">
      <c r="A5" s="1" t="s">
        <v>64</v>
      </c>
    </row>
    <row r="6" spans="1:8" x14ac:dyDescent="0.3">
      <c r="A6" t="s">
        <v>77</v>
      </c>
      <c r="E6">
        <v>60</v>
      </c>
      <c r="F6" t="s">
        <v>78</v>
      </c>
    </row>
    <row r="7" spans="1:8" x14ac:dyDescent="0.3">
      <c r="A7" t="s">
        <v>68</v>
      </c>
      <c r="E7">
        <f>1920*1080</f>
        <v>2073600</v>
      </c>
      <c r="F7" t="s">
        <v>71</v>
      </c>
    </row>
    <row r="8" spans="1:8" x14ac:dyDescent="0.3">
      <c r="A8" t="s">
        <v>72</v>
      </c>
      <c r="E8">
        <f>(4+2+0)/4</f>
        <v>1.5</v>
      </c>
      <c r="F8" t="s">
        <v>73</v>
      </c>
    </row>
    <row r="9" spans="1:8" x14ac:dyDescent="0.3">
      <c r="A9" t="s">
        <v>70</v>
      </c>
      <c r="E9">
        <f>E6*E7*E8</f>
        <v>186624000</v>
      </c>
      <c r="F9" t="s">
        <v>74</v>
      </c>
    </row>
    <row r="10" spans="1:8" x14ac:dyDescent="0.3">
      <c r="A10" s="1"/>
    </row>
    <row r="11" spans="1:8" x14ac:dyDescent="0.3">
      <c r="A11" s="1" t="s">
        <v>18</v>
      </c>
    </row>
    <row r="12" spans="1:8" x14ac:dyDescent="0.3">
      <c r="A12" t="s">
        <v>75</v>
      </c>
      <c r="G12" s="3">
        <v>186624000</v>
      </c>
      <c r="H12" s="3"/>
    </row>
    <row r="13" spans="1:8" x14ac:dyDescent="0.3">
      <c r="A13" s="1"/>
    </row>
    <row r="14" spans="1:8" x14ac:dyDescent="0.3">
      <c r="A14" s="1" t="s">
        <v>65</v>
      </c>
    </row>
    <row r="15" spans="1:8" x14ac:dyDescent="0.3">
      <c r="A15" t="s">
        <v>77</v>
      </c>
      <c r="E15">
        <v>24</v>
      </c>
      <c r="F15" t="s">
        <v>78</v>
      </c>
    </row>
    <row r="16" spans="1:8" x14ac:dyDescent="0.3">
      <c r="A16" t="s">
        <v>68</v>
      </c>
      <c r="E16">
        <f>1280*720</f>
        <v>921600</v>
      </c>
      <c r="F16" t="s">
        <v>71</v>
      </c>
    </row>
    <row r="17" spans="1:7" x14ac:dyDescent="0.3">
      <c r="A17" t="s">
        <v>76</v>
      </c>
      <c r="E17">
        <f>(4+4+4)/4</f>
        <v>3</v>
      </c>
      <c r="F17" t="s">
        <v>73</v>
      </c>
    </row>
    <row r="18" spans="1:7" x14ac:dyDescent="0.3">
      <c r="A18" t="s">
        <v>70</v>
      </c>
      <c r="E18">
        <f>E15*E16*E17</f>
        <v>66355200</v>
      </c>
      <c r="F18" t="s">
        <v>74</v>
      </c>
    </row>
    <row r="19" spans="1:7" x14ac:dyDescent="0.3">
      <c r="A19" s="1"/>
    </row>
    <row r="20" spans="1:7" x14ac:dyDescent="0.3">
      <c r="A20" s="1" t="s">
        <v>18</v>
      </c>
    </row>
    <row r="21" spans="1:7" x14ac:dyDescent="0.3">
      <c r="A21" t="s">
        <v>75</v>
      </c>
      <c r="G21" s="3">
        <v>66355200</v>
      </c>
    </row>
    <row r="22" spans="1:7" x14ac:dyDescent="0.3">
      <c r="A22" s="1"/>
    </row>
    <row r="23" spans="1:7" x14ac:dyDescent="0.3">
      <c r="A23" s="1" t="s">
        <v>66</v>
      </c>
    </row>
    <row r="25" spans="1:7" x14ac:dyDescent="0.3">
      <c r="A25" t="s">
        <v>77</v>
      </c>
      <c r="E25">
        <v>30</v>
      </c>
      <c r="F25" t="s">
        <v>78</v>
      </c>
    </row>
    <row r="26" spans="1:7" x14ac:dyDescent="0.3">
      <c r="A26" t="s">
        <v>68</v>
      </c>
      <c r="E26">
        <f>3180*2160</f>
        <v>6868800</v>
      </c>
      <c r="F26" t="s">
        <v>71</v>
      </c>
    </row>
    <row r="27" spans="1:7" x14ac:dyDescent="0.3">
      <c r="A27" t="s">
        <v>69</v>
      </c>
      <c r="E27">
        <f>(4+2+0)/4</f>
        <v>1.5</v>
      </c>
      <c r="F27" t="s">
        <v>73</v>
      </c>
    </row>
    <row r="28" spans="1:7" x14ac:dyDescent="0.3">
      <c r="A28" t="s">
        <v>70</v>
      </c>
      <c r="E28">
        <f>E25*E26*E27</f>
        <v>309096000</v>
      </c>
      <c r="F28" t="s">
        <v>74</v>
      </c>
    </row>
    <row r="29" spans="1:7" x14ac:dyDescent="0.3">
      <c r="A29" s="1"/>
    </row>
    <row r="30" spans="1:7" x14ac:dyDescent="0.3">
      <c r="A30" s="1" t="s">
        <v>18</v>
      </c>
    </row>
    <row r="31" spans="1:7" x14ac:dyDescent="0.3">
      <c r="A31" t="s">
        <v>75</v>
      </c>
      <c r="G31" s="3">
        <v>309096000</v>
      </c>
    </row>
    <row r="33" spans="1:20" x14ac:dyDescent="0.3">
      <c r="A33" s="1" t="s">
        <v>67</v>
      </c>
    </row>
    <row r="35" spans="1:20" x14ac:dyDescent="0.3">
      <c r="A35" t="s">
        <v>77</v>
      </c>
      <c r="E35">
        <v>30</v>
      </c>
      <c r="F35" t="s">
        <v>78</v>
      </c>
    </row>
    <row r="36" spans="1:20" x14ac:dyDescent="0.3">
      <c r="A36" t="s">
        <v>68</v>
      </c>
      <c r="E36">
        <f>1920*1440</f>
        <v>2764800</v>
      </c>
      <c r="F36" t="s">
        <v>71</v>
      </c>
    </row>
    <row r="37" spans="1:20" x14ac:dyDescent="0.3">
      <c r="A37" t="s">
        <v>69</v>
      </c>
      <c r="E37">
        <f>(4+4+4)/4</f>
        <v>3</v>
      </c>
      <c r="F37" t="s">
        <v>73</v>
      </c>
    </row>
    <row r="38" spans="1:20" x14ac:dyDescent="0.3">
      <c r="A38" t="s">
        <v>70</v>
      </c>
      <c r="E38">
        <f>E35*E36*E37</f>
        <v>248832000</v>
      </c>
      <c r="F38" t="s">
        <v>74</v>
      </c>
    </row>
    <row r="39" spans="1:20" x14ac:dyDescent="0.3">
      <c r="A39" s="1"/>
    </row>
    <row r="40" spans="1:20" x14ac:dyDescent="0.3">
      <c r="A40" s="1" t="s">
        <v>18</v>
      </c>
    </row>
    <row r="41" spans="1:20" x14ac:dyDescent="0.3">
      <c r="A41" t="s">
        <v>75</v>
      </c>
      <c r="G41" s="3">
        <v>248832000</v>
      </c>
    </row>
    <row r="44" spans="1:20" ht="21" x14ac:dyDescent="0.4">
      <c r="A44" s="5" t="s">
        <v>80</v>
      </c>
    </row>
    <row r="47" spans="1:20" x14ac:dyDescent="0.3">
      <c r="B47" s="11" t="s">
        <v>81</v>
      </c>
      <c r="C47" s="11" t="s">
        <v>82</v>
      </c>
      <c r="D47" s="11" t="s">
        <v>90</v>
      </c>
      <c r="F47" s="11" t="s">
        <v>81</v>
      </c>
      <c r="G47" s="11" t="s">
        <v>82</v>
      </c>
      <c r="H47" s="11" t="s">
        <v>90</v>
      </c>
      <c r="J47" s="1" t="s">
        <v>89</v>
      </c>
    </row>
    <row r="48" spans="1:20" x14ac:dyDescent="0.3">
      <c r="B48" s="8">
        <v>1</v>
      </c>
      <c r="C48" s="13" t="s">
        <v>83</v>
      </c>
      <c r="D48" s="8" t="s">
        <v>91</v>
      </c>
      <c r="F48" s="8">
        <v>15</v>
      </c>
      <c r="G48" s="15" t="s">
        <v>84</v>
      </c>
      <c r="H48" s="8" t="s">
        <v>98</v>
      </c>
      <c r="J48" s="8">
        <v>1</v>
      </c>
      <c r="K48" s="13" t="s">
        <v>83</v>
      </c>
      <c r="M48" s="8">
        <v>9</v>
      </c>
      <c r="N48" s="13" t="s">
        <v>83</v>
      </c>
      <c r="P48" s="8">
        <v>16</v>
      </c>
      <c r="Q48" s="13" t="s">
        <v>83</v>
      </c>
      <c r="S48" s="8">
        <v>23</v>
      </c>
      <c r="T48" s="13" t="s">
        <v>83</v>
      </c>
    </row>
    <row r="49" spans="1:20" x14ac:dyDescent="0.3">
      <c r="B49" s="8">
        <v>2</v>
      </c>
      <c r="C49" s="15" t="s">
        <v>84</v>
      </c>
      <c r="D49" s="8" t="s">
        <v>92</v>
      </c>
      <c r="F49" s="8">
        <v>16</v>
      </c>
      <c r="G49" s="13" t="s">
        <v>83</v>
      </c>
      <c r="H49" s="8" t="s">
        <v>91</v>
      </c>
      <c r="J49" s="8">
        <v>4</v>
      </c>
      <c r="K49" s="14" t="s">
        <v>85</v>
      </c>
      <c r="M49" s="8">
        <v>12</v>
      </c>
      <c r="N49" s="14" t="s">
        <v>85</v>
      </c>
      <c r="P49" s="8">
        <v>19</v>
      </c>
      <c r="Q49" s="14" t="s">
        <v>85</v>
      </c>
      <c r="S49" s="8">
        <v>25</v>
      </c>
      <c r="T49" s="14" t="s">
        <v>85</v>
      </c>
    </row>
    <row r="50" spans="1:20" x14ac:dyDescent="0.3">
      <c r="B50" s="8">
        <v>3</v>
      </c>
      <c r="C50" s="15" t="s">
        <v>84</v>
      </c>
      <c r="D50" s="8" t="s">
        <v>93</v>
      </c>
      <c r="F50" s="8">
        <v>17</v>
      </c>
      <c r="G50" s="15" t="s">
        <v>84</v>
      </c>
      <c r="H50" s="8" t="s">
        <v>99</v>
      </c>
      <c r="J50" s="8">
        <v>6</v>
      </c>
      <c r="K50" s="14" t="s">
        <v>85</v>
      </c>
      <c r="M50" s="8">
        <v>14</v>
      </c>
      <c r="N50" s="14" t="s">
        <v>85</v>
      </c>
      <c r="P50" s="8">
        <v>21</v>
      </c>
      <c r="Q50" s="14" t="s">
        <v>85</v>
      </c>
      <c r="S50" s="8">
        <v>28</v>
      </c>
      <c r="T50" s="13" t="s">
        <v>83</v>
      </c>
    </row>
    <row r="51" spans="1:20" x14ac:dyDescent="0.3">
      <c r="B51" s="8">
        <v>4</v>
      </c>
      <c r="C51" s="14" t="s">
        <v>85</v>
      </c>
      <c r="D51" s="8">
        <v>1</v>
      </c>
      <c r="F51" s="8">
        <v>18</v>
      </c>
      <c r="G51" s="15" t="s">
        <v>84</v>
      </c>
      <c r="H51" s="8" t="s">
        <v>99</v>
      </c>
      <c r="J51" s="8">
        <v>2</v>
      </c>
      <c r="K51" s="15" t="s">
        <v>84</v>
      </c>
      <c r="M51" s="8">
        <v>8</v>
      </c>
      <c r="N51" s="15" t="s">
        <v>84</v>
      </c>
      <c r="P51" s="8">
        <v>15</v>
      </c>
      <c r="Q51" s="15" t="s">
        <v>84</v>
      </c>
      <c r="S51" s="8">
        <v>22</v>
      </c>
      <c r="T51" s="15" t="s">
        <v>84</v>
      </c>
    </row>
    <row r="52" spans="1:20" x14ac:dyDescent="0.3">
      <c r="B52" s="8">
        <v>5</v>
      </c>
      <c r="C52" s="15" t="s">
        <v>84</v>
      </c>
      <c r="D52" s="8" t="s">
        <v>94</v>
      </c>
      <c r="F52" s="8">
        <v>19</v>
      </c>
      <c r="G52" s="14" t="s">
        <v>85</v>
      </c>
      <c r="H52" s="8">
        <v>16</v>
      </c>
      <c r="J52" s="8">
        <v>3</v>
      </c>
      <c r="K52" s="15" t="s">
        <v>84</v>
      </c>
      <c r="M52" s="8">
        <v>10</v>
      </c>
      <c r="N52" s="15" t="s">
        <v>84</v>
      </c>
      <c r="P52" s="8">
        <v>17</v>
      </c>
      <c r="Q52" s="15" t="s">
        <v>84</v>
      </c>
      <c r="S52" s="8">
        <v>24</v>
      </c>
      <c r="T52" s="15" t="s">
        <v>84</v>
      </c>
    </row>
    <row r="53" spans="1:20" x14ac:dyDescent="0.3">
      <c r="B53" s="8">
        <v>6</v>
      </c>
      <c r="C53" s="14" t="s">
        <v>85</v>
      </c>
      <c r="D53" s="8">
        <v>4</v>
      </c>
      <c r="F53" s="8">
        <v>20</v>
      </c>
      <c r="G53" s="15" t="s">
        <v>84</v>
      </c>
      <c r="H53" s="8" t="s">
        <v>100</v>
      </c>
      <c r="J53" s="8">
        <v>5</v>
      </c>
      <c r="K53" s="15" t="s">
        <v>84</v>
      </c>
      <c r="M53" s="8">
        <v>11</v>
      </c>
      <c r="N53" s="15" t="s">
        <v>84</v>
      </c>
      <c r="P53" s="8">
        <v>18</v>
      </c>
      <c r="Q53" s="15" t="s">
        <v>84</v>
      </c>
      <c r="S53" s="8">
        <v>26</v>
      </c>
      <c r="T53" s="15" t="s">
        <v>84</v>
      </c>
    </row>
    <row r="54" spans="1:20" x14ac:dyDescent="0.3">
      <c r="B54" s="8">
        <v>7</v>
      </c>
      <c r="C54" s="15" t="s">
        <v>84</v>
      </c>
      <c r="D54" s="8" t="s">
        <v>95</v>
      </c>
      <c r="F54" s="8">
        <v>21</v>
      </c>
      <c r="G54" s="14" t="s">
        <v>85</v>
      </c>
      <c r="H54" s="8">
        <v>19</v>
      </c>
      <c r="J54" s="8">
        <v>7</v>
      </c>
      <c r="K54" s="15" t="s">
        <v>84</v>
      </c>
      <c r="M54" s="8">
        <v>13</v>
      </c>
      <c r="N54" s="15" t="s">
        <v>84</v>
      </c>
      <c r="P54" s="8">
        <v>20</v>
      </c>
      <c r="Q54" s="15" t="s">
        <v>84</v>
      </c>
      <c r="S54" s="8">
        <v>27</v>
      </c>
      <c r="T54" s="15" t="s">
        <v>84</v>
      </c>
    </row>
    <row r="55" spans="1:20" x14ac:dyDescent="0.3">
      <c r="B55" s="8">
        <v>8</v>
      </c>
      <c r="C55" s="15" t="s">
        <v>84</v>
      </c>
      <c r="D55" s="8" t="s">
        <v>95</v>
      </c>
      <c r="F55" s="8">
        <v>22</v>
      </c>
      <c r="G55" s="15" t="s">
        <v>84</v>
      </c>
      <c r="H55" s="8" t="s">
        <v>101</v>
      </c>
    </row>
    <row r="56" spans="1:20" x14ac:dyDescent="0.3">
      <c r="B56" s="8">
        <v>9</v>
      </c>
      <c r="C56" s="13" t="s">
        <v>83</v>
      </c>
      <c r="D56" s="8" t="s">
        <v>91</v>
      </c>
      <c r="F56" s="8">
        <v>23</v>
      </c>
      <c r="G56" s="13" t="s">
        <v>83</v>
      </c>
      <c r="H56" s="8" t="s">
        <v>91</v>
      </c>
      <c r="J56" s="13" t="s">
        <v>83</v>
      </c>
      <c r="K56" t="s">
        <v>105</v>
      </c>
    </row>
    <row r="57" spans="1:20" x14ac:dyDescent="0.3">
      <c r="B57" s="8">
        <v>10</v>
      </c>
      <c r="C57" s="15" t="s">
        <v>84</v>
      </c>
      <c r="D57" s="8" t="s">
        <v>96</v>
      </c>
      <c r="F57" s="8">
        <v>24</v>
      </c>
      <c r="G57" s="15" t="s">
        <v>84</v>
      </c>
      <c r="H57" s="8" t="s">
        <v>102</v>
      </c>
      <c r="J57" s="14" t="s">
        <v>85</v>
      </c>
      <c r="K57" t="s">
        <v>106</v>
      </c>
    </row>
    <row r="58" spans="1:20" x14ac:dyDescent="0.3">
      <c r="B58" s="8">
        <v>11</v>
      </c>
      <c r="C58" s="15" t="s">
        <v>84</v>
      </c>
      <c r="D58" s="8" t="s">
        <v>96</v>
      </c>
      <c r="F58" s="8">
        <v>25</v>
      </c>
      <c r="G58" s="14" t="s">
        <v>85</v>
      </c>
      <c r="H58" s="8">
        <v>23</v>
      </c>
      <c r="J58" s="15" t="s">
        <v>84</v>
      </c>
      <c r="K58" t="s">
        <v>107</v>
      </c>
    </row>
    <row r="59" spans="1:20" x14ac:dyDescent="0.3">
      <c r="B59" s="8">
        <v>12</v>
      </c>
      <c r="C59" s="14" t="s">
        <v>85</v>
      </c>
      <c r="D59" s="8">
        <v>9</v>
      </c>
      <c r="F59" s="8">
        <v>26</v>
      </c>
      <c r="G59" s="15" t="s">
        <v>84</v>
      </c>
      <c r="H59" s="8" t="s">
        <v>103</v>
      </c>
    </row>
    <row r="60" spans="1:20" x14ac:dyDescent="0.3">
      <c r="B60" s="8">
        <v>13</v>
      </c>
      <c r="C60" s="15" t="s">
        <v>84</v>
      </c>
      <c r="D60" s="8" t="s">
        <v>97</v>
      </c>
      <c r="F60" s="8">
        <v>27</v>
      </c>
      <c r="G60" s="15" t="s">
        <v>84</v>
      </c>
      <c r="H60" s="8" t="s">
        <v>104</v>
      </c>
    </row>
    <row r="61" spans="1:20" x14ac:dyDescent="0.3">
      <c r="B61" s="8">
        <v>14</v>
      </c>
      <c r="C61" s="14" t="s">
        <v>85</v>
      </c>
      <c r="D61" s="8">
        <v>12</v>
      </c>
      <c r="F61" s="8">
        <v>28</v>
      </c>
      <c r="G61" s="13" t="s">
        <v>83</v>
      </c>
      <c r="H61" s="8" t="s">
        <v>91</v>
      </c>
    </row>
    <row r="62" spans="1:20" x14ac:dyDescent="0.3">
      <c r="H62" s="7"/>
    </row>
    <row r="63" spans="1:20" x14ac:dyDescent="0.3">
      <c r="A63" t="s">
        <v>86</v>
      </c>
    </row>
    <row r="64" spans="1:20" x14ac:dyDescent="0.3">
      <c r="A64" t="s">
        <v>87</v>
      </c>
    </row>
    <row r="65" spans="1:1" x14ac:dyDescent="0.3">
      <c r="A65" s="1" t="s">
        <v>88</v>
      </c>
    </row>
    <row r="66" spans="1:1" x14ac:dyDescent="0.3">
      <c r="A66" t="s">
        <v>112</v>
      </c>
    </row>
    <row r="67" spans="1:1" x14ac:dyDescent="0.3">
      <c r="A67" s="1" t="s">
        <v>110</v>
      </c>
    </row>
    <row r="68" spans="1:1" x14ac:dyDescent="0.3">
      <c r="A68" t="s">
        <v>111</v>
      </c>
    </row>
    <row r="69" spans="1:1" x14ac:dyDescent="0.3">
      <c r="A69" s="1" t="s">
        <v>108</v>
      </c>
    </row>
    <row r="70" spans="1:1" x14ac:dyDescent="0.3">
      <c r="A70" t="s">
        <v>113</v>
      </c>
    </row>
    <row r="71" spans="1:1" x14ac:dyDescent="0.3">
      <c r="A71" s="1" t="s">
        <v>109</v>
      </c>
    </row>
    <row r="72" spans="1:1" x14ac:dyDescent="0.3">
      <c r="A72"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2A9C8-044A-4461-98BD-32CC7DFA8138}">
  <dimension ref="A1:L174"/>
  <sheetViews>
    <sheetView topLeftCell="A153" zoomScale="145" zoomScaleNormal="85" workbookViewId="0">
      <selection activeCell="I173" sqref="I173"/>
    </sheetView>
  </sheetViews>
  <sheetFormatPr baseColWidth="10" defaultRowHeight="14.4" x14ac:dyDescent="0.3"/>
  <sheetData>
    <row r="1" spans="1:9" ht="21" x14ac:dyDescent="0.4">
      <c r="A1" s="2" t="s">
        <v>117</v>
      </c>
      <c r="D1" t="s">
        <v>16</v>
      </c>
    </row>
    <row r="3" spans="1:9" ht="21" x14ac:dyDescent="0.4">
      <c r="A3" s="5" t="s">
        <v>124</v>
      </c>
    </row>
    <row r="4" spans="1:9" ht="21" x14ac:dyDescent="0.4">
      <c r="A4" s="5" t="s">
        <v>118</v>
      </c>
    </row>
    <row r="6" spans="1:9" ht="21" x14ac:dyDescent="0.4">
      <c r="A6" s="5" t="s">
        <v>125</v>
      </c>
    </row>
    <row r="7" spans="1:9" ht="21" x14ac:dyDescent="0.4">
      <c r="A7" s="5" t="s">
        <v>126</v>
      </c>
    </row>
    <row r="8" spans="1:9" ht="21" x14ac:dyDescent="0.4">
      <c r="A8" s="5" t="s">
        <v>127</v>
      </c>
    </row>
    <row r="9" spans="1:9" ht="23.4" x14ac:dyDescent="0.45">
      <c r="A9" s="16" t="s">
        <v>128</v>
      </c>
    </row>
    <row r="12" spans="1:9" x14ac:dyDescent="0.3">
      <c r="B12" s="40" t="s">
        <v>119</v>
      </c>
      <c r="C12" s="41"/>
      <c r="D12" s="42"/>
      <c r="G12" s="40" t="s">
        <v>123</v>
      </c>
      <c r="H12" s="41"/>
      <c r="I12" s="42"/>
    </row>
    <row r="13" spans="1:9" x14ac:dyDescent="0.3">
      <c r="B13" s="11" t="s">
        <v>120</v>
      </c>
      <c r="C13" s="11" t="s">
        <v>121</v>
      </c>
      <c r="D13" s="11" t="s">
        <v>122</v>
      </c>
      <c r="G13" s="11" t="s">
        <v>120</v>
      </c>
      <c r="H13" s="11" t="s">
        <v>121</v>
      </c>
      <c r="I13" s="11" t="s">
        <v>122</v>
      </c>
    </row>
    <row r="14" spans="1:9" x14ac:dyDescent="0.3">
      <c r="B14" s="11">
        <v>1</v>
      </c>
      <c r="C14" s="12" t="s">
        <v>129</v>
      </c>
      <c r="D14" s="8" t="s">
        <v>141</v>
      </c>
      <c r="G14" s="11">
        <v>1</v>
      </c>
      <c r="H14" s="18" t="s">
        <v>132</v>
      </c>
      <c r="I14" s="18" t="s">
        <v>145</v>
      </c>
    </row>
    <row r="15" spans="1:9" x14ac:dyDescent="0.3">
      <c r="B15" s="11">
        <v>2</v>
      </c>
      <c r="C15" s="18" t="s">
        <v>130</v>
      </c>
      <c r="D15" s="8" t="s">
        <v>142</v>
      </c>
      <c r="G15" s="11">
        <v>2</v>
      </c>
      <c r="H15" s="18" t="s">
        <v>130</v>
      </c>
      <c r="I15" s="12" t="s">
        <v>148</v>
      </c>
    </row>
    <row r="16" spans="1:9" x14ac:dyDescent="0.3">
      <c r="B16" s="11">
        <v>3</v>
      </c>
      <c r="C16" s="12" t="s">
        <v>131</v>
      </c>
      <c r="D16" s="18" t="s">
        <v>129</v>
      </c>
      <c r="G16" s="11">
        <v>3</v>
      </c>
      <c r="H16" s="12" t="s">
        <v>150</v>
      </c>
      <c r="I16" s="12" t="s">
        <v>157</v>
      </c>
    </row>
    <row r="17" spans="2:9" x14ac:dyDescent="0.3">
      <c r="B17" s="11">
        <v>4</v>
      </c>
      <c r="C17" s="18" t="s">
        <v>132</v>
      </c>
      <c r="D17" s="8" t="s">
        <v>143</v>
      </c>
      <c r="G17" s="11">
        <v>4</v>
      </c>
      <c r="H17" s="12" t="s">
        <v>141</v>
      </c>
      <c r="I17" s="12" t="s">
        <v>158</v>
      </c>
    </row>
    <row r="18" spans="2:9" x14ac:dyDescent="0.3">
      <c r="B18" s="11">
        <v>5</v>
      </c>
      <c r="C18" s="12" t="s">
        <v>133</v>
      </c>
      <c r="D18" s="8" t="s">
        <v>144</v>
      </c>
      <c r="G18" s="11">
        <v>5</v>
      </c>
      <c r="H18" s="12" t="s">
        <v>144</v>
      </c>
      <c r="I18" s="12" t="s">
        <v>153</v>
      </c>
    </row>
    <row r="19" spans="2:9" x14ac:dyDescent="0.3">
      <c r="B19" s="11">
        <v>6</v>
      </c>
      <c r="C19" s="18" t="s">
        <v>134</v>
      </c>
      <c r="D19" s="18" t="s">
        <v>145</v>
      </c>
      <c r="G19" s="11">
        <v>6</v>
      </c>
      <c r="H19" s="12" t="s">
        <v>151</v>
      </c>
      <c r="I19" s="12" t="s">
        <v>159</v>
      </c>
    </row>
    <row r="20" spans="2:9" x14ac:dyDescent="0.3">
      <c r="B20" s="11">
        <v>7</v>
      </c>
      <c r="C20" s="8" t="s">
        <v>135</v>
      </c>
      <c r="D20" s="8" t="s">
        <v>134</v>
      </c>
      <c r="G20" s="11">
        <v>7</v>
      </c>
      <c r="H20" s="12" t="s">
        <v>152</v>
      </c>
      <c r="I20" s="12" t="s">
        <v>130</v>
      </c>
    </row>
    <row r="21" spans="2:9" x14ac:dyDescent="0.3">
      <c r="B21" s="11">
        <v>8</v>
      </c>
      <c r="C21" s="18" t="s">
        <v>136</v>
      </c>
      <c r="D21" s="18" t="s">
        <v>140</v>
      </c>
      <c r="G21" s="11">
        <v>8</v>
      </c>
      <c r="H21" s="12" t="s">
        <v>153</v>
      </c>
      <c r="I21" s="12" t="s">
        <v>160</v>
      </c>
    </row>
    <row r="22" spans="2:9" x14ac:dyDescent="0.3">
      <c r="B22" s="11">
        <v>9</v>
      </c>
      <c r="C22" s="8" t="s">
        <v>137</v>
      </c>
      <c r="D22" s="8" t="s">
        <v>146</v>
      </c>
      <c r="G22" s="11">
        <v>9</v>
      </c>
      <c r="H22" s="12" t="s">
        <v>154</v>
      </c>
      <c r="I22" s="12" t="s">
        <v>141</v>
      </c>
    </row>
    <row r="23" spans="2:9" x14ac:dyDescent="0.3">
      <c r="B23" s="11">
        <v>10</v>
      </c>
      <c r="C23" s="8" t="s">
        <v>138</v>
      </c>
      <c r="D23" s="8" t="s">
        <v>147</v>
      </c>
      <c r="G23" s="11">
        <v>10</v>
      </c>
      <c r="H23" s="12" t="s">
        <v>155</v>
      </c>
      <c r="I23" s="18" t="s">
        <v>129</v>
      </c>
    </row>
    <row r="24" spans="2:9" x14ac:dyDescent="0.3">
      <c r="B24" s="11">
        <v>11</v>
      </c>
      <c r="C24" s="8" t="s">
        <v>139</v>
      </c>
      <c r="D24" s="8" t="s">
        <v>148</v>
      </c>
      <c r="G24" s="11">
        <v>11</v>
      </c>
      <c r="H24" s="12" t="s">
        <v>140</v>
      </c>
      <c r="I24" s="12" t="s">
        <v>139</v>
      </c>
    </row>
    <row r="25" spans="2:9" x14ac:dyDescent="0.3">
      <c r="B25" s="11">
        <v>12</v>
      </c>
      <c r="C25" s="8" t="s">
        <v>140</v>
      </c>
      <c r="D25" s="8" t="s">
        <v>149</v>
      </c>
      <c r="G25" s="11">
        <v>12</v>
      </c>
      <c r="H25" s="18" t="s">
        <v>136</v>
      </c>
      <c r="I25" s="12" t="s">
        <v>156</v>
      </c>
    </row>
    <row r="26" spans="2:9" x14ac:dyDescent="0.3">
      <c r="B26" t="s">
        <v>162</v>
      </c>
      <c r="C26">
        <v>4</v>
      </c>
      <c r="D26">
        <v>3</v>
      </c>
      <c r="G26" t="s">
        <v>162</v>
      </c>
      <c r="H26">
        <v>3</v>
      </c>
      <c r="I26">
        <v>2</v>
      </c>
    </row>
    <row r="28" spans="2:9" x14ac:dyDescent="0.3">
      <c r="E28" s="46" t="s">
        <v>164</v>
      </c>
      <c r="F28" s="46"/>
    </row>
    <row r="29" spans="2:9" x14ac:dyDescent="0.3">
      <c r="B29" s="43" t="s">
        <v>119</v>
      </c>
      <c r="C29" s="44"/>
      <c r="D29" s="45"/>
      <c r="G29" s="43" t="s">
        <v>123</v>
      </c>
      <c r="H29" s="44"/>
      <c r="I29" s="45"/>
    </row>
    <row r="30" spans="2:9" x14ac:dyDescent="0.3">
      <c r="B30" s="11" t="s">
        <v>120</v>
      </c>
      <c r="C30" s="11" t="s">
        <v>121</v>
      </c>
      <c r="D30" s="11" t="s">
        <v>122</v>
      </c>
      <c r="G30" s="11" t="s">
        <v>120</v>
      </c>
      <c r="H30" s="11" t="s">
        <v>121</v>
      </c>
      <c r="I30" s="11" t="s">
        <v>122</v>
      </c>
    </row>
    <row r="31" spans="2:9" x14ac:dyDescent="0.3">
      <c r="B31" s="11">
        <v>1</v>
      </c>
      <c r="C31" s="12">
        <v>0</v>
      </c>
      <c r="D31" s="8">
        <v>0</v>
      </c>
      <c r="G31" s="11">
        <v>1</v>
      </c>
      <c r="H31" s="18">
        <v>1</v>
      </c>
      <c r="I31" s="18">
        <v>1</v>
      </c>
    </row>
    <row r="32" spans="2:9" x14ac:dyDescent="0.3">
      <c r="B32" s="11">
        <v>2</v>
      </c>
      <c r="C32" s="18">
        <v>1</v>
      </c>
      <c r="D32" s="8">
        <v>0</v>
      </c>
      <c r="G32" s="11">
        <v>2</v>
      </c>
      <c r="H32" s="18">
        <v>1</v>
      </c>
      <c r="I32" s="12">
        <v>0</v>
      </c>
    </row>
    <row r="33" spans="2:9" x14ac:dyDescent="0.3">
      <c r="B33" s="11">
        <v>3</v>
      </c>
      <c r="C33" s="12">
        <v>0</v>
      </c>
      <c r="D33" s="18">
        <v>1</v>
      </c>
      <c r="G33" s="11">
        <v>3</v>
      </c>
      <c r="H33" s="12">
        <v>0</v>
      </c>
      <c r="I33" s="12">
        <v>0</v>
      </c>
    </row>
    <row r="34" spans="2:9" x14ac:dyDescent="0.3">
      <c r="B34" s="11">
        <v>4</v>
      </c>
      <c r="C34" s="18">
        <v>1</v>
      </c>
      <c r="D34" s="8">
        <v>0</v>
      </c>
      <c r="G34" s="11">
        <v>4</v>
      </c>
      <c r="H34" s="12">
        <v>0</v>
      </c>
      <c r="I34" s="12">
        <v>0</v>
      </c>
    </row>
    <row r="35" spans="2:9" x14ac:dyDescent="0.3">
      <c r="B35" s="11">
        <v>5</v>
      </c>
      <c r="C35" s="12">
        <v>0</v>
      </c>
      <c r="D35" s="8">
        <v>0</v>
      </c>
      <c r="G35" s="11">
        <v>5</v>
      </c>
      <c r="H35" s="12">
        <v>0</v>
      </c>
      <c r="I35" s="12">
        <v>0</v>
      </c>
    </row>
    <row r="36" spans="2:9" x14ac:dyDescent="0.3">
      <c r="B36" s="11">
        <v>6</v>
      </c>
      <c r="C36" s="18">
        <v>1</v>
      </c>
      <c r="D36" s="18">
        <v>1</v>
      </c>
      <c r="G36" s="11">
        <v>6</v>
      </c>
      <c r="H36" s="12">
        <v>0</v>
      </c>
      <c r="I36" s="12">
        <v>0</v>
      </c>
    </row>
    <row r="37" spans="2:9" x14ac:dyDescent="0.3">
      <c r="B37" s="11">
        <v>7</v>
      </c>
      <c r="C37" s="8">
        <v>0</v>
      </c>
      <c r="D37" s="8">
        <v>0</v>
      </c>
      <c r="G37" s="11">
        <v>7</v>
      </c>
      <c r="H37" s="12">
        <v>0</v>
      </c>
      <c r="I37" s="12">
        <v>0</v>
      </c>
    </row>
    <row r="38" spans="2:9" x14ac:dyDescent="0.3">
      <c r="B38" s="11">
        <v>8</v>
      </c>
      <c r="C38" s="18">
        <v>1</v>
      </c>
      <c r="D38" s="18">
        <v>1</v>
      </c>
      <c r="G38" s="11">
        <v>8</v>
      </c>
      <c r="H38" s="12">
        <v>0</v>
      </c>
      <c r="I38" s="12">
        <v>0</v>
      </c>
    </row>
    <row r="39" spans="2:9" x14ac:dyDescent="0.3">
      <c r="B39" s="11">
        <v>9</v>
      </c>
      <c r="C39" s="8">
        <v>0</v>
      </c>
      <c r="D39" s="8">
        <v>0</v>
      </c>
      <c r="G39" s="11">
        <v>9</v>
      </c>
      <c r="H39" s="12">
        <v>0</v>
      </c>
      <c r="I39" s="12">
        <v>0</v>
      </c>
    </row>
    <row r="40" spans="2:9" x14ac:dyDescent="0.3">
      <c r="B40" s="11">
        <v>10</v>
      </c>
      <c r="C40" s="8">
        <v>0</v>
      </c>
      <c r="D40" s="8">
        <v>0</v>
      </c>
      <c r="G40" s="11">
        <v>10</v>
      </c>
      <c r="H40" s="12">
        <v>0</v>
      </c>
      <c r="I40" s="18">
        <v>1</v>
      </c>
    </row>
    <row r="41" spans="2:9" x14ac:dyDescent="0.3">
      <c r="B41" s="11">
        <v>11</v>
      </c>
      <c r="C41" s="8">
        <v>0</v>
      </c>
      <c r="D41" s="8">
        <v>0</v>
      </c>
      <c r="G41" s="11">
        <v>11</v>
      </c>
      <c r="H41" s="12">
        <v>0</v>
      </c>
      <c r="I41" s="12">
        <v>0</v>
      </c>
    </row>
    <row r="42" spans="2:9" x14ac:dyDescent="0.3">
      <c r="B42" s="11">
        <v>12</v>
      </c>
      <c r="C42" s="8">
        <v>0</v>
      </c>
      <c r="D42" s="8">
        <v>0</v>
      </c>
      <c r="G42" s="11">
        <v>12</v>
      </c>
      <c r="H42" s="18">
        <v>1</v>
      </c>
      <c r="I42" s="12">
        <v>0</v>
      </c>
    </row>
    <row r="43" spans="2:9" x14ac:dyDescent="0.3">
      <c r="C43" s="19"/>
    </row>
    <row r="45" spans="2:9" x14ac:dyDescent="0.3">
      <c r="E45" s="36" t="s">
        <v>163</v>
      </c>
      <c r="F45" s="36"/>
    </row>
    <row r="46" spans="2:9" x14ac:dyDescent="0.3">
      <c r="B46" s="37" t="s">
        <v>119</v>
      </c>
      <c r="C46" s="38"/>
      <c r="D46" s="39"/>
      <c r="G46" s="37" t="s">
        <v>123</v>
      </c>
      <c r="H46" s="38"/>
      <c r="I46" s="39"/>
    </row>
    <row r="47" spans="2:9" x14ac:dyDescent="0.3">
      <c r="B47" s="11" t="s">
        <v>120</v>
      </c>
      <c r="C47" s="11" t="s">
        <v>121</v>
      </c>
      <c r="D47" s="11" t="s">
        <v>122</v>
      </c>
      <c r="G47" s="11" t="s">
        <v>120</v>
      </c>
      <c r="H47" s="11" t="s">
        <v>121</v>
      </c>
      <c r="I47" s="11" t="s">
        <v>122</v>
      </c>
    </row>
    <row r="48" spans="2:9" x14ac:dyDescent="0.3">
      <c r="B48" s="11">
        <v>1</v>
      </c>
      <c r="C48" s="12">
        <f>IF(C31=1,SUM(C$31:C31)/B31,0)</f>
        <v>0</v>
      </c>
      <c r="D48" s="12">
        <f>IF(D31=1,SUM(D$31:D31)/B31,0)</f>
        <v>0</v>
      </c>
      <c r="G48" s="11">
        <v>1</v>
      </c>
      <c r="H48" s="12">
        <f>IF(H31=1,SUM(H$31:H31)/G31,0)</f>
        <v>1</v>
      </c>
      <c r="I48" s="12">
        <f>IF(I31=1,SUM(I$31:I31)/G31,0)</f>
        <v>1</v>
      </c>
    </row>
    <row r="49" spans="1:9" x14ac:dyDescent="0.3">
      <c r="B49" s="11">
        <v>2</v>
      </c>
      <c r="C49" s="12">
        <f>IF(C32=1,SUM(C$31:C32)/B32,0)</f>
        <v>0.5</v>
      </c>
      <c r="D49" s="12">
        <f>IF(D32=1,SUM(D$31:D32)/B32,0)</f>
        <v>0</v>
      </c>
      <c r="G49" s="11">
        <v>2</v>
      </c>
      <c r="H49" s="12">
        <f>IF(H32=1,SUM(H$31:H32)/G32,0)</f>
        <v>1</v>
      </c>
      <c r="I49" s="12">
        <f>IF(I32=1,SUM(I$31:I32)/G32,0)</f>
        <v>0</v>
      </c>
    </row>
    <row r="50" spans="1:9" x14ac:dyDescent="0.3">
      <c r="B50" s="11">
        <v>3</v>
      </c>
      <c r="C50" s="12">
        <f>IF(C33=1,SUM(C$31:C33)/B33,0)</f>
        <v>0</v>
      </c>
      <c r="D50" s="12">
        <f>IF(D33=1,SUM(D$31:D33)/B33,0)</f>
        <v>0.33333333333333331</v>
      </c>
      <c r="G50" s="11">
        <v>3</v>
      </c>
      <c r="H50" s="12">
        <f>IF(H33=1,SUM(H$31:H33)/G33,0)</f>
        <v>0</v>
      </c>
      <c r="I50" s="12">
        <f>IF(I33=1,SUM(I$31:I33)/G33,0)</f>
        <v>0</v>
      </c>
    </row>
    <row r="51" spans="1:9" x14ac:dyDescent="0.3">
      <c r="B51" s="11">
        <v>4</v>
      </c>
      <c r="C51" s="12">
        <f>IF(C34=1,SUM(C$31:C34)/B34,0)</f>
        <v>0.5</v>
      </c>
      <c r="D51" s="12">
        <f>IF(D34=1,SUM(D$31:D34)/B34,0)</f>
        <v>0</v>
      </c>
      <c r="G51" s="11">
        <v>4</v>
      </c>
      <c r="H51" s="12">
        <f>IF(H34=1,SUM(H$31:H34)/G34,0)</f>
        <v>0</v>
      </c>
      <c r="I51" s="12">
        <f>IF(I34=1,SUM(I$31:I34)/G34,0)</f>
        <v>0</v>
      </c>
    </row>
    <row r="52" spans="1:9" x14ac:dyDescent="0.3">
      <c r="B52" s="11">
        <v>5</v>
      </c>
      <c r="C52" s="12">
        <f>IF(C35=1,SUM(C$31:C35)/B35,0)</f>
        <v>0</v>
      </c>
      <c r="D52" s="12">
        <f>IF(D35=1,SUM(D$31:D35)/B35,0)</f>
        <v>0</v>
      </c>
      <c r="G52" s="11">
        <v>5</v>
      </c>
      <c r="H52" s="12">
        <f>IF(H35=1,SUM(H$31:H35)/G35,0)</f>
        <v>0</v>
      </c>
      <c r="I52" s="12">
        <f>IF(I35=1,SUM(I$31:I35)/G35,0)</f>
        <v>0</v>
      </c>
    </row>
    <row r="53" spans="1:9" x14ac:dyDescent="0.3">
      <c r="B53" s="11">
        <v>6</v>
      </c>
      <c r="C53" s="12">
        <f>IF(C36=1,SUM(C$31:C36)/B36,0)</f>
        <v>0.5</v>
      </c>
      <c r="D53" s="12">
        <f>IF(D36=1,SUM(D$31:D36)/B36,0)</f>
        <v>0.33333333333333331</v>
      </c>
      <c r="G53" s="11">
        <v>6</v>
      </c>
      <c r="H53" s="12">
        <f>IF(H36=1,SUM(H$31:H36)/G36,0)</f>
        <v>0</v>
      </c>
      <c r="I53" s="12">
        <f>IF(I36=1,SUM(I$31:I36)/G36,0)</f>
        <v>0</v>
      </c>
    </row>
    <row r="54" spans="1:9" x14ac:dyDescent="0.3">
      <c r="B54" s="11">
        <v>7</v>
      </c>
      <c r="C54" s="12">
        <f>IF(C37=1,SUM(C$31:C37)/B37,0)</f>
        <v>0</v>
      </c>
      <c r="D54" s="12">
        <f>IF(D37=1,SUM(D$31:D37)/B37,0)</f>
        <v>0</v>
      </c>
      <c r="G54" s="11">
        <v>7</v>
      </c>
      <c r="H54" s="12">
        <f>IF(H37=1,SUM(H$31:H37)/G37,0)</f>
        <v>0</v>
      </c>
      <c r="I54" s="12">
        <f>IF(I37=1,SUM(I$31:I37)/G37,0)</f>
        <v>0</v>
      </c>
    </row>
    <row r="55" spans="1:9" x14ac:dyDescent="0.3">
      <c r="B55" s="11">
        <v>8</v>
      </c>
      <c r="C55" s="12">
        <f>IF(C38=1,SUM(C$31:C38)/B38,0)</f>
        <v>0.5</v>
      </c>
      <c r="D55" s="12">
        <f>IF(D38=1,SUM(D$31:D38)/B38,0)</f>
        <v>0.375</v>
      </c>
      <c r="G55" s="11">
        <v>8</v>
      </c>
      <c r="H55" s="12">
        <f>IF(H38=1,SUM(H$31:H38)/G38,0)</f>
        <v>0</v>
      </c>
      <c r="I55" s="12">
        <f>IF(I38=1,SUM(I$31:I38)/G38,0)</f>
        <v>0</v>
      </c>
    </row>
    <row r="56" spans="1:9" x14ac:dyDescent="0.3">
      <c r="B56" s="11">
        <v>9</v>
      </c>
      <c r="C56" s="12">
        <f>IF(C39=1,SUM(C$31:C39)/B39,0)</f>
        <v>0</v>
      </c>
      <c r="D56" s="12">
        <f>IF(D39=1,SUM(D$31:D39)/B39,0)</f>
        <v>0</v>
      </c>
      <c r="G56" s="11">
        <v>9</v>
      </c>
      <c r="H56" s="12">
        <f>IF(H39=1,SUM(H$31:H39)/G39,0)</f>
        <v>0</v>
      </c>
      <c r="I56" s="12">
        <f>IF(I39=1,SUM(I$31:I39)/G39,0)</f>
        <v>0</v>
      </c>
    </row>
    <row r="57" spans="1:9" x14ac:dyDescent="0.3">
      <c r="B57" s="11">
        <v>10</v>
      </c>
      <c r="C57" s="12">
        <f>IF(C40=1,SUM(C$31:C40)/B40,0)</f>
        <v>0</v>
      </c>
      <c r="D57" s="12">
        <f>IF(D40=1,SUM(D$31:D40)/B40,0)</f>
        <v>0</v>
      </c>
      <c r="G57" s="11">
        <v>10</v>
      </c>
      <c r="H57" s="12">
        <f>IF(H40=1,SUM(H$31:H40)/G40,0)</f>
        <v>0</v>
      </c>
      <c r="I57" s="12">
        <f>IF(I40=1,SUM(I$31:I40)/G40,0)</f>
        <v>0.2</v>
      </c>
    </row>
    <row r="58" spans="1:9" x14ac:dyDescent="0.3">
      <c r="B58" s="11">
        <v>11</v>
      </c>
      <c r="C58" s="12">
        <f>IF(C41=1,SUM(C$31:C41)/B41,0)</f>
        <v>0</v>
      </c>
      <c r="D58" s="12">
        <f>IF(D41=1,SUM(D$31:D41)/B41,0)</f>
        <v>0</v>
      </c>
      <c r="G58" s="11">
        <v>11</v>
      </c>
      <c r="H58" s="12">
        <f>IF(H41=1,SUM(H$31:H41)/G41,0)</f>
        <v>0</v>
      </c>
      <c r="I58" s="12">
        <f>IF(I41=1,SUM(I$31:I41)/G41,0)</f>
        <v>0</v>
      </c>
    </row>
    <row r="59" spans="1:9" x14ac:dyDescent="0.3">
      <c r="B59" s="11">
        <v>12</v>
      </c>
      <c r="C59" s="12">
        <f>IF(C42=1,SUM(C$31:C42)/B42,0)</f>
        <v>0</v>
      </c>
      <c r="D59" s="12">
        <f>IF(D42=1,SUM(D$31:D42)/B42,0)</f>
        <v>0</v>
      </c>
      <c r="G59" s="11">
        <v>12</v>
      </c>
      <c r="H59" s="12">
        <f>IF(H42=1,SUM(H$31:H42)/G42,0)</f>
        <v>0.25</v>
      </c>
      <c r="I59" s="12">
        <f>IF(I42=1,SUM(I$31:I42)/G42,0)</f>
        <v>0</v>
      </c>
    </row>
    <row r="63" spans="1:9" x14ac:dyDescent="0.3">
      <c r="A63" s="1" t="s">
        <v>161</v>
      </c>
    </row>
    <row r="64" spans="1:9" x14ac:dyDescent="0.3">
      <c r="A64" s="1" t="s">
        <v>18</v>
      </c>
    </row>
    <row r="65" spans="1:9" x14ac:dyDescent="0.3">
      <c r="B65" s="20" t="s">
        <v>163</v>
      </c>
      <c r="C65" s="6">
        <f>SUM(C48:C59)/C26</f>
        <v>0.5</v>
      </c>
      <c r="D65" s="6">
        <f>SUM(D48:D59)/D26</f>
        <v>0.34722222222222215</v>
      </c>
      <c r="G65" s="20" t="s">
        <v>163</v>
      </c>
      <c r="H65" s="6">
        <f>SUM(H48:H59)/H26</f>
        <v>0.75</v>
      </c>
      <c r="I65" s="6">
        <f>SUM(I48:I59)/I26</f>
        <v>0.6</v>
      </c>
    </row>
    <row r="66" spans="1:9" x14ac:dyDescent="0.3">
      <c r="B66" s="21" t="s">
        <v>165</v>
      </c>
      <c r="C66" s="34">
        <f>(C65+D65)/2</f>
        <v>0.42361111111111105</v>
      </c>
      <c r="D66" s="35"/>
      <c r="G66" s="21" t="s">
        <v>165</v>
      </c>
      <c r="H66" s="34">
        <f>(H65+I65)/2</f>
        <v>0.67500000000000004</v>
      </c>
      <c r="I66" s="35"/>
    </row>
    <row r="69" spans="1:9" x14ac:dyDescent="0.3">
      <c r="A69" s="1" t="s">
        <v>166</v>
      </c>
    </row>
    <row r="71" spans="1:9" x14ac:dyDescent="0.3">
      <c r="B71" s="20" t="s">
        <v>164</v>
      </c>
      <c r="C71" s="6">
        <f>C32/B32</f>
        <v>0.5</v>
      </c>
      <c r="D71" s="6">
        <f>D32/C32</f>
        <v>0</v>
      </c>
      <c r="G71" s="20" t="s">
        <v>164</v>
      </c>
      <c r="H71" s="6">
        <f>H32/G32</f>
        <v>0.5</v>
      </c>
      <c r="I71" s="6">
        <f>I32/H32</f>
        <v>0</v>
      </c>
    </row>
    <row r="72" spans="1:9" x14ac:dyDescent="0.3">
      <c r="B72" s="21" t="s">
        <v>167</v>
      </c>
      <c r="C72" s="34">
        <f>(C71+D71)/2</f>
        <v>0.25</v>
      </c>
      <c r="D72" s="35"/>
      <c r="G72" s="21" t="s">
        <v>167</v>
      </c>
      <c r="H72" s="34">
        <f>(H71+I71)/2</f>
        <v>0.25</v>
      </c>
      <c r="I72" s="35"/>
    </row>
    <row r="74" spans="1:9" x14ac:dyDescent="0.3">
      <c r="B74" s="22" t="s">
        <v>168</v>
      </c>
      <c r="C74" s="6">
        <f>D31/B31</f>
        <v>0</v>
      </c>
      <c r="D74" s="6">
        <f>D31/B31</f>
        <v>0</v>
      </c>
      <c r="G74" s="22" t="s">
        <v>168</v>
      </c>
      <c r="H74" s="6">
        <f>I31/G31</f>
        <v>1</v>
      </c>
      <c r="I74" s="6">
        <f>I31/G31</f>
        <v>1</v>
      </c>
    </row>
    <row r="75" spans="1:9" x14ac:dyDescent="0.3">
      <c r="C75" s="34">
        <f>(C74+D74)/2</f>
        <v>0</v>
      </c>
      <c r="D75" s="35"/>
      <c r="H75" s="34">
        <f>(H74+I74)/2</f>
        <v>1</v>
      </c>
      <c r="I75" s="35"/>
    </row>
    <row r="77" spans="1:9" x14ac:dyDescent="0.3">
      <c r="B77" s="22" t="s">
        <v>170</v>
      </c>
      <c r="C77" s="6">
        <f>SUM(C30:C42)/C26</f>
        <v>1</v>
      </c>
      <c r="D77" s="6">
        <f>SUM(D30:D42)/D26</f>
        <v>1</v>
      </c>
      <c r="G77" s="22" t="s">
        <v>170</v>
      </c>
      <c r="H77" s="6">
        <f>SUM(H30:H42)/H26</f>
        <v>1</v>
      </c>
      <c r="I77" s="6">
        <f>SUM(I30:I42)/I26</f>
        <v>1</v>
      </c>
    </row>
    <row r="78" spans="1:9" x14ac:dyDescent="0.3">
      <c r="C78" s="34">
        <f>(C77+D77)/2</f>
        <v>1</v>
      </c>
      <c r="D78" s="35"/>
      <c r="H78" s="34">
        <f>(H77+I77)/2</f>
        <v>1</v>
      </c>
      <c r="I78" s="35"/>
    </row>
    <row r="80" spans="1:9" x14ac:dyDescent="0.3">
      <c r="B80" s="22" t="s">
        <v>169</v>
      </c>
      <c r="C80" s="6">
        <f>SUM(C31:C32)/C26</f>
        <v>0.25</v>
      </c>
      <c r="D80" s="6">
        <f>SUM(D31:D34)/D26</f>
        <v>0.33333333333333331</v>
      </c>
      <c r="G80" s="22" t="s">
        <v>169</v>
      </c>
      <c r="H80" s="6">
        <f>SUM(H31:H32)/H26</f>
        <v>0.66666666666666663</v>
      </c>
      <c r="I80" s="6">
        <f>SUM(I31:I34)/I26</f>
        <v>0.5</v>
      </c>
    </row>
    <row r="81" spans="1:9" x14ac:dyDescent="0.3">
      <c r="C81" s="34">
        <f>(C80+D80)/2</f>
        <v>0.29166666666666663</v>
      </c>
      <c r="D81" s="35"/>
      <c r="H81" s="34">
        <f>(H80+I80)/2</f>
        <v>0.58333333333333326</v>
      </c>
      <c r="I81" s="35"/>
    </row>
    <row r="84" spans="1:9" x14ac:dyDescent="0.3">
      <c r="A84" s="1" t="s">
        <v>171</v>
      </c>
    </row>
    <row r="86" spans="1:9" x14ac:dyDescent="0.3">
      <c r="A86" t="s">
        <v>172</v>
      </c>
    </row>
    <row r="87" spans="1:9" x14ac:dyDescent="0.3">
      <c r="A87" t="s">
        <v>173</v>
      </c>
    </row>
    <row r="88" spans="1:9" x14ac:dyDescent="0.3">
      <c r="A88" t="s">
        <v>174</v>
      </c>
    </row>
    <row r="91" spans="1:9" ht="21" x14ac:dyDescent="0.4">
      <c r="A91" s="5" t="s">
        <v>175</v>
      </c>
    </row>
    <row r="92" spans="1:9" ht="21" x14ac:dyDescent="0.4">
      <c r="A92" s="5" t="s">
        <v>176</v>
      </c>
    </row>
    <row r="94" spans="1:9" ht="21" x14ac:dyDescent="0.4">
      <c r="A94" s="5" t="s">
        <v>177</v>
      </c>
    </row>
    <row r="95" spans="1:9" ht="21" x14ac:dyDescent="0.4">
      <c r="A95" s="5" t="s">
        <v>178</v>
      </c>
    </row>
    <row r="96" spans="1:9" ht="21" x14ac:dyDescent="0.4">
      <c r="A96" s="5" t="s">
        <v>179</v>
      </c>
    </row>
    <row r="98" spans="1:9" ht="21" x14ac:dyDescent="0.4">
      <c r="A98" s="5" t="s">
        <v>180</v>
      </c>
    </row>
    <row r="99" spans="1:9" ht="21" x14ac:dyDescent="0.4">
      <c r="A99" s="5" t="s">
        <v>181</v>
      </c>
    </row>
    <row r="100" spans="1:9" ht="21" x14ac:dyDescent="0.4">
      <c r="A100" s="5"/>
    </row>
    <row r="101" spans="1:9" x14ac:dyDescent="0.3">
      <c r="B101" s="7"/>
      <c r="C101" s="11" t="s">
        <v>184</v>
      </c>
      <c r="D101" s="11" t="s">
        <v>185</v>
      </c>
      <c r="E101" s="11" t="s">
        <v>186</v>
      </c>
    </row>
    <row r="102" spans="1:9" x14ac:dyDescent="0.3">
      <c r="B102" s="11" t="s">
        <v>182</v>
      </c>
      <c r="C102" s="8">
        <v>0.67100000000000004</v>
      </c>
      <c r="D102" s="8">
        <v>0.81100000000000005</v>
      </c>
      <c r="E102" s="8">
        <v>0.74399999999999999</v>
      </c>
    </row>
    <row r="103" spans="1:9" x14ac:dyDescent="0.3">
      <c r="B103" s="11" t="s">
        <v>183</v>
      </c>
      <c r="C103" s="8">
        <v>0.216</v>
      </c>
      <c r="D103" s="8">
        <v>0.16500000000000001</v>
      </c>
      <c r="E103" s="8">
        <v>1.7000000000000001E-2</v>
      </c>
    </row>
    <row r="105" spans="1:9" x14ac:dyDescent="0.3">
      <c r="A105" s="23"/>
    </row>
    <row r="106" spans="1:9" x14ac:dyDescent="0.3">
      <c r="A106" s="1" t="s">
        <v>187</v>
      </c>
    </row>
    <row r="108" spans="1:9" x14ac:dyDescent="0.3">
      <c r="B108" s="17" t="s">
        <v>188</v>
      </c>
      <c r="C108" s="17" t="s">
        <v>189</v>
      </c>
      <c r="D108" s="17" t="s">
        <v>190</v>
      </c>
      <c r="G108" s="32" t="s">
        <v>191</v>
      </c>
      <c r="H108" s="33"/>
      <c r="I108" s="6" t="s">
        <v>194</v>
      </c>
    </row>
    <row r="109" spans="1:9" x14ac:dyDescent="0.3">
      <c r="B109" s="6">
        <f>C102</f>
        <v>0.67100000000000004</v>
      </c>
      <c r="C109" s="6">
        <f>D102</f>
        <v>0.81100000000000005</v>
      </c>
      <c r="D109" s="6">
        <f>E102</f>
        <v>0.74399999999999999</v>
      </c>
      <c r="F109" s="11" t="s">
        <v>184</v>
      </c>
      <c r="G109" s="8">
        <f>C102-1.96*(C103/SQRT(20))</f>
        <v>0.57633382610456896</v>
      </c>
      <c r="H109" s="8">
        <f>C102+1.96*(C103/SQRT(20))</f>
        <v>0.76566617389543112</v>
      </c>
      <c r="I109" s="6">
        <f>H109-G109</f>
        <v>0.18933234779086217</v>
      </c>
    </row>
    <row r="110" spans="1:9" x14ac:dyDescent="0.3">
      <c r="F110" s="11" t="s">
        <v>192</v>
      </c>
      <c r="G110" s="8">
        <f>D102-1.96*(D103/SQRT(20))</f>
        <v>0.73868556160765686</v>
      </c>
      <c r="H110" s="8">
        <f>D102+1.96*(D103/SQRT(20))</f>
        <v>0.88331443839234325</v>
      </c>
      <c r="I110" s="6">
        <f t="shared" ref="I110:I111" si="0">H110-G110</f>
        <v>0.14462887678468639</v>
      </c>
    </row>
    <row r="111" spans="1:9" x14ac:dyDescent="0.3">
      <c r="F111" s="11" t="s">
        <v>193</v>
      </c>
      <c r="G111" s="8">
        <f>E102-1.96*(E103/SQRT(20))</f>
        <v>0.73654942149897074</v>
      </c>
      <c r="H111" s="8">
        <f>E102+1.96*(E103/SQRT(20))</f>
        <v>0.75145057850102925</v>
      </c>
      <c r="I111" s="6">
        <f t="shared" si="0"/>
        <v>1.4901157002058518E-2</v>
      </c>
    </row>
    <row r="113" spans="1:5" x14ac:dyDescent="0.3">
      <c r="A113" s="1" t="s">
        <v>18</v>
      </c>
      <c r="B113" t="s">
        <v>196</v>
      </c>
    </row>
    <row r="114" spans="1:5" x14ac:dyDescent="0.3">
      <c r="B114" t="s">
        <v>195</v>
      </c>
    </row>
    <row r="115" spans="1:5" x14ac:dyDescent="0.3">
      <c r="B115" t="s">
        <v>197</v>
      </c>
    </row>
    <row r="118" spans="1:5" x14ac:dyDescent="0.3">
      <c r="A118" s="1" t="s">
        <v>198</v>
      </c>
    </row>
    <row r="120" spans="1:5" x14ac:dyDescent="0.3">
      <c r="A120" s="1"/>
      <c r="C120" s="32" t="s">
        <v>191</v>
      </c>
      <c r="D120" s="33"/>
      <c r="E120" s="6" t="s">
        <v>194</v>
      </c>
    </row>
    <row r="121" spans="1:5" x14ac:dyDescent="0.3">
      <c r="B121" s="11" t="s">
        <v>184</v>
      </c>
      <c r="C121" s="8">
        <f>C102-1.96*(C103/SQRT(200))</f>
        <v>0.64106392731168638</v>
      </c>
      <c r="D121" s="8">
        <f>C102+1.96*(C103/SQRT(200))</f>
        <v>0.7009360726883137</v>
      </c>
      <c r="E121" s="6">
        <f>D121-C121</f>
        <v>5.9872145376627328E-2</v>
      </c>
    </row>
    <row r="122" spans="1:5" x14ac:dyDescent="0.3">
      <c r="B122" s="11" t="s">
        <v>192</v>
      </c>
      <c r="C122" s="8">
        <f>D102-1.96*(D103/SQRT(200))</f>
        <v>0.78813216669642716</v>
      </c>
      <c r="D122" s="8">
        <f>D102+1.96*(D103/SQRT(200))</f>
        <v>0.83386783330357295</v>
      </c>
      <c r="E122" s="6">
        <f t="shared" ref="E122:E123" si="1">D122-C122</f>
        <v>4.5735666607145786E-2</v>
      </c>
    </row>
    <row r="123" spans="1:5" x14ac:dyDescent="0.3">
      <c r="B123" s="11" t="s">
        <v>193</v>
      </c>
      <c r="C123" s="8">
        <f>E102-1.96*(E103/SQRT(200))</f>
        <v>0.7416439202050864</v>
      </c>
      <c r="D123" s="8">
        <f>E102+1.96*(E103/SQRT(200))</f>
        <v>0.74635607979491358</v>
      </c>
      <c r="E123" s="6">
        <f t="shared" si="1"/>
        <v>4.7121595898271806E-3</v>
      </c>
    </row>
    <row r="125" spans="1:5" x14ac:dyDescent="0.3">
      <c r="A125" s="1" t="s">
        <v>18</v>
      </c>
      <c r="B125" s="24" t="s">
        <v>199</v>
      </c>
    </row>
    <row r="126" spans="1:5" x14ac:dyDescent="0.3">
      <c r="B126" s="24" t="s">
        <v>200</v>
      </c>
    </row>
    <row r="127" spans="1:5" x14ac:dyDescent="0.3">
      <c r="B127" t="s">
        <v>201</v>
      </c>
    </row>
    <row r="128" spans="1:5" x14ac:dyDescent="0.3">
      <c r="B128" t="s">
        <v>202</v>
      </c>
    </row>
    <row r="131" spans="1:12" ht="23.4" x14ac:dyDescent="0.45">
      <c r="A131" s="16" t="s">
        <v>203</v>
      </c>
    </row>
    <row r="133" spans="1:12" x14ac:dyDescent="0.3">
      <c r="B133" s="29" t="s">
        <v>210</v>
      </c>
      <c r="C133" s="29"/>
      <c r="D133" s="7"/>
      <c r="E133" s="29" t="s">
        <v>211</v>
      </c>
      <c r="F133" s="29"/>
      <c r="H133" s="29" t="s">
        <v>212</v>
      </c>
      <c r="I133" s="29"/>
    </row>
    <row r="134" spans="1:12" x14ac:dyDescent="0.3">
      <c r="B134" s="11" t="s">
        <v>204</v>
      </c>
      <c r="C134" s="11" t="s">
        <v>205</v>
      </c>
      <c r="D134" s="7"/>
      <c r="E134" s="11" t="s">
        <v>204</v>
      </c>
      <c r="F134" s="11" t="s">
        <v>205</v>
      </c>
      <c r="H134" s="11" t="s">
        <v>204</v>
      </c>
      <c r="I134" s="11" t="s">
        <v>205</v>
      </c>
    </row>
    <row r="135" spans="1:12" x14ac:dyDescent="0.3">
      <c r="B135" s="8">
        <v>1</v>
      </c>
      <c r="C135" s="8" t="s">
        <v>206</v>
      </c>
      <c r="D135" s="7"/>
      <c r="E135" s="8">
        <v>1</v>
      </c>
      <c r="F135" s="8" t="s">
        <v>209</v>
      </c>
      <c r="H135" s="8">
        <v>1</v>
      </c>
      <c r="I135" s="8" t="s">
        <v>208</v>
      </c>
    </row>
    <row r="136" spans="1:12" x14ac:dyDescent="0.3">
      <c r="B136" s="8">
        <v>2</v>
      </c>
      <c r="C136" s="8" t="s">
        <v>207</v>
      </c>
      <c r="D136" s="7"/>
      <c r="E136" s="8">
        <v>2</v>
      </c>
      <c r="F136" s="8" t="s">
        <v>207</v>
      </c>
      <c r="H136" s="8">
        <v>2</v>
      </c>
      <c r="I136" s="8" t="s">
        <v>209</v>
      </c>
    </row>
    <row r="137" spans="1:12" x14ac:dyDescent="0.3">
      <c r="B137" s="8">
        <v>3</v>
      </c>
      <c r="C137" s="8" t="s">
        <v>208</v>
      </c>
      <c r="D137" s="7"/>
      <c r="E137" s="8">
        <v>3</v>
      </c>
      <c r="F137" s="8" t="s">
        <v>206</v>
      </c>
      <c r="H137" s="8">
        <v>3</v>
      </c>
      <c r="I137" s="8" t="s">
        <v>206</v>
      </c>
    </row>
    <row r="138" spans="1:12" x14ac:dyDescent="0.3">
      <c r="B138" s="8">
        <v>4</v>
      </c>
      <c r="C138" s="8" t="s">
        <v>209</v>
      </c>
      <c r="D138" s="7"/>
      <c r="E138" s="8">
        <v>4</v>
      </c>
      <c r="F138" s="8" t="s">
        <v>208</v>
      </c>
      <c r="H138" s="8">
        <v>4</v>
      </c>
      <c r="I138" s="8" t="s">
        <v>207</v>
      </c>
    </row>
    <row r="141" spans="1:12" x14ac:dyDescent="0.3">
      <c r="A141" s="1" t="s">
        <v>213</v>
      </c>
    </row>
    <row r="143" spans="1:12" x14ac:dyDescent="0.3">
      <c r="B143" s="26" t="s">
        <v>205</v>
      </c>
      <c r="C143" s="26" t="s">
        <v>214</v>
      </c>
      <c r="D143" s="26" t="s">
        <v>215</v>
      </c>
      <c r="E143" s="26" t="s">
        <v>216</v>
      </c>
      <c r="F143" s="26" t="s">
        <v>217</v>
      </c>
      <c r="H143" s="26" t="s">
        <v>205</v>
      </c>
      <c r="I143" s="26" t="s">
        <v>214</v>
      </c>
      <c r="J143" s="26" t="s">
        <v>221</v>
      </c>
      <c r="K143" s="26" t="s">
        <v>216</v>
      </c>
      <c r="L143" s="26" t="s">
        <v>217</v>
      </c>
    </row>
    <row r="144" spans="1:12" x14ac:dyDescent="0.3">
      <c r="B144" s="8" t="s">
        <v>206</v>
      </c>
      <c r="C144" s="8">
        <v>3</v>
      </c>
      <c r="D144" s="8">
        <v>1</v>
      </c>
      <c r="E144" s="8">
        <f>C144-D144</f>
        <v>2</v>
      </c>
      <c r="F144" s="8">
        <f>E144*E144</f>
        <v>4</v>
      </c>
      <c r="H144" s="8" t="s">
        <v>206</v>
      </c>
      <c r="I144" s="8">
        <v>3</v>
      </c>
      <c r="J144" s="8">
        <v>3</v>
      </c>
      <c r="K144" s="8">
        <f>I144-J144</f>
        <v>0</v>
      </c>
      <c r="L144" s="8">
        <f>K144*K144</f>
        <v>0</v>
      </c>
    </row>
    <row r="145" spans="1:12" x14ac:dyDescent="0.3">
      <c r="B145" s="8" t="s">
        <v>207</v>
      </c>
      <c r="C145" s="8">
        <v>4</v>
      </c>
      <c r="D145" s="8">
        <v>2</v>
      </c>
      <c r="E145" s="8">
        <f t="shared" ref="E145:E147" si="2">C145-D145</f>
        <v>2</v>
      </c>
      <c r="F145" s="8">
        <f t="shared" ref="F145:F147" si="3">E145*E145</f>
        <v>4</v>
      </c>
      <c r="H145" s="8" t="s">
        <v>207</v>
      </c>
      <c r="I145" s="8">
        <v>4</v>
      </c>
      <c r="J145" s="8">
        <v>2</v>
      </c>
      <c r="K145" s="8">
        <f t="shared" ref="K145:K147" si="4">I145-J145</f>
        <v>2</v>
      </c>
      <c r="L145" s="8">
        <f t="shared" ref="L145:L147" si="5">K145*K145</f>
        <v>4</v>
      </c>
    </row>
    <row r="146" spans="1:12" x14ac:dyDescent="0.3">
      <c r="B146" s="8" t="s">
        <v>208</v>
      </c>
      <c r="C146" s="8">
        <v>1</v>
      </c>
      <c r="D146" s="8">
        <v>3</v>
      </c>
      <c r="E146" s="8">
        <f t="shared" si="2"/>
        <v>-2</v>
      </c>
      <c r="F146" s="8">
        <f t="shared" si="3"/>
        <v>4</v>
      </c>
      <c r="H146" s="8" t="s">
        <v>208</v>
      </c>
      <c r="I146" s="8">
        <v>1</v>
      </c>
      <c r="J146" s="8">
        <v>4</v>
      </c>
      <c r="K146" s="8">
        <f t="shared" si="4"/>
        <v>-3</v>
      </c>
      <c r="L146" s="8">
        <f t="shared" si="5"/>
        <v>9</v>
      </c>
    </row>
    <row r="147" spans="1:12" x14ac:dyDescent="0.3">
      <c r="B147" s="8" t="s">
        <v>209</v>
      </c>
      <c r="C147" s="8">
        <v>2</v>
      </c>
      <c r="D147" s="8">
        <v>4</v>
      </c>
      <c r="E147" s="8">
        <f t="shared" si="2"/>
        <v>-2</v>
      </c>
      <c r="F147" s="8">
        <f t="shared" si="3"/>
        <v>4</v>
      </c>
      <c r="H147" s="8" t="s">
        <v>209</v>
      </c>
      <c r="I147" s="8">
        <v>2</v>
      </c>
      <c r="J147" s="8">
        <v>1</v>
      </c>
      <c r="K147" s="8">
        <f t="shared" si="4"/>
        <v>1</v>
      </c>
      <c r="L147" s="8">
        <f t="shared" si="5"/>
        <v>1</v>
      </c>
    </row>
    <row r="148" spans="1:12" x14ac:dyDescent="0.3">
      <c r="B148" s="25" t="s">
        <v>218</v>
      </c>
      <c r="C148" s="25">
        <f>SUM(F144:F147)</f>
        <v>16</v>
      </c>
      <c r="H148" s="25" t="s">
        <v>218</v>
      </c>
      <c r="I148" s="25">
        <f>SUM(L144:L147)</f>
        <v>14</v>
      </c>
    </row>
    <row r="149" spans="1:12" x14ac:dyDescent="0.3">
      <c r="B149" s="27" t="s">
        <v>219</v>
      </c>
      <c r="C149" s="27">
        <f>4*(4*4-1)/3</f>
        <v>20</v>
      </c>
      <c r="H149" s="27" t="s">
        <v>219</v>
      </c>
      <c r="I149" s="27">
        <f>4*(4*4-1)/3</f>
        <v>20</v>
      </c>
    </row>
    <row r="150" spans="1:12" x14ac:dyDescent="0.3">
      <c r="B150" s="27" t="s">
        <v>220</v>
      </c>
      <c r="C150" s="27">
        <f>1-(2*C148)/C149</f>
        <v>-0.60000000000000009</v>
      </c>
      <c r="H150" s="27" t="s">
        <v>220</v>
      </c>
      <c r="I150" s="27">
        <f>1-(2*I148)/I149</f>
        <v>-0.39999999999999991</v>
      </c>
    </row>
    <row r="153" spans="1:12" x14ac:dyDescent="0.3">
      <c r="A153" s="1" t="s">
        <v>18</v>
      </c>
      <c r="B153" t="s">
        <v>240</v>
      </c>
    </row>
    <row r="154" spans="1:12" x14ac:dyDescent="0.3">
      <c r="B154" t="s">
        <v>241</v>
      </c>
    </row>
    <row r="157" spans="1:12" x14ac:dyDescent="0.3">
      <c r="A157" s="1" t="s">
        <v>222</v>
      </c>
    </row>
    <row r="159" spans="1:12" x14ac:dyDescent="0.3">
      <c r="B159" s="29" t="s">
        <v>230</v>
      </c>
      <c r="C159" s="29"/>
      <c r="D159" s="26" t="s">
        <v>223</v>
      </c>
      <c r="E159" s="26" t="s">
        <v>233</v>
      </c>
      <c r="H159" s="29" t="s">
        <v>230</v>
      </c>
      <c r="I159" s="29"/>
      <c r="J159" s="26" t="s">
        <v>223</v>
      </c>
      <c r="K159" s="26" t="s">
        <v>233</v>
      </c>
    </row>
    <row r="160" spans="1:12" x14ac:dyDescent="0.3">
      <c r="B160" s="30" t="s">
        <v>224</v>
      </c>
      <c r="C160" s="31"/>
      <c r="D160" s="8" t="s">
        <v>235</v>
      </c>
      <c r="E160" s="8">
        <v>1</v>
      </c>
      <c r="H160" s="30" t="s">
        <v>224</v>
      </c>
      <c r="I160" s="31"/>
      <c r="J160" s="8" t="s">
        <v>234</v>
      </c>
      <c r="K160" s="8">
        <v>0</v>
      </c>
    </row>
    <row r="161" spans="1:11" x14ac:dyDescent="0.3">
      <c r="B161" s="30" t="s">
        <v>225</v>
      </c>
      <c r="C161" s="31"/>
      <c r="D161" s="8" t="s">
        <v>234</v>
      </c>
      <c r="E161" s="8">
        <v>0</v>
      </c>
      <c r="H161" s="30" t="s">
        <v>225</v>
      </c>
      <c r="I161" s="31"/>
      <c r="J161" s="8" t="s">
        <v>234</v>
      </c>
      <c r="K161" s="8">
        <v>0</v>
      </c>
    </row>
    <row r="162" spans="1:11" x14ac:dyDescent="0.3">
      <c r="B162" s="30" t="s">
        <v>226</v>
      </c>
      <c r="C162" s="31"/>
      <c r="D162" s="8" t="s">
        <v>234</v>
      </c>
      <c r="E162" s="8">
        <v>0</v>
      </c>
      <c r="H162" s="30" t="s">
        <v>226</v>
      </c>
      <c r="I162" s="31"/>
      <c r="J162" s="8" t="s">
        <v>234</v>
      </c>
      <c r="K162" s="8">
        <v>0</v>
      </c>
    </row>
    <row r="163" spans="1:11" x14ac:dyDescent="0.3">
      <c r="B163" s="30" t="s">
        <v>227</v>
      </c>
      <c r="C163" s="31"/>
      <c r="D163" s="8" t="s">
        <v>234</v>
      </c>
      <c r="E163" s="8">
        <v>0</v>
      </c>
      <c r="H163" s="30" t="s">
        <v>227</v>
      </c>
      <c r="I163" s="31"/>
      <c r="J163" s="8" t="s">
        <v>235</v>
      </c>
      <c r="K163" s="8">
        <v>1</v>
      </c>
    </row>
    <row r="164" spans="1:11" x14ac:dyDescent="0.3">
      <c r="B164" s="30" t="s">
        <v>228</v>
      </c>
      <c r="C164" s="31"/>
      <c r="D164" s="8" t="s">
        <v>234</v>
      </c>
      <c r="E164" s="8">
        <v>0</v>
      </c>
      <c r="H164" s="30" t="s">
        <v>228</v>
      </c>
      <c r="I164" s="31"/>
      <c r="J164" s="8" t="s">
        <v>235</v>
      </c>
      <c r="K164" s="8">
        <v>1</v>
      </c>
    </row>
    <row r="165" spans="1:11" x14ac:dyDescent="0.3">
      <c r="B165" s="30" t="s">
        <v>229</v>
      </c>
      <c r="C165" s="31"/>
      <c r="D165" s="8" t="s">
        <v>235</v>
      </c>
      <c r="E165" s="8">
        <v>1</v>
      </c>
      <c r="H165" s="30" t="s">
        <v>229</v>
      </c>
      <c r="I165" s="31"/>
      <c r="J165" s="8" t="s">
        <v>234</v>
      </c>
      <c r="K165" s="8">
        <v>0</v>
      </c>
    </row>
    <row r="166" spans="1:11" x14ac:dyDescent="0.3">
      <c r="B166" s="28" t="s">
        <v>231</v>
      </c>
      <c r="C166" s="28"/>
      <c r="D166" s="8">
        <v>2</v>
      </c>
      <c r="E166" s="7"/>
      <c r="H166" s="28" t="s">
        <v>231</v>
      </c>
      <c r="I166" s="28"/>
      <c r="J166" s="8">
        <v>2</v>
      </c>
      <c r="K166" s="7"/>
    </row>
    <row r="167" spans="1:11" x14ac:dyDescent="0.3">
      <c r="B167" s="28" t="s">
        <v>232</v>
      </c>
      <c r="C167" s="28"/>
      <c r="D167" s="8">
        <v>4</v>
      </c>
      <c r="E167" s="7"/>
      <c r="H167" s="28" t="s">
        <v>232</v>
      </c>
      <c r="I167" s="28"/>
      <c r="J167" s="8">
        <v>4</v>
      </c>
      <c r="K167" s="7"/>
    </row>
    <row r="168" spans="1:11" x14ac:dyDescent="0.3">
      <c r="E168" s="7"/>
      <c r="K168" s="7"/>
    </row>
    <row r="169" spans="1:11" x14ac:dyDescent="0.3">
      <c r="B169" s="27" t="s">
        <v>236</v>
      </c>
      <c r="C169" s="8">
        <f>4*(4-1)/2</f>
        <v>6</v>
      </c>
      <c r="D169" s="7"/>
      <c r="E169" s="7"/>
      <c r="F169" s="7"/>
      <c r="G169" s="7"/>
      <c r="H169" s="27" t="s">
        <v>236</v>
      </c>
      <c r="I169" s="8">
        <f>4*(4-1)/2</f>
        <v>6</v>
      </c>
    </row>
    <row r="170" spans="1:11" x14ac:dyDescent="0.3">
      <c r="B170" s="27" t="s">
        <v>237</v>
      </c>
      <c r="C170" s="8">
        <f>(D166-D167)/C169</f>
        <v>-0.33333333333333331</v>
      </c>
      <c r="D170" s="7"/>
      <c r="E170" s="7"/>
      <c r="F170" s="7"/>
      <c r="G170" s="7"/>
      <c r="H170" s="27" t="s">
        <v>237</v>
      </c>
      <c r="I170" s="8">
        <f>(J166-J167)/I169</f>
        <v>-0.33333333333333331</v>
      </c>
    </row>
    <row r="173" spans="1:11" x14ac:dyDescent="0.3">
      <c r="A173" s="1" t="s">
        <v>18</v>
      </c>
      <c r="B173" t="s">
        <v>238</v>
      </c>
    </row>
    <row r="174" spans="1:11" x14ac:dyDescent="0.3">
      <c r="B174" t="s">
        <v>239</v>
      </c>
    </row>
  </sheetData>
  <mergeCells count="41">
    <mergeCell ref="C72:D72"/>
    <mergeCell ref="H72:I72"/>
    <mergeCell ref="G12:I12"/>
    <mergeCell ref="B12:D12"/>
    <mergeCell ref="B29:D29"/>
    <mergeCell ref="G29:I29"/>
    <mergeCell ref="E28:F28"/>
    <mergeCell ref="E45:F45"/>
    <mergeCell ref="B46:D46"/>
    <mergeCell ref="G46:I46"/>
    <mergeCell ref="C66:D66"/>
    <mergeCell ref="H66:I66"/>
    <mergeCell ref="C75:D75"/>
    <mergeCell ref="H75:I75"/>
    <mergeCell ref="C78:D78"/>
    <mergeCell ref="C81:D81"/>
    <mergeCell ref="H78:I78"/>
    <mergeCell ref="H81:I81"/>
    <mergeCell ref="B165:C165"/>
    <mergeCell ref="G108:H108"/>
    <mergeCell ref="C120:D120"/>
    <mergeCell ref="B133:C133"/>
    <mergeCell ref="E133:F133"/>
    <mergeCell ref="H133:I133"/>
    <mergeCell ref="B159:C159"/>
    <mergeCell ref="H166:I166"/>
    <mergeCell ref="H167:I167"/>
    <mergeCell ref="B166:C166"/>
    <mergeCell ref="B167:C167"/>
    <mergeCell ref="H159:I159"/>
    <mergeCell ref="H160:I160"/>
    <mergeCell ref="H161:I161"/>
    <mergeCell ref="H162:I162"/>
    <mergeCell ref="H163:I163"/>
    <mergeCell ref="H164:I164"/>
    <mergeCell ref="H165:I165"/>
    <mergeCell ref="B163:C163"/>
    <mergeCell ref="B160:C160"/>
    <mergeCell ref="B161:C161"/>
    <mergeCell ref="B162:C162"/>
    <mergeCell ref="B164:C164"/>
  </mergeCells>
  <phoneticPr fontId="5" type="noConversion"/>
  <hyperlinks>
    <hyperlink ref="B74" r:id="rId1" xr:uid="{271DCBBC-5C48-4296-B4A2-8261715D3AD3}"/>
    <hyperlink ref="B77" r:id="rId2" xr:uid="{C51DA40F-95AA-4858-A966-5BBB873ADD6D}"/>
    <hyperlink ref="B80" r:id="rId3" display="Prec@1" xr:uid="{D4D2CAEC-016B-4C66-A925-8E990884C0C0}"/>
    <hyperlink ref="G80" r:id="rId4" display="Prec@1" xr:uid="{6D58949F-71E1-4BDB-A550-D892C346235C}"/>
    <hyperlink ref="G77" r:id="rId5" xr:uid="{AE1FD58E-FF9A-4E20-BBA5-2BC34DC4E5E7}"/>
    <hyperlink ref="G74" r:id="rId6" xr:uid="{9D33408E-84CA-40CF-8047-E6ED3B6A8A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SEM_5</vt:lpstr>
      <vt:lpstr>SEM_6</vt:lpstr>
      <vt:lpstr>SEM_8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Espinoza A</dc:creator>
  <cp:lastModifiedBy>Patricio Bastián Espinoza Acuña (patricio.espinoza.a)</cp:lastModifiedBy>
  <dcterms:created xsi:type="dcterms:W3CDTF">2015-06-05T18:19:34Z</dcterms:created>
  <dcterms:modified xsi:type="dcterms:W3CDTF">2025-06-28T02:29:35Z</dcterms:modified>
</cp:coreProperties>
</file>