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ustomProperty1.bin" ContentType="application/vnd.openxmlformats-officedocument.spreadsheetml.customProperty"/>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ustomProperty2.bin" ContentType="application/vnd.openxmlformats-officedocument.spreadsheetml.customProperty"/>
  <Override PartName="/xl/drawings/drawing5.xml" ContentType="application/vnd.openxmlformats-officedocument.drawing+xml"/>
  <Override PartName="/xl/customProperty3.bin" ContentType="application/vnd.openxmlformats-officedocument.spreadsheetml.customProperty"/>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ustomProperty4.bin" ContentType="application/vnd.openxmlformats-officedocument.spreadsheetml.customProperty"/>
  <Override PartName="/xl/drawings/drawing9.xml" ContentType="application/vnd.openxmlformats-officedocument.drawing+xml"/>
  <Override PartName="/xl/charts/chartEx1.xml" ContentType="application/vnd.ms-office.chartex+xml"/>
  <Override PartName="/xl/charts/style12.xml" ContentType="application/vnd.ms-office.chartstyle+xml"/>
  <Override PartName="/xl/charts/colors12.xml" ContentType="application/vnd.ms-office.chartcolorstyle+xml"/>
  <Override PartName="/xl/drawings/drawing10.xml" ContentType="application/vnd.openxmlformats-officedocument.drawing+xml"/>
  <Override PartName="/xl/drawings/drawing11.xml" ContentType="application/vnd.openxmlformats-officedocument.drawing+xml"/>
  <Override PartName="/xl/charts/chartEx2.xml" ContentType="application/vnd.ms-office.chartex+xml"/>
  <Override PartName="/xl/charts/style13.xml" ContentType="application/vnd.ms-office.chartstyle+xml"/>
  <Override PartName="/xl/charts/colors13.xml" ContentType="application/vnd.ms-office.chartcolorstyle+xml"/>
  <Override PartName="/xl/customProperty5.bin" ContentType="application/vnd.openxmlformats-officedocument.spreadsheetml.customProperty"/>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ustomProperty6.bin" ContentType="application/vnd.openxmlformats-officedocument.spreadsheetml.customProperty"/>
  <Override PartName="/xl/drawings/drawing16.xml" ContentType="application/vnd.openxmlformats-officedocument.drawing+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7.xml" ContentType="application/vnd.openxmlformats-officedocument.drawing+xml"/>
  <Override PartName="/xl/customProperty7.bin" ContentType="application/vnd.openxmlformats-officedocument.spreadsheetml.customProperty"/>
  <Override PartName="/xl/drawings/drawing18.xml" ContentType="application/vnd.openxmlformats-officedocument.drawing+xml"/>
  <Override PartName="/xl/tables/table1.xml" ContentType="application/vnd.openxmlformats-officedocument.spreadsheetml.tab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9fab45977d5acd78/PATRICK ALMEIDA/ESTUDO/CORPORATE FINANCE INSTITUTE/FMVA/ESTUDO DE CASO - AMAZON/"/>
    </mc:Choice>
  </mc:AlternateContent>
  <xr:revisionPtr revIDLastSave="2" documentId="13_ncr:1_{D8D89CF0-14D6-4A70-A966-0D8A70C3CC26}" xr6:coauthVersionLast="47" xr6:coauthVersionMax="47" xr10:uidLastSave="{7E22CC06-C265-48EF-90C0-4B8CA1D099C4}"/>
  <bookViews>
    <workbookView xWindow="-108" yWindow="-108" windowWidth="23256" windowHeight="12456" firstSheet="1" activeTab="5" xr2:uid="{ECC8BE57-62FA-424F-81CB-40D0A9F07C79}"/>
  </bookViews>
  <sheets>
    <sheet name="Cover Page" sheetId="41" r:id="rId1"/>
    <sheet name="Dashboard" sheetId="409" r:id="rId2"/>
    <sheet name="Implied Value Summary" sheetId="829" r:id="rId3"/>
    <sheet name="Outputs" sheetId="846" r:id="rId4"/>
    <sheet name="Control Panel" sheetId="143" r:id="rId5"/>
    <sheet name="Financial Statements" sheetId="2" r:id="rId6"/>
    <sheet name="Raw Data" sheetId="1" r:id="rId7"/>
    <sheet name="Scenarios" sheetId="8" r:id="rId8"/>
    <sheet name="DCF" sheetId="45" r:id="rId9"/>
    <sheet name="WACC" sheetId="209" r:id="rId10"/>
    <sheet name="SOTP" sheetId="110" r:id="rId11"/>
    <sheet name="Comps" sheetId="410" r:id="rId12"/>
    <sheet name="PrecedentsVal" sheetId="646" r:id="rId13"/>
    <sheet name="Precedents" sheetId="641" r:id="rId14"/>
    <sheet name="Market Size" sheetId="698" r:id="rId15"/>
    <sheet name="Macro" sheetId="724" r:id="rId16"/>
    <sheet name="Consensus" sheetId="425" r:id="rId17"/>
    <sheet name="Share Price" sheetId="24" r:id="rId18"/>
  </sheets>
  <definedNames>
    <definedName name="__FDS_HYPERLINK_TOGGLE_STATE__" hidden="1">"ON"</definedName>
    <definedName name="_CompanyName">'Control Panel'!$F$10</definedName>
    <definedName name="_xlnm._FilterDatabase" localSheetId="16" hidden="1">Consensus!$B$6:$D$33</definedName>
    <definedName name="_LTGrowth">'Control Panel'!$F$27</definedName>
    <definedName name="_Order1" hidden="1">0</definedName>
    <definedName name="_RoundBillions">'Control Panel'!$F$16</definedName>
    <definedName name="_TaxRate">'Control Panel'!$F$21</definedName>
    <definedName name="_Vdate">'Control Panel'!$F$11</definedName>
    <definedName name="_WACC">'Control Panel'!$W$22</definedName>
    <definedName name="_xlchart.v1.0" hidden="1">DCF!$B$57:$B$59</definedName>
    <definedName name="_xlchart.v1.1" hidden="1">DCF!$C$56</definedName>
    <definedName name="_xlchart.v1.2" hidden="1">DCF!$C$57:$C$59</definedName>
    <definedName name="_xlchart.v1.3" hidden="1">SOTP!$P$67:$P$72</definedName>
    <definedName name="_xlchart.v1.4" hidden="1">SOTP!$Q$67:$Q$72</definedName>
    <definedName name="_YEdate_After">'Control Panel'!$F$14</definedName>
    <definedName name="_YEdate_Before">'Control Panel'!$F$13</definedName>
    <definedName name="_xlnm.Print_Area" localSheetId="16">Consensus!$A$1:$D$37</definedName>
    <definedName name="_xlnm.Print_Area" localSheetId="4">'Control Panel'!$A$1:$W$42</definedName>
    <definedName name="_xlnm.Print_Area" localSheetId="1">Dashboard!$A$1:$AC$39</definedName>
    <definedName name="_xlnm.Print_Area" localSheetId="8">DCF!$A$1:$P$54</definedName>
    <definedName name="_xlnm.Print_Area" localSheetId="5">'Financial Statements'!$A$1:$S$345</definedName>
    <definedName name="_xlnm.Print_Area" localSheetId="2">'Implied Value Summary'!$A$1:$R$29</definedName>
    <definedName name="_xlnm.Print_Area" localSheetId="15">Macro!$A$1:$H$17</definedName>
    <definedName name="_xlnm.Print_Area" localSheetId="3">Outputs!$B$1:$L$62</definedName>
    <definedName name="_xlnm.Print_Area" localSheetId="13">Precedents!$A$1:$S$23</definedName>
    <definedName name="_xlnm.Print_Area" localSheetId="12">PrecedentsVal!$A$1:$L$15</definedName>
    <definedName name="_xlnm.Print_Area" localSheetId="6">'Raw Data'!$A$1:$H$164</definedName>
    <definedName name="_xlnm.Print_Area" localSheetId="7">Scenarios!$A$1:$S$60</definedName>
    <definedName name="_xlnm.Print_Area" localSheetId="17">'Share Price'!$A$1:$F$1362</definedName>
    <definedName name="_xlnm.Print_Area" localSheetId="10">SOTP!$A$1:$M$38</definedName>
    <definedName name="_xlnm.Print_Area" localSheetId="9">WACC!$B$1:$S$33</definedName>
    <definedName name="CIQWBGuid" hidden="1">"aad26e78-cfd9-4119-9540-fb70f389075a"</definedName>
    <definedName name="CIQWBInfo" hidden="1">"{ ""CIQVersion"":""9.45.614.5792"" }"</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"10/24/2020 00:37:21"</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ListOffset" hidden="1">1</definedName>
    <definedName name="o" localSheetId="0" hidden="1">{#N/A,#N/A,FALSE,"New Depr Sch-150% DB";#N/A,#N/A,FALSE,"Cash Flows RLP";#N/A,#N/A,FALSE,"IRR";#N/A,#N/A,FALSE,"Proforma IS";#N/A,#N/A,FALSE,"Assumptions"}</definedName>
    <definedName name="o" localSheetId="1" hidden="1">{#N/A,#N/A,FALSE,"New Depr Sch-150% DB";#N/A,#N/A,FALSE,"Cash Flows RLP";#N/A,#N/A,FALSE,"IRR";#N/A,#N/A,FALSE,"Proforma IS";#N/A,#N/A,FALSE,"Assumptions"}</definedName>
    <definedName name="o" localSheetId="3" hidden="1">{#N/A,#N/A,FALSE,"New Depr Sch-150% DB";#N/A,#N/A,FALSE,"Cash Flows RLP";#N/A,#N/A,FALSE,"IRR";#N/A,#N/A,FALSE,"Proforma IS";#N/A,#N/A,FALSE,"Assumptions"}</definedName>
    <definedName name="o" localSheetId="17" hidden="1">{#N/A,#N/A,FALSE,"New Depr Sch-150% DB";#N/A,#N/A,FALSE,"Cash Flows RLP";#N/A,#N/A,FALSE,"IRR";#N/A,#N/A,FALSE,"Proforma IS";#N/A,#N/A,FALSE,"Assumptions"}</definedName>
    <definedName name="o" hidden="1">{#N/A,#N/A,FALSE,"New Depr Sch-150% DB";#N/A,#N/A,FALSE,"Cash Flows RLP";#N/A,#N/A,FALSE,"IRR";#N/A,#N/A,FALSE,"Proforma IS";#N/A,#N/A,FALSE,"Assumptions"}</definedName>
    <definedName name="wrn.Basic._.Report." localSheetId="0" hidden="1">{#N/A,#N/A,FALSE,"New Depr Sch-150% DB";#N/A,#N/A,FALSE,"Cash Flows RLP";#N/A,#N/A,FALSE,"IRR";#N/A,#N/A,FALSE,"Proforma IS";#N/A,#N/A,FALSE,"Assumptions"}</definedName>
    <definedName name="wrn.Basic._.Report." localSheetId="1" hidden="1">{#N/A,#N/A,FALSE,"New Depr Sch-150% DB";#N/A,#N/A,FALSE,"Cash Flows RLP";#N/A,#N/A,FALSE,"IRR";#N/A,#N/A,FALSE,"Proforma IS";#N/A,#N/A,FALSE,"Assumptions"}</definedName>
    <definedName name="wrn.Basic._.Report." localSheetId="3" hidden="1">{#N/A,#N/A,FALSE,"New Depr Sch-150% DB";#N/A,#N/A,FALSE,"Cash Flows RLP";#N/A,#N/A,FALSE,"IRR";#N/A,#N/A,FALSE,"Proforma IS";#N/A,#N/A,FALSE,"Assumptions"}</definedName>
    <definedName name="wrn.Basic._.Report." localSheetId="17" hidden="1">{#N/A,#N/A,FALSE,"New Depr Sch-150% DB";#N/A,#N/A,FALSE,"Cash Flows RLP";#N/A,#N/A,FALSE,"IRR";#N/A,#N/A,FALSE,"Proforma IS";#N/A,#N/A,FALSE,"Assumptions"}</definedName>
    <definedName name="wrn.Basic._.Report." hidden="1">{#N/A,#N/A,FALSE,"New Depr Sch-150% DB";#N/A,#N/A,FALSE,"Cash Flows RLP";#N/A,#N/A,FALSE,"IRR";#N/A,#N/A,FALSE,"Proforma IS";#N/A,#N/A,FALSE,"Assumptions"}</definedName>
    <definedName name="wrn.clientcopy." localSheetId="0"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 localSheetId="1"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 localSheetId="3"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 localSheetId="17"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omplete._.Report." localSheetId="0" hidden="1">{#N/A,#N/A,FALSE,"Assumptions";#N/A,#N/A,FALSE,"Proforma IS";#N/A,#N/A,FALSE,"Cash Flows RLP";#N/A,#N/A,FALSE,"IRR";#N/A,#N/A,FALSE,"New Depr Sch-150% DB";#N/A,#N/A,FALSE,"Comments"}</definedName>
    <definedName name="wrn.Complete._.Report." localSheetId="1" hidden="1">{#N/A,#N/A,FALSE,"Assumptions";#N/A,#N/A,FALSE,"Proforma IS";#N/A,#N/A,FALSE,"Cash Flows RLP";#N/A,#N/A,FALSE,"IRR";#N/A,#N/A,FALSE,"New Depr Sch-150% DB";#N/A,#N/A,FALSE,"Comments"}</definedName>
    <definedName name="wrn.Complete._.Report." localSheetId="3" hidden="1">{#N/A,#N/A,FALSE,"Assumptions";#N/A,#N/A,FALSE,"Proforma IS";#N/A,#N/A,FALSE,"Cash Flows RLP";#N/A,#N/A,FALSE,"IRR";#N/A,#N/A,FALSE,"New Depr Sch-150% DB";#N/A,#N/A,FALSE,"Comments"}</definedName>
    <definedName name="wrn.Complete._.Report." localSheetId="17" hidden="1">{#N/A,#N/A,FALSE,"Assumptions";#N/A,#N/A,FALSE,"Proforma IS";#N/A,#N/A,FALSE,"Cash Flows RLP";#N/A,#N/A,FALSE,"IRR";#N/A,#N/A,FALSE,"New Depr Sch-150% DB";#N/A,#N/A,FALSE,"Comments"}</definedName>
    <definedName name="wrn.Complete._.Report." hidden="1">{#N/A,#N/A,FALSE,"Assumptions";#N/A,#N/A,FALSE,"Proforma IS";#N/A,#N/A,FALSE,"Cash Flows RLP";#N/A,#N/A,FALSE,"IRR";#N/A,#N/A,FALSE,"New Depr Sch-150% DB";#N/A,#N/A,FALSE,"Comments"}</definedName>
    <definedName name="wrn.filecopy." localSheetId="0"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 localSheetId="1"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 localSheetId="3"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 localSheetId="17"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print." localSheetId="0" hidden="1">{#N/A,#N/A,FALSE,"Japan 2003";#N/A,#N/A,FALSE,"Sheet2"}</definedName>
    <definedName name="wrn.print." localSheetId="1" hidden="1">{#N/A,#N/A,FALSE,"Japan 2003";#N/A,#N/A,FALSE,"Sheet2"}</definedName>
    <definedName name="wrn.print." localSheetId="3" hidden="1">{#N/A,#N/A,FALSE,"Japan 2003";#N/A,#N/A,FALSE,"Sheet2"}</definedName>
    <definedName name="wrn.print." localSheetId="17" hidden="1">{#N/A,#N/A,FALSE,"Japan 2003";#N/A,#N/A,FALSE,"Sheet2"}</definedName>
    <definedName name="wrn.print." hidden="1">{#N/A,#N/A,FALSE,"Japan 2003";#N/A,#N/A,FALSE,"Sheet2"}</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409" l="1"/>
  <c r="D6" i="24"/>
  <c r="D7" i="24"/>
  <c r="D8" i="24"/>
  <c r="E33" i="425"/>
  <c r="E34" i="425"/>
  <c r="E35" i="425"/>
  <c r="E36" i="425"/>
  <c r="E37" i="425"/>
  <c r="F11" i="724"/>
  <c r="F12" i="724"/>
  <c r="D14" i="698"/>
  <c r="E14" i="698"/>
  <c r="F14" i="698"/>
  <c r="G14" i="698"/>
  <c r="H14" i="698"/>
  <c r="I14" i="698"/>
  <c r="J14" i="698"/>
  <c r="K14" i="698"/>
  <c r="L14" i="698"/>
  <c r="M14" i="698"/>
  <c r="N14" i="698"/>
  <c r="O14" i="698" s="1"/>
  <c r="D15" i="698"/>
  <c r="E15" i="698"/>
  <c r="F15" i="698"/>
  <c r="G15" i="698"/>
  <c r="H15" i="698"/>
  <c r="I15" i="698"/>
  <c r="J15" i="698"/>
  <c r="K15" i="698"/>
  <c r="L15" i="698"/>
  <c r="M15" i="698"/>
  <c r="N15" i="698"/>
  <c r="O15" i="698"/>
  <c r="P15" i="698" s="1"/>
  <c r="D16" i="698"/>
  <c r="E16" i="698"/>
  <c r="F16" i="698"/>
  <c r="G16" i="698"/>
  <c r="H16" i="698"/>
  <c r="I16" i="698"/>
  <c r="J16" i="698"/>
  <c r="K16" i="698"/>
  <c r="L16" i="698"/>
  <c r="M16" i="698"/>
  <c r="N16" i="698"/>
  <c r="O16" i="698" s="1"/>
  <c r="O10" i="698" s="1"/>
  <c r="P16" i="698"/>
  <c r="Q16" i="698"/>
  <c r="R16" i="698" s="1"/>
  <c r="D17" i="698"/>
  <c r="E17" i="698"/>
  <c r="F17" i="698"/>
  <c r="G17" i="698"/>
  <c r="H17" i="698"/>
  <c r="I17" i="698"/>
  <c r="J17" i="698"/>
  <c r="K17" i="698"/>
  <c r="L17" i="698"/>
  <c r="M17" i="698"/>
  <c r="N17" i="698"/>
  <c r="O17" i="698"/>
  <c r="P17" i="698" s="1"/>
  <c r="Q17" i="698" s="1"/>
  <c r="R17" i="698" s="1"/>
  <c r="C20" i="698"/>
  <c r="J10" i="641"/>
  <c r="K10" i="641"/>
  <c r="L10" i="641"/>
  <c r="M10" i="641"/>
  <c r="M21" i="641" s="1"/>
  <c r="J11" i="641"/>
  <c r="K11" i="641"/>
  <c r="L11" i="641"/>
  <c r="M11" i="641"/>
  <c r="J12" i="641"/>
  <c r="K12" i="641"/>
  <c r="L12" i="641"/>
  <c r="M12" i="641"/>
  <c r="J13" i="641"/>
  <c r="K13" i="641"/>
  <c r="L13" i="641"/>
  <c r="M13" i="641"/>
  <c r="J14" i="641"/>
  <c r="K14" i="641"/>
  <c r="L14" i="641"/>
  <c r="M14" i="641"/>
  <c r="J15" i="641"/>
  <c r="K15" i="641"/>
  <c r="L15" i="641"/>
  <c r="M15" i="641"/>
  <c r="J16" i="641"/>
  <c r="K16" i="641"/>
  <c r="L16" i="641"/>
  <c r="M16" i="641"/>
  <c r="J17" i="641"/>
  <c r="K17" i="641"/>
  <c r="L17" i="641"/>
  <c r="M17" i="641"/>
  <c r="J18" i="641"/>
  <c r="K18" i="641"/>
  <c r="L18" i="641"/>
  <c r="M18" i="641"/>
  <c r="J19" i="641"/>
  <c r="K19" i="641"/>
  <c r="L19" i="641"/>
  <c r="M19" i="641"/>
  <c r="J20" i="641"/>
  <c r="M20" i="641"/>
  <c r="J21" i="641"/>
  <c r="K21" i="641"/>
  <c r="L21" i="641"/>
  <c r="J22" i="641"/>
  <c r="M22" i="641"/>
  <c r="J23" i="641"/>
  <c r="K23" i="641"/>
  <c r="H9" i="646" s="1"/>
  <c r="L23" i="641"/>
  <c r="J11" i="646"/>
  <c r="K11" i="646" s="1"/>
  <c r="L11" i="646" s="1"/>
  <c r="J14" i="646"/>
  <c r="K14" i="646" s="1"/>
  <c r="L14" i="646" s="1"/>
  <c r="F10" i="410"/>
  <c r="Y10" i="410" s="1"/>
  <c r="AA10" i="410"/>
  <c r="F13" i="410"/>
  <c r="J13" i="410"/>
  <c r="F14" i="410"/>
  <c r="J14" i="410" s="1"/>
  <c r="Y14" i="410"/>
  <c r="Z14" i="410"/>
  <c r="AA14" i="410"/>
  <c r="F15" i="410"/>
  <c r="J15" i="410" s="1"/>
  <c r="W15" i="410"/>
  <c r="AA15" i="410"/>
  <c r="F16" i="410"/>
  <c r="Y16" i="410" s="1"/>
  <c r="AA16" i="410"/>
  <c r="AD17" i="410"/>
  <c r="AE17" i="410"/>
  <c r="AD18" i="410"/>
  <c r="AE18" i="410"/>
  <c r="AC19" i="410"/>
  <c r="AD19" i="410"/>
  <c r="AE19" i="410"/>
  <c r="AC20" i="410"/>
  <c r="AD20" i="410"/>
  <c r="AE20" i="410"/>
  <c r="F23" i="410"/>
  <c r="J23" i="410" s="1"/>
  <c r="Y23" i="410"/>
  <c r="Z23" i="410"/>
  <c r="AA23" i="410"/>
  <c r="AA29" i="410" s="1"/>
  <c r="F24" i="410"/>
  <c r="J24" i="410" s="1"/>
  <c r="AA24" i="410"/>
  <c r="AA28" i="410" s="1"/>
  <c r="F25" i="410"/>
  <c r="Y25" i="410" s="1"/>
  <c r="AA25" i="410"/>
  <c r="AA26" i="410"/>
  <c r="AD26" i="410"/>
  <c r="AE26" i="410"/>
  <c r="AA27" i="410"/>
  <c r="AD27" i="410"/>
  <c r="AE27" i="410"/>
  <c r="AC28" i="410"/>
  <c r="AD28" i="410"/>
  <c r="AE28" i="410"/>
  <c r="AC29" i="410"/>
  <c r="AD29" i="410"/>
  <c r="AE29" i="410"/>
  <c r="F32" i="410"/>
  <c r="J32" i="410" s="1"/>
  <c r="W32" i="410" s="1"/>
  <c r="Y32" i="410"/>
  <c r="Z32" i="410"/>
  <c r="AA32" i="410"/>
  <c r="F33" i="410"/>
  <c r="J33" i="410" s="1"/>
  <c r="AA33" i="410"/>
  <c r="F34" i="410"/>
  <c r="AA34" i="410"/>
  <c r="AA35" i="410" s="1"/>
  <c r="AD35" i="410"/>
  <c r="AE35" i="410"/>
  <c r="AA36" i="410"/>
  <c r="AD36" i="410"/>
  <c r="AE36" i="410"/>
  <c r="AC37" i="410"/>
  <c r="AD37" i="410"/>
  <c r="AE37" i="410"/>
  <c r="AC38" i="410"/>
  <c r="AD38" i="410"/>
  <c r="AE38" i="410"/>
  <c r="F41" i="410"/>
  <c r="J41" i="410" s="1"/>
  <c r="W41" i="410"/>
  <c r="Y41" i="410"/>
  <c r="Z41" i="410"/>
  <c r="AA41" i="410"/>
  <c r="F42" i="410"/>
  <c r="J42" i="410" s="1"/>
  <c r="V42" i="410" s="1"/>
  <c r="U42" i="410"/>
  <c r="W42" i="410"/>
  <c r="X42" i="410"/>
  <c r="AA42" i="410"/>
  <c r="AA46" i="410" s="1"/>
  <c r="F43" i="410"/>
  <c r="AA43" i="410"/>
  <c r="F44" i="410"/>
  <c r="AB44" i="410" s="1"/>
  <c r="J44" i="410"/>
  <c r="Y44" i="410"/>
  <c r="AA44" i="410"/>
  <c r="AA45" i="410" s="1"/>
  <c r="AD45" i="410"/>
  <c r="AE45" i="410"/>
  <c r="AD46" i="410"/>
  <c r="AE46" i="410"/>
  <c r="AC47" i="410"/>
  <c r="AD47" i="410"/>
  <c r="AE47" i="410"/>
  <c r="AC48" i="410"/>
  <c r="AD48" i="410"/>
  <c r="AE48" i="410"/>
  <c r="F51" i="410"/>
  <c r="J51" i="410" s="1"/>
  <c r="AA51" i="410"/>
  <c r="F52" i="410"/>
  <c r="AA52" i="410"/>
  <c r="F53" i="410"/>
  <c r="J53" i="410"/>
  <c r="Y53" i="410"/>
  <c r="AA53" i="410"/>
  <c r="AB53" i="410"/>
  <c r="F54" i="410"/>
  <c r="J54" i="410" s="1"/>
  <c r="W54" i="410"/>
  <c r="Y54" i="410"/>
  <c r="Z54" i="410"/>
  <c r="AA54" i="410"/>
  <c r="AD55" i="410"/>
  <c r="AE55" i="410"/>
  <c r="AD56" i="410"/>
  <c r="AE56" i="410"/>
  <c r="AA57" i="410"/>
  <c r="AC57" i="410"/>
  <c r="AD57" i="410"/>
  <c r="AE57" i="410"/>
  <c r="AC58" i="410"/>
  <c r="AD58" i="410"/>
  <c r="AE58" i="410"/>
  <c r="J33" i="110"/>
  <c r="K33" i="110" s="1"/>
  <c r="K50" i="110" s="1"/>
  <c r="J36" i="110"/>
  <c r="K36" i="110" s="1"/>
  <c r="K54" i="110" s="1"/>
  <c r="L36" i="110"/>
  <c r="L54" i="110" s="1"/>
  <c r="D41" i="110"/>
  <c r="F41" i="110"/>
  <c r="J41" i="110"/>
  <c r="D42" i="110"/>
  <c r="F42" i="110"/>
  <c r="G42" i="110"/>
  <c r="H42" i="110"/>
  <c r="J42" i="110"/>
  <c r="K42" i="110"/>
  <c r="L42" i="110"/>
  <c r="B43" i="110"/>
  <c r="P67" i="110" s="1"/>
  <c r="B44" i="110"/>
  <c r="P68" i="110" s="1"/>
  <c r="B45" i="110"/>
  <c r="B46" i="110"/>
  <c r="P69" i="110" s="1"/>
  <c r="B47" i="110"/>
  <c r="P71" i="110" s="1"/>
  <c r="B50" i="110"/>
  <c r="B52" i="110"/>
  <c r="B54" i="110"/>
  <c r="J54" i="110"/>
  <c r="B56" i="110"/>
  <c r="P70" i="110"/>
  <c r="C10" i="209"/>
  <c r="E10" i="209"/>
  <c r="F10" i="209"/>
  <c r="H10" i="209" s="1"/>
  <c r="G10" i="209"/>
  <c r="Q10" i="209"/>
  <c r="R10" i="209"/>
  <c r="C11" i="209"/>
  <c r="E11" i="209"/>
  <c r="F11" i="209"/>
  <c r="H11" i="209" s="1"/>
  <c r="G11" i="209"/>
  <c r="K11" i="209" s="1"/>
  <c r="Q11" i="209"/>
  <c r="Q12" i="209" s="1"/>
  <c r="R11" i="209"/>
  <c r="C12" i="209"/>
  <c r="E12" i="209"/>
  <c r="F12" i="209"/>
  <c r="H12" i="209" s="1"/>
  <c r="R12" i="209"/>
  <c r="C13" i="209"/>
  <c r="E13" i="209"/>
  <c r="F13" i="209"/>
  <c r="H13" i="209" s="1"/>
  <c r="C14" i="209"/>
  <c r="E14" i="209"/>
  <c r="G14" i="209" s="1"/>
  <c r="F14" i="209"/>
  <c r="H14" i="209"/>
  <c r="K14" i="209"/>
  <c r="R14" i="209"/>
  <c r="C15" i="209"/>
  <c r="E15" i="209"/>
  <c r="H15" i="209" s="1"/>
  <c r="F15" i="209"/>
  <c r="G15" i="209"/>
  <c r="K15" i="209" s="1"/>
  <c r="R15" i="209"/>
  <c r="C16" i="209"/>
  <c r="E16" i="209"/>
  <c r="F16" i="209"/>
  <c r="G16" i="209" s="1"/>
  <c r="K16" i="209" s="1"/>
  <c r="R16" i="209"/>
  <c r="C17" i="209"/>
  <c r="E17" i="209"/>
  <c r="H17" i="209" s="1"/>
  <c r="F17" i="209"/>
  <c r="G17" i="209"/>
  <c r="K17" i="209"/>
  <c r="C18" i="209"/>
  <c r="E18" i="209"/>
  <c r="F18" i="209"/>
  <c r="C19" i="209"/>
  <c r="E19" i="209"/>
  <c r="C20" i="209"/>
  <c r="E20" i="209"/>
  <c r="G20" i="209" s="1"/>
  <c r="K20" i="209" s="1"/>
  <c r="F20" i="209"/>
  <c r="Q20" i="209"/>
  <c r="R20" i="209"/>
  <c r="C21" i="209"/>
  <c r="E21" i="209"/>
  <c r="C22" i="209"/>
  <c r="E22" i="209"/>
  <c r="C23" i="209"/>
  <c r="E23" i="209"/>
  <c r="C24" i="209"/>
  <c r="E24" i="209"/>
  <c r="Q24" i="209"/>
  <c r="R24" i="209"/>
  <c r="C25" i="209"/>
  <c r="E25" i="209"/>
  <c r="Q25" i="209"/>
  <c r="R25" i="209"/>
  <c r="C26" i="209"/>
  <c r="E26" i="209"/>
  <c r="Q26" i="209"/>
  <c r="R26" i="209"/>
  <c r="C27" i="209"/>
  <c r="E27" i="209"/>
  <c r="H27" i="209" s="1"/>
  <c r="F27" i="209"/>
  <c r="G27" i="209"/>
  <c r="K27" i="209" s="1"/>
  <c r="Q27" i="209"/>
  <c r="R27" i="209"/>
  <c r="I28" i="209"/>
  <c r="J28" i="209"/>
  <c r="Q28" i="209"/>
  <c r="R28" i="209"/>
  <c r="I29" i="209"/>
  <c r="J29" i="209"/>
  <c r="D10" i="45"/>
  <c r="E10" i="45"/>
  <c r="F10" i="45"/>
  <c r="F12" i="45" s="1"/>
  <c r="G10" i="45"/>
  <c r="D11" i="45"/>
  <c r="E11" i="45"/>
  <c r="G11" i="45"/>
  <c r="M30" i="45"/>
  <c r="L30" i="45" s="1"/>
  <c r="K30" i="45" s="1"/>
  <c r="N30" i="45"/>
  <c r="O30" i="45" s="1"/>
  <c r="F31" i="45"/>
  <c r="F33" i="45"/>
  <c r="J39" i="45"/>
  <c r="J40" i="45"/>
  <c r="J41" i="45"/>
  <c r="J42" i="45"/>
  <c r="J43" i="45" s="1"/>
  <c r="B57" i="45"/>
  <c r="B58" i="45"/>
  <c r="B59" i="45"/>
  <c r="G8" i="8"/>
  <c r="G9" i="8"/>
  <c r="T34" i="8"/>
  <c r="H35" i="8"/>
  <c r="I8" i="1"/>
  <c r="K8" i="1"/>
  <c r="L8" i="1"/>
  <c r="E13" i="2" s="1"/>
  <c r="M8" i="1"/>
  <c r="F13" i="2" s="1"/>
  <c r="N8" i="1"/>
  <c r="O8" i="1"/>
  <c r="H24" i="8" s="1"/>
  <c r="I9" i="1"/>
  <c r="K9" i="1"/>
  <c r="L9" i="1"/>
  <c r="M9" i="1"/>
  <c r="N9" i="1"/>
  <c r="O9" i="1"/>
  <c r="I10" i="1"/>
  <c r="K10" i="1"/>
  <c r="L10" i="1"/>
  <c r="M10" i="1"/>
  <c r="N10" i="1"/>
  <c r="I11" i="1"/>
  <c r="K11" i="1"/>
  <c r="L11" i="1"/>
  <c r="E16" i="2" s="1"/>
  <c r="M11" i="1"/>
  <c r="N11" i="1"/>
  <c r="I12" i="1"/>
  <c r="K12" i="1"/>
  <c r="L12" i="1"/>
  <c r="M12" i="1"/>
  <c r="N12" i="1"/>
  <c r="G17" i="2" s="1"/>
  <c r="I13" i="1"/>
  <c r="K13" i="1"/>
  <c r="L13" i="1"/>
  <c r="M13" i="1"/>
  <c r="N13" i="1"/>
  <c r="G18" i="2" s="1"/>
  <c r="I16" i="1"/>
  <c r="L16" i="1"/>
  <c r="I17" i="1"/>
  <c r="J17" i="1"/>
  <c r="L17" i="1"/>
  <c r="C18" i="1"/>
  <c r="D18" i="1"/>
  <c r="K16" i="1" s="1"/>
  <c r="E18" i="1"/>
  <c r="F18" i="1"/>
  <c r="G18" i="1"/>
  <c r="I18" i="1"/>
  <c r="L18" i="1"/>
  <c r="N18" i="1"/>
  <c r="I19" i="1"/>
  <c r="J19" i="1"/>
  <c r="I20" i="1"/>
  <c r="J20" i="1"/>
  <c r="K20" i="1"/>
  <c r="I21" i="1"/>
  <c r="L21" i="1"/>
  <c r="J23" i="1"/>
  <c r="O23" i="1" s="1"/>
  <c r="K23" i="1"/>
  <c r="L23" i="1"/>
  <c r="M23" i="1"/>
  <c r="N23" i="1"/>
  <c r="J26" i="1"/>
  <c r="K26" i="1"/>
  <c r="L26" i="1"/>
  <c r="M26" i="1"/>
  <c r="O26" i="1" s="1"/>
  <c r="N26" i="1"/>
  <c r="J27" i="1"/>
  <c r="L27" i="1"/>
  <c r="J29" i="1"/>
  <c r="K29" i="1"/>
  <c r="L29" i="1"/>
  <c r="M29" i="1"/>
  <c r="N29" i="1"/>
  <c r="J30" i="1"/>
  <c r="L30" i="1"/>
  <c r="N30" i="1"/>
  <c r="J31" i="1"/>
  <c r="L31" i="1"/>
  <c r="J33" i="1"/>
  <c r="L33" i="1"/>
  <c r="N33" i="1"/>
  <c r="K34" i="1"/>
  <c r="L34" i="1"/>
  <c r="O34" i="1" s="1"/>
  <c r="M34" i="1"/>
  <c r="N34" i="1"/>
  <c r="K36" i="1"/>
  <c r="L36" i="1"/>
  <c r="N36" i="1"/>
  <c r="N37" i="1"/>
  <c r="C82" i="1"/>
  <c r="G110" i="1"/>
  <c r="G111" i="1"/>
  <c r="D141" i="1"/>
  <c r="E141" i="1"/>
  <c r="F141" i="1"/>
  <c r="G141" i="1"/>
  <c r="D145" i="1"/>
  <c r="E145" i="1"/>
  <c r="F145" i="1"/>
  <c r="G145" i="1"/>
  <c r="C146" i="1"/>
  <c r="D146" i="1"/>
  <c r="E146" i="1"/>
  <c r="H8" i="2"/>
  <c r="E9" i="2"/>
  <c r="E8" i="2" s="1"/>
  <c r="F9" i="2"/>
  <c r="F9" i="8" s="1"/>
  <c r="G9" i="2"/>
  <c r="G8" i="2" s="1"/>
  <c r="H9" i="2"/>
  <c r="D13" i="2"/>
  <c r="G13" i="2"/>
  <c r="D14" i="2"/>
  <c r="E14" i="2"/>
  <c r="F14" i="2"/>
  <c r="G14" i="2"/>
  <c r="E15" i="2"/>
  <c r="F15" i="2"/>
  <c r="G15" i="2"/>
  <c r="D16" i="2"/>
  <c r="F16" i="2"/>
  <c r="D17" i="2"/>
  <c r="E17" i="2"/>
  <c r="F17" i="2"/>
  <c r="E18" i="2"/>
  <c r="F18" i="2"/>
  <c r="C26" i="2"/>
  <c r="D26" i="2"/>
  <c r="E26" i="2"/>
  <c r="F26" i="2"/>
  <c r="G26" i="2"/>
  <c r="C27" i="2"/>
  <c r="D27" i="2"/>
  <c r="E27" i="2"/>
  <c r="F27" i="2"/>
  <c r="G27" i="2"/>
  <c r="C28" i="2"/>
  <c r="D28" i="2"/>
  <c r="E28" i="2"/>
  <c r="F28" i="2"/>
  <c r="G28" i="2"/>
  <c r="C29" i="2"/>
  <c r="D29" i="2"/>
  <c r="E29" i="2"/>
  <c r="F29" i="2"/>
  <c r="G29" i="2"/>
  <c r="C30" i="2"/>
  <c r="D30" i="2"/>
  <c r="E30" i="2"/>
  <c r="F30" i="2"/>
  <c r="G30" i="2"/>
  <c r="C31" i="2"/>
  <c r="D31" i="2"/>
  <c r="E31" i="2"/>
  <c r="E32" i="2" s="1"/>
  <c r="F31" i="2"/>
  <c r="G31" i="2"/>
  <c r="C32" i="2"/>
  <c r="F32" i="2"/>
  <c r="G32" i="2"/>
  <c r="G19" i="2" s="1"/>
  <c r="C35" i="2"/>
  <c r="D35" i="2"/>
  <c r="E35" i="2"/>
  <c r="F35" i="2"/>
  <c r="G35" i="2"/>
  <c r="C36" i="2"/>
  <c r="D36" i="2"/>
  <c r="D42" i="2" s="1"/>
  <c r="C37" i="2"/>
  <c r="D37" i="2"/>
  <c r="E37" i="2"/>
  <c r="E36" i="2" s="1"/>
  <c r="F37" i="2"/>
  <c r="F36" i="2" s="1"/>
  <c r="F42" i="2" s="1"/>
  <c r="F43" i="2" s="1"/>
  <c r="G37" i="2"/>
  <c r="G36" i="2" s="1"/>
  <c r="C38" i="2"/>
  <c r="D38" i="2"/>
  <c r="E38" i="2"/>
  <c r="F38" i="2"/>
  <c r="G38" i="2"/>
  <c r="C39" i="2"/>
  <c r="D39" i="2"/>
  <c r="E39" i="2"/>
  <c r="F39" i="2"/>
  <c r="G39" i="2"/>
  <c r="C40" i="2"/>
  <c r="D40" i="2"/>
  <c r="E40" i="2"/>
  <c r="F40" i="2"/>
  <c r="G40" i="2"/>
  <c r="C41" i="2"/>
  <c r="D41" i="2"/>
  <c r="E41" i="2"/>
  <c r="F41" i="2"/>
  <c r="G41" i="2"/>
  <c r="C42" i="2"/>
  <c r="C43" i="2" s="1"/>
  <c r="C44" i="2"/>
  <c r="D44" i="2"/>
  <c r="E44" i="2"/>
  <c r="E47" i="2" s="1"/>
  <c r="F44" i="2"/>
  <c r="G44" i="2"/>
  <c r="C45" i="2"/>
  <c r="D45" i="2"/>
  <c r="E45" i="2"/>
  <c r="F45" i="2"/>
  <c r="F47" i="2" s="1"/>
  <c r="G45" i="2"/>
  <c r="C46" i="2"/>
  <c r="D46" i="2"/>
  <c r="E46" i="2"/>
  <c r="F46" i="2"/>
  <c r="G46" i="2"/>
  <c r="D47" i="2"/>
  <c r="G47" i="2"/>
  <c r="C49" i="2"/>
  <c r="D49" i="2"/>
  <c r="E49" i="2"/>
  <c r="F49" i="2"/>
  <c r="G49" i="2"/>
  <c r="C50" i="2"/>
  <c r="D50" i="2"/>
  <c r="E50" i="2"/>
  <c r="F50" i="2"/>
  <c r="G50" i="2"/>
  <c r="C55" i="2"/>
  <c r="D55" i="2"/>
  <c r="E55" i="2"/>
  <c r="F55" i="2"/>
  <c r="G55" i="2"/>
  <c r="C56" i="2"/>
  <c r="D56" i="2"/>
  <c r="E56" i="2"/>
  <c r="F56" i="2"/>
  <c r="G56" i="2"/>
  <c r="D64" i="2"/>
  <c r="C65" i="2"/>
  <c r="D65" i="2"/>
  <c r="E65" i="2"/>
  <c r="F65" i="2"/>
  <c r="G65" i="2"/>
  <c r="H65" i="2"/>
  <c r="H46" i="2" s="1"/>
  <c r="I65" i="2"/>
  <c r="I46" i="2" s="1"/>
  <c r="I107" i="2" s="1"/>
  <c r="J65" i="2"/>
  <c r="C66" i="2"/>
  <c r="D66" i="2"/>
  <c r="E66" i="2"/>
  <c r="F66" i="2"/>
  <c r="G66" i="2"/>
  <c r="D67" i="2"/>
  <c r="C69" i="2"/>
  <c r="D69" i="2"/>
  <c r="E69" i="2"/>
  <c r="F69" i="2"/>
  <c r="G69" i="2"/>
  <c r="C70" i="2"/>
  <c r="D70" i="2"/>
  <c r="E70" i="2"/>
  <c r="F70" i="2"/>
  <c r="G70" i="2"/>
  <c r="C71" i="2"/>
  <c r="D71" i="2"/>
  <c r="E71" i="2"/>
  <c r="F71" i="2"/>
  <c r="G71" i="2"/>
  <c r="H71" i="2"/>
  <c r="I71" i="2"/>
  <c r="J71" i="2"/>
  <c r="K71" i="2" s="1"/>
  <c r="L71" i="2"/>
  <c r="M71" i="2" s="1"/>
  <c r="N71" i="2" s="1"/>
  <c r="O71" i="2" s="1"/>
  <c r="P71" i="2" s="1"/>
  <c r="Q71" i="2" s="1"/>
  <c r="R71" i="2" s="1"/>
  <c r="C77" i="2"/>
  <c r="D77" i="2"/>
  <c r="E77" i="2"/>
  <c r="F77" i="2"/>
  <c r="G77" i="2"/>
  <c r="C78" i="2"/>
  <c r="D78" i="2"/>
  <c r="E78" i="2"/>
  <c r="F78" i="2"/>
  <c r="G78" i="2"/>
  <c r="C79" i="2"/>
  <c r="D79" i="2"/>
  <c r="E79" i="2"/>
  <c r="F79" i="2"/>
  <c r="G79" i="2"/>
  <c r="C80" i="2"/>
  <c r="D80" i="2"/>
  <c r="E80" i="2"/>
  <c r="F80" i="2"/>
  <c r="G80" i="2"/>
  <c r="C81" i="2"/>
  <c r="D81" i="2"/>
  <c r="E81" i="2"/>
  <c r="F81" i="2"/>
  <c r="G81" i="2"/>
  <c r="C82" i="2"/>
  <c r="D82" i="2"/>
  <c r="E82" i="2"/>
  <c r="F82" i="2"/>
  <c r="G82" i="2"/>
  <c r="C83" i="2"/>
  <c r="D83" i="2"/>
  <c r="E83" i="2"/>
  <c r="F83" i="2"/>
  <c r="G83" i="2"/>
  <c r="H83" i="2"/>
  <c r="I83" i="2" s="1"/>
  <c r="J83" i="2" s="1"/>
  <c r="K83" i="2" s="1"/>
  <c r="L83" i="2" s="1"/>
  <c r="M83" i="2" s="1"/>
  <c r="N83" i="2" s="1"/>
  <c r="O83" i="2" s="1"/>
  <c r="P83" i="2" s="1"/>
  <c r="Q83" i="2" s="1"/>
  <c r="R83" i="2" s="1"/>
  <c r="C84" i="2"/>
  <c r="D84" i="2"/>
  <c r="E84" i="2"/>
  <c r="F84" i="2"/>
  <c r="G84" i="2"/>
  <c r="C86" i="2"/>
  <c r="D86" i="2"/>
  <c r="E86" i="2"/>
  <c r="F86" i="2"/>
  <c r="G86" i="2"/>
  <c r="C87" i="2"/>
  <c r="D87" i="2"/>
  <c r="E87" i="2"/>
  <c r="F87" i="2"/>
  <c r="F91" i="2" s="1"/>
  <c r="F92" i="2" s="1"/>
  <c r="G87" i="2"/>
  <c r="H87" i="2"/>
  <c r="I87" i="2" s="1"/>
  <c r="J87" i="2" s="1"/>
  <c r="K87" i="2" s="1"/>
  <c r="L87" i="2" s="1"/>
  <c r="M87" i="2" s="1"/>
  <c r="N87" i="2" s="1"/>
  <c r="O87" i="2" s="1"/>
  <c r="P87" i="2" s="1"/>
  <c r="Q87" i="2" s="1"/>
  <c r="R87" i="2" s="1"/>
  <c r="C88" i="2"/>
  <c r="D88" i="2"/>
  <c r="E88" i="2"/>
  <c r="F88" i="2"/>
  <c r="G88" i="2"/>
  <c r="C89" i="2"/>
  <c r="D89" i="2"/>
  <c r="E89" i="2"/>
  <c r="E91" i="2" s="1"/>
  <c r="E92" i="2" s="1"/>
  <c r="F89" i="2"/>
  <c r="G89" i="2"/>
  <c r="H89" i="2" s="1"/>
  <c r="I89" i="2" s="1"/>
  <c r="J89" i="2" s="1"/>
  <c r="K89" i="2"/>
  <c r="L89" i="2" s="1"/>
  <c r="M89" i="2" s="1"/>
  <c r="N89" i="2" s="1"/>
  <c r="O89" i="2" s="1"/>
  <c r="P89" i="2" s="1"/>
  <c r="Q89" i="2" s="1"/>
  <c r="R89" i="2" s="1"/>
  <c r="C90" i="2"/>
  <c r="D90" i="2"/>
  <c r="E90" i="2"/>
  <c r="F90" i="2"/>
  <c r="G90" i="2"/>
  <c r="C91" i="2"/>
  <c r="G91" i="2"/>
  <c r="G92" i="2" s="1"/>
  <c r="C92" i="2"/>
  <c r="C100" i="2"/>
  <c r="D100" i="2"/>
  <c r="E100" i="2"/>
  <c r="F100" i="2"/>
  <c r="G100" i="2"/>
  <c r="C105" i="2"/>
  <c r="D105" i="2"/>
  <c r="E105" i="2"/>
  <c r="F105" i="2"/>
  <c r="G105" i="2"/>
  <c r="C106" i="2"/>
  <c r="D106" i="2"/>
  <c r="E106" i="2"/>
  <c r="F106" i="2"/>
  <c r="G106" i="2"/>
  <c r="C107" i="2"/>
  <c r="D107" i="2"/>
  <c r="E107" i="2"/>
  <c r="F107" i="2"/>
  <c r="G107" i="2"/>
  <c r="H107" i="2"/>
  <c r="C110" i="2"/>
  <c r="D110" i="2"/>
  <c r="E110" i="2"/>
  <c r="F110" i="2"/>
  <c r="G110" i="2"/>
  <c r="C111" i="2"/>
  <c r="D111" i="2"/>
  <c r="E111" i="2"/>
  <c r="F111" i="2"/>
  <c r="G111" i="2"/>
  <c r="C112" i="2"/>
  <c r="D112" i="2"/>
  <c r="E112" i="2"/>
  <c r="F112" i="2"/>
  <c r="G112" i="2"/>
  <c r="C113" i="2"/>
  <c r="D113" i="2"/>
  <c r="E113" i="2"/>
  <c r="F113" i="2"/>
  <c r="G113" i="2"/>
  <c r="C114" i="2"/>
  <c r="D114" i="2"/>
  <c r="E114" i="2"/>
  <c r="F114" i="2"/>
  <c r="G114" i="2"/>
  <c r="C118" i="2"/>
  <c r="C122" i="2" s="1"/>
  <c r="D118" i="2"/>
  <c r="E118" i="2"/>
  <c r="E122" i="2" s="1"/>
  <c r="F118" i="2"/>
  <c r="G118" i="2"/>
  <c r="C119" i="2"/>
  <c r="D119" i="2"/>
  <c r="E119" i="2"/>
  <c r="F119" i="2"/>
  <c r="G119" i="2"/>
  <c r="C120" i="2"/>
  <c r="D120" i="2"/>
  <c r="E120" i="2"/>
  <c r="F120" i="2"/>
  <c r="G120" i="2"/>
  <c r="C121" i="2"/>
  <c r="D121" i="2"/>
  <c r="E121" i="2"/>
  <c r="F121" i="2"/>
  <c r="G121" i="2"/>
  <c r="D122" i="2"/>
  <c r="F122" i="2"/>
  <c r="G122" i="2"/>
  <c r="C125" i="2"/>
  <c r="D125" i="2"/>
  <c r="D130" i="2" s="1"/>
  <c r="E125" i="2"/>
  <c r="F125" i="2"/>
  <c r="G125" i="2"/>
  <c r="G130" i="2" s="1"/>
  <c r="C126" i="2"/>
  <c r="C130" i="2" s="1"/>
  <c r="D126" i="2"/>
  <c r="E126" i="2"/>
  <c r="F126" i="2"/>
  <c r="G126" i="2"/>
  <c r="C127" i="2"/>
  <c r="D127" i="2"/>
  <c r="E127" i="2"/>
  <c r="F127" i="2"/>
  <c r="F130" i="2" s="1"/>
  <c r="G127" i="2"/>
  <c r="E130" i="2"/>
  <c r="C132" i="2"/>
  <c r="D132" i="2"/>
  <c r="E132" i="2"/>
  <c r="F132" i="2"/>
  <c r="G132" i="2"/>
  <c r="C142" i="2"/>
  <c r="D142" i="2"/>
  <c r="D63" i="2" s="1"/>
  <c r="E142" i="2"/>
  <c r="E63" i="2" s="1"/>
  <c r="F142" i="2"/>
  <c r="F63" i="2" s="1"/>
  <c r="G142" i="2"/>
  <c r="G63" i="2" s="1"/>
  <c r="C143" i="2"/>
  <c r="D143" i="2"/>
  <c r="E143" i="2"/>
  <c r="F143" i="2"/>
  <c r="G143" i="2"/>
  <c r="C144" i="2"/>
  <c r="C72" i="2" s="1"/>
  <c r="D144" i="2"/>
  <c r="D72" i="2" s="1"/>
  <c r="E144" i="2"/>
  <c r="E72" i="2" s="1"/>
  <c r="F144" i="2"/>
  <c r="F72" i="2" s="1"/>
  <c r="G144" i="2"/>
  <c r="D145" i="2"/>
  <c r="C149" i="2"/>
  <c r="C150" i="2"/>
  <c r="D150" i="2"/>
  <c r="E150" i="2"/>
  <c r="F150" i="2"/>
  <c r="G150" i="2"/>
  <c r="C167" i="2"/>
  <c r="D167" i="2"/>
  <c r="E167" i="2"/>
  <c r="F167" i="2"/>
  <c r="G167" i="2"/>
  <c r="C177" i="2"/>
  <c r="D177" i="2"/>
  <c r="E177" i="2"/>
  <c r="F177" i="2"/>
  <c r="G177" i="2"/>
  <c r="C194" i="2"/>
  <c r="D194" i="2"/>
  <c r="E194" i="2"/>
  <c r="F194" i="2"/>
  <c r="G194" i="2"/>
  <c r="C196" i="2"/>
  <c r="C169" i="2" s="1"/>
  <c r="D196" i="2"/>
  <c r="D169" i="2" s="1"/>
  <c r="E196" i="2"/>
  <c r="E169" i="2" s="1"/>
  <c r="F196" i="2"/>
  <c r="F169" i="2" s="1"/>
  <c r="G196" i="2"/>
  <c r="G169" i="2" s="1"/>
  <c r="C198" i="2"/>
  <c r="C171" i="2" s="1"/>
  <c r="D198" i="2"/>
  <c r="D171" i="2" s="1"/>
  <c r="E198" i="2"/>
  <c r="E171" i="2" s="1"/>
  <c r="F198" i="2"/>
  <c r="F171" i="2" s="1"/>
  <c r="G198" i="2"/>
  <c r="G171" i="2" s="1"/>
  <c r="C205" i="2"/>
  <c r="D205" i="2"/>
  <c r="E205" i="2"/>
  <c r="F205" i="2"/>
  <c r="G205" i="2"/>
  <c r="C226" i="2"/>
  <c r="D226" i="2"/>
  <c r="E226" i="2"/>
  <c r="F226" i="2"/>
  <c r="G226" i="2"/>
  <c r="C229" i="2"/>
  <c r="D229" i="2"/>
  <c r="E229" i="2"/>
  <c r="F229" i="2"/>
  <c r="G229" i="2"/>
  <c r="C231" i="2"/>
  <c r="D231" i="2"/>
  <c r="E231" i="2"/>
  <c r="F231" i="2"/>
  <c r="F233" i="2" s="1"/>
  <c r="G231" i="2"/>
  <c r="C232" i="2"/>
  <c r="D232" i="2"/>
  <c r="E232" i="2"/>
  <c r="F232" i="2"/>
  <c r="G232" i="2"/>
  <c r="C233" i="2"/>
  <c r="D233" i="2"/>
  <c r="E233" i="2"/>
  <c r="G233" i="2"/>
  <c r="H205" i="2" s="1"/>
  <c r="G243" i="2"/>
  <c r="G244" i="2"/>
  <c r="C250" i="2"/>
  <c r="D250" i="2"/>
  <c r="E250" i="2"/>
  <c r="F250" i="2"/>
  <c r="G250" i="2"/>
  <c r="C259" i="2"/>
  <c r="D259" i="2"/>
  <c r="E259" i="2"/>
  <c r="F259" i="2"/>
  <c r="G259" i="2"/>
  <c r="C277" i="2"/>
  <c r="D277" i="2"/>
  <c r="D279" i="2" s="1"/>
  <c r="D280" i="2" s="1"/>
  <c r="E277" i="2"/>
  <c r="F277" i="2"/>
  <c r="G277" i="2"/>
  <c r="C279" i="2"/>
  <c r="E279" i="2"/>
  <c r="F279" i="2"/>
  <c r="G279" i="2"/>
  <c r="C280" i="2"/>
  <c r="E280" i="2"/>
  <c r="F280" i="2"/>
  <c r="G280" i="2"/>
  <c r="E282" i="2"/>
  <c r="E284" i="2" s="1"/>
  <c r="F282" i="2"/>
  <c r="F284" i="2" s="1"/>
  <c r="G282" i="2"/>
  <c r="G284" i="2" s="1"/>
  <c r="H256" i="2" s="1"/>
  <c r="F283" i="2"/>
  <c r="G283" i="2"/>
  <c r="C284" i="2"/>
  <c r="D284" i="2"/>
  <c r="E285" i="2"/>
  <c r="F285" i="2"/>
  <c r="G285" i="2"/>
  <c r="B289" i="2"/>
  <c r="H289" i="2"/>
  <c r="B290" i="2"/>
  <c r="B291" i="2"/>
  <c r="C292" i="2"/>
  <c r="D292" i="2"/>
  <c r="E292" i="2"/>
  <c r="F292" i="2"/>
  <c r="G292" i="2"/>
  <c r="D302" i="2"/>
  <c r="E302" i="2"/>
  <c r="F302" i="2"/>
  <c r="G302" i="2"/>
  <c r="D303" i="2"/>
  <c r="E303" i="2"/>
  <c r="F303" i="2"/>
  <c r="G303" i="2"/>
  <c r="I303" i="2"/>
  <c r="J303" i="2"/>
  <c r="K303" i="2"/>
  <c r="L303" i="2"/>
  <c r="M303" i="2"/>
  <c r="N303" i="2"/>
  <c r="O303" i="2"/>
  <c r="P303" i="2"/>
  <c r="Q303" i="2"/>
  <c r="C317" i="2"/>
  <c r="D317" i="2"/>
  <c r="E317" i="2"/>
  <c r="F317" i="2"/>
  <c r="G317" i="2"/>
  <c r="C319" i="2"/>
  <c r="C321" i="2" s="1"/>
  <c r="C316" i="2" s="1"/>
  <c r="D319" i="2"/>
  <c r="D321" i="2" s="1"/>
  <c r="D316" i="2" s="1"/>
  <c r="E319" i="2"/>
  <c r="E321" i="2" s="1"/>
  <c r="E316" i="2" s="1"/>
  <c r="F319" i="2"/>
  <c r="F321" i="2" s="1"/>
  <c r="F316" i="2" s="1"/>
  <c r="G319" i="2"/>
  <c r="C320" i="2"/>
  <c r="D320" i="2"/>
  <c r="E320" i="2"/>
  <c r="F320" i="2"/>
  <c r="G320" i="2"/>
  <c r="H303" i="2" s="1"/>
  <c r="H321" i="2"/>
  <c r="I321" i="2"/>
  <c r="J321" i="2"/>
  <c r="K321" i="2"/>
  <c r="L321" i="2"/>
  <c r="M321" i="2"/>
  <c r="N321" i="2"/>
  <c r="O321" i="2"/>
  <c r="P321" i="2"/>
  <c r="Q321" i="2"/>
  <c r="R321" i="2"/>
  <c r="C323" i="2"/>
  <c r="D323" i="2"/>
  <c r="E323" i="2"/>
  <c r="F323" i="2"/>
  <c r="G323" i="2"/>
  <c r="C329" i="2"/>
  <c r="F329" i="2"/>
  <c r="C330" i="2"/>
  <c r="D330" i="2"/>
  <c r="E330" i="2"/>
  <c r="F330" i="2"/>
  <c r="G330" i="2"/>
  <c r="C331" i="2"/>
  <c r="F331" i="2"/>
  <c r="C333" i="2"/>
  <c r="D333" i="2"/>
  <c r="E333" i="2"/>
  <c r="F333" i="2"/>
  <c r="G333" i="2"/>
  <c r="C334" i="2"/>
  <c r="F334" i="2"/>
  <c r="AI14" i="409" s="1"/>
  <c r="C337" i="2"/>
  <c r="F337" i="2"/>
  <c r="C338" i="2"/>
  <c r="F338" i="2"/>
  <c r="F339" i="2" s="1"/>
  <c r="F345" i="2" s="1"/>
  <c r="AI15" i="409" s="1"/>
  <c r="C339" i="2"/>
  <c r="C340" i="2"/>
  <c r="D340" i="2"/>
  <c r="E340" i="2"/>
  <c r="F340" i="2"/>
  <c r="G340" i="2"/>
  <c r="C341" i="2"/>
  <c r="D341" i="2"/>
  <c r="E341" i="2"/>
  <c r="F341" i="2"/>
  <c r="G341" i="2"/>
  <c r="C342" i="2"/>
  <c r="D342" i="2"/>
  <c r="E342" i="2"/>
  <c r="F342" i="2"/>
  <c r="G342" i="2"/>
  <c r="H342" i="2"/>
  <c r="I342" i="2"/>
  <c r="C343" i="2"/>
  <c r="D343" i="2"/>
  <c r="E343" i="2"/>
  <c r="F343" i="2"/>
  <c r="G343" i="2"/>
  <c r="C344" i="2"/>
  <c r="D344" i="2"/>
  <c r="E344" i="2"/>
  <c r="F344" i="2"/>
  <c r="G344" i="2"/>
  <c r="C345" i="2"/>
  <c r="O11" i="143"/>
  <c r="T44" i="8" s="1"/>
  <c r="H45" i="8" s="1"/>
  <c r="Q12" i="143"/>
  <c r="R12" i="143"/>
  <c r="W12" i="143"/>
  <c r="Q18" i="143"/>
  <c r="W18" i="143"/>
  <c r="O22" i="143"/>
  <c r="W23" i="143"/>
  <c r="W24" i="143"/>
  <c r="I25" i="8" s="1"/>
  <c r="O30" i="143"/>
  <c r="N45" i="143"/>
  <c r="H264" i="2" s="1"/>
  <c r="O45" i="143"/>
  <c r="H213" i="2" s="1"/>
  <c r="N46" i="143"/>
  <c r="O46" i="143"/>
  <c r="G47" i="143"/>
  <c r="S13" i="846"/>
  <c r="T13" i="846"/>
  <c r="T19" i="846" s="1"/>
  <c r="T25" i="846" s="1"/>
  <c r="U13" i="846"/>
  <c r="U19" i="846" s="1"/>
  <c r="U25" i="846" s="1"/>
  <c r="V13" i="846"/>
  <c r="V19" i="846" s="1"/>
  <c r="V25" i="846" s="1"/>
  <c r="W13" i="846"/>
  <c r="W19" i="846" s="1"/>
  <c r="W25" i="846" s="1"/>
  <c r="X13" i="846"/>
  <c r="Y13" i="846"/>
  <c r="Z13" i="846"/>
  <c r="AA13" i="846"/>
  <c r="AB13" i="846"/>
  <c r="AB19" i="846" s="1"/>
  <c r="AB25" i="846" s="1"/>
  <c r="AC13" i="846"/>
  <c r="AC19" i="846" s="1"/>
  <c r="AC25" i="846" s="1"/>
  <c r="S19" i="846"/>
  <c r="S25" i="846" s="1"/>
  <c r="X19" i="846"/>
  <c r="Y19" i="846"/>
  <c r="Y25" i="846" s="1"/>
  <c r="Z19" i="846"/>
  <c r="Z25" i="846" s="1"/>
  <c r="AA19" i="846"/>
  <c r="AA25" i="846" s="1"/>
  <c r="X25" i="846"/>
  <c r="T19" i="829"/>
  <c r="U19" i="829"/>
  <c r="T20" i="829"/>
  <c r="U20" i="829"/>
  <c r="T21" i="829"/>
  <c r="U21" i="829"/>
  <c r="E32" i="829"/>
  <c r="E35" i="829" s="1"/>
  <c r="F32" i="829"/>
  <c r="F35" i="829" s="1"/>
  <c r="F37" i="829" s="1"/>
  <c r="F39" i="829" s="1"/>
  <c r="F12" i="829" s="1"/>
  <c r="G32" i="829"/>
  <c r="G35" i="829" s="1"/>
  <c r="E33" i="829"/>
  <c r="E41" i="829" s="1"/>
  <c r="E43" i="829" s="1"/>
  <c r="E45" i="829" s="1"/>
  <c r="E11" i="829" s="1"/>
  <c r="T18" i="829" s="1"/>
  <c r="F33" i="829"/>
  <c r="F41" i="829" s="1"/>
  <c r="G33" i="829"/>
  <c r="E36" i="829"/>
  <c r="F36" i="829"/>
  <c r="G36" i="829" s="1"/>
  <c r="G42" i="829" s="1"/>
  <c r="E38" i="829"/>
  <c r="F38" i="829"/>
  <c r="G38" i="829"/>
  <c r="G41" i="829"/>
  <c r="G43" i="829" s="1"/>
  <c r="G45" i="829" s="1"/>
  <c r="G11" i="829" s="1"/>
  <c r="U18" i="829" s="1"/>
  <c r="E42" i="829"/>
  <c r="E44" i="829"/>
  <c r="F44" i="829"/>
  <c r="G44" i="829"/>
  <c r="F4" i="409"/>
  <c r="H4" i="409"/>
  <c r="U8" i="409"/>
  <c r="U9" i="409"/>
  <c r="U10" i="409"/>
  <c r="AF14" i="409"/>
  <c r="AF15" i="409"/>
  <c r="U17" i="409"/>
  <c r="U18" i="409"/>
  <c r="AK23" i="409"/>
  <c r="AL23" i="409"/>
  <c r="AI24" i="409"/>
  <c r="AI25" i="409" s="1"/>
  <c r="AK24" i="409"/>
  <c r="M4" i="409" s="1"/>
  <c r="AL24" i="409"/>
  <c r="AG25" i="409"/>
  <c r="AH25" i="409"/>
  <c r="AF33" i="409"/>
  <c r="AH33" i="409"/>
  <c r="AH39" i="409" s="1"/>
  <c r="AI33" i="409"/>
  <c r="AJ33" i="409"/>
  <c r="AF34" i="409"/>
  <c r="AH34" i="409"/>
  <c r="AI34" i="409"/>
  <c r="AJ34" i="409"/>
  <c r="AF35" i="409"/>
  <c r="AH35" i="409"/>
  <c r="AI35" i="409"/>
  <c r="AJ35" i="409"/>
  <c r="AF36" i="409"/>
  <c r="AH36" i="409"/>
  <c r="AI36" i="409"/>
  <c r="AJ36" i="409"/>
  <c r="AF37" i="409"/>
  <c r="AH37" i="409"/>
  <c r="AI37" i="409"/>
  <c r="AJ37" i="409"/>
  <c r="AJ39" i="409" s="1"/>
  <c r="AF38" i="409"/>
  <c r="AH38" i="409"/>
  <c r="AI38" i="409"/>
  <c r="AJ38" i="409"/>
  <c r="AI39" i="409"/>
  <c r="H257" i="2" l="1"/>
  <c r="H258" i="2"/>
  <c r="E37" i="829"/>
  <c r="E39" i="829" s="1"/>
  <c r="E12" i="829" s="1"/>
  <c r="T17" i="829" s="1"/>
  <c r="AG24" i="409"/>
  <c r="AJ25" i="409" s="1"/>
  <c r="AL25" i="409" s="1"/>
  <c r="AH24" i="409"/>
  <c r="G37" i="829"/>
  <c r="G39" i="829" s="1"/>
  <c r="G12" i="829" s="1"/>
  <c r="U17" i="829" s="1"/>
  <c r="D199" i="2"/>
  <c r="E149" i="2"/>
  <c r="E151" i="2" s="1"/>
  <c r="D151" i="2"/>
  <c r="F42" i="829"/>
  <c r="F43" i="829" s="1"/>
  <c r="F45" i="829" s="1"/>
  <c r="F11" i="829" s="1"/>
  <c r="D149" i="2"/>
  <c r="C151" i="2"/>
  <c r="C199" i="2"/>
  <c r="G321" i="2"/>
  <c r="G316" i="2" s="1"/>
  <c r="H14" i="8"/>
  <c r="H13" i="2" s="1"/>
  <c r="H17" i="8"/>
  <c r="H16" i="2" s="1"/>
  <c r="H29" i="2" s="1"/>
  <c r="H15" i="8"/>
  <c r="H14" i="2" s="1"/>
  <c r="H16" i="8"/>
  <c r="H15" i="2" s="1"/>
  <c r="H28" i="2" s="1"/>
  <c r="I15" i="8"/>
  <c r="I14" i="2" s="1"/>
  <c r="AK25" i="409"/>
  <c r="J25" i="8"/>
  <c r="I45" i="8"/>
  <c r="I35" i="8"/>
  <c r="C304" i="2"/>
  <c r="H149" i="2"/>
  <c r="G151" i="2"/>
  <c r="G199" i="2"/>
  <c r="F67" i="2"/>
  <c r="F64" i="2"/>
  <c r="F68" i="2" s="1"/>
  <c r="F73" i="2" s="1"/>
  <c r="F94" i="2" s="1"/>
  <c r="F145" i="2"/>
  <c r="G248" i="2"/>
  <c r="H206" i="2"/>
  <c r="H207" i="2" s="1"/>
  <c r="F199" i="2"/>
  <c r="G149" i="2"/>
  <c r="C63" i="2"/>
  <c r="C145" i="2"/>
  <c r="E199" i="2"/>
  <c r="F149" i="2"/>
  <c r="F151" i="2" s="1"/>
  <c r="H243" i="2"/>
  <c r="H177" i="2"/>
  <c r="E64" i="2"/>
  <c r="E67" i="2"/>
  <c r="D32" i="2"/>
  <c r="E19" i="2" s="1"/>
  <c r="G178" i="2"/>
  <c r="G72" i="2"/>
  <c r="H72" i="2" s="1"/>
  <c r="I72" i="2" s="1"/>
  <c r="J72" i="2" s="1"/>
  <c r="K72" i="2" s="1"/>
  <c r="L72" i="2" s="1"/>
  <c r="M72" i="2" s="1"/>
  <c r="N72" i="2" s="1"/>
  <c r="O72" i="2" s="1"/>
  <c r="P72" i="2" s="1"/>
  <c r="Q72" i="2" s="1"/>
  <c r="R72" i="2" s="1"/>
  <c r="H144" i="2"/>
  <c r="I144" i="2" s="1"/>
  <c r="J144" i="2" s="1"/>
  <c r="K144" i="2" s="1"/>
  <c r="L144" i="2" s="1"/>
  <c r="M144" i="2" s="1"/>
  <c r="N144" i="2" s="1"/>
  <c r="O144" i="2" s="1"/>
  <c r="P144" i="2" s="1"/>
  <c r="Q144" i="2" s="1"/>
  <c r="R144" i="2" s="1"/>
  <c r="H9" i="8"/>
  <c r="H10" i="2"/>
  <c r="I9" i="2"/>
  <c r="O8" i="698"/>
  <c r="P14" i="698"/>
  <c r="Q14" i="698" s="1"/>
  <c r="R14" i="698" s="1"/>
  <c r="F178" i="2"/>
  <c r="C64" i="2"/>
  <c r="C67" i="2"/>
  <c r="J46" i="2"/>
  <c r="J107" i="2" s="1"/>
  <c r="J342" i="2" s="1"/>
  <c r="K65" i="2"/>
  <c r="E178" i="2"/>
  <c r="D91" i="2"/>
  <c r="D92" i="2" s="1"/>
  <c r="D178" i="2"/>
  <c r="G145" i="2"/>
  <c r="F48" i="2"/>
  <c r="F51" i="2" s="1"/>
  <c r="G16" i="2"/>
  <c r="O11" i="1"/>
  <c r="H27" i="8" s="1"/>
  <c r="O10" i="1"/>
  <c r="H26" i="8" s="1"/>
  <c r="D15" i="2"/>
  <c r="H44" i="8"/>
  <c r="I24" i="8"/>
  <c r="I14" i="8" s="1"/>
  <c r="I13" i="2" s="1"/>
  <c r="H34" i="8"/>
  <c r="C178" i="2"/>
  <c r="E68" i="2"/>
  <c r="E73" i="2" s="1"/>
  <c r="E94" i="2" s="1"/>
  <c r="C48" i="2"/>
  <c r="C51" i="2" s="1"/>
  <c r="H8" i="8"/>
  <c r="H5" i="2"/>
  <c r="O13" i="1"/>
  <c r="H29" i="8" s="1"/>
  <c r="D18" i="2"/>
  <c r="E145" i="2"/>
  <c r="G64" i="2"/>
  <c r="G68" i="2" s="1"/>
  <c r="G73" i="2" s="1"/>
  <c r="G94" i="2" s="1"/>
  <c r="G67" i="2"/>
  <c r="H143" i="2"/>
  <c r="G42" i="2"/>
  <c r="G43" i="2" s="1"/>
  <c r="F19" i="2"/>
  <c r="E8" i="8"/>
  <c r="E10" i="2"/>
  <c r="U24" i="410"/>
  <c r="V24" i="410"/>
  <c r="W24" i="410"/>
  <c r="X24" i="410"/>
  <c r="C47" i="2"/>
  <c r="E5" i="2"/>
  <c r="O20" i="1"/>
  <c r="O19" i="143" s="1"/>
  <c r="H22" i="209"/>
  <c r="D68" i="2"/>
  <c r="D73" i="2" s="1"/>
  <c r="H27" i="2"/>
  <c r="G5" i="2"/>
  <c r="G10" i="2"/>
  <c r="M16" i="1"/>
  <c r="M21" i="1"/>
  <c r="M20" i="1"/>
  <c r="M37" i="1"/>
  <c r="O37" i="1" s="1"/>
  <c r="N44" i="143" s="1"/>
  <c r="M17" i="1"/>
  <c r="M18" i="1"/>
  <c r="M27" i="1"/>
  <c r="M33" i="1"/>
  <c r="M36" i="1"/>
  <c r="M31" i="1"/>
  <c r="O31" i="1" s="1"/>
  <c r="O33" i="143" s="1"/>
  <c r="M30" i="1"/>
  <c r="E42" i="2"/>
  <c r="E43" i="2" s="1"/>
  <c r="M19" i="1"/>
  <c r="H26" i="2"/>
  <c r="E9" i="8"/>
  <c r="E10" i="8" s="1"/>
  <c r="D9" i="2"/>
  <c r="K19" i="1"/>
  <c r="K18" i="1"/>
  <c r="K17" i="1"/>
  <c r="O17" i="1" s="1"/>
  <c r="O16" i="143" s="1"/>
  <c r="K27" i="1"/>
  <c r="K33" i="1"/>
  <c r="O33" i="1" s="1"/>
  <c r="O38" i="143" s="1"/>
  <c r="K31" i="1"/>
  <c r="K21" i="1"/>
  <c r="K30" i="1"/>
  <c r="O30" i="1" s="1"/>
  <c r="O32" i="143" s="1"/>
  <c r="G10" i="8"/>
  <c r="O29" i="1"/>
  <c r="N30" i="143" s="1"/>
  <c r="N17" i="1"/>
  <c r="N16" i="1"/>
  <c r="N21" i="1"/>
  <c r="N19" i="1"/>
  <c r="N20" i="1"/>
  <c r="N31" i="1"/>
  <c r="V33" i="410"/>
  <c r="X33" i="410"/>
  <c r="U33" i="410"/>
  <c r="W33" i="410"/>
  <c r="F8" i="2"/>
  <c r="N27" i="1"/>
  <c r="O12" i="1"/>
  <c r="H28" i="8" s="1"/>
  <c r="J18" i="1"/>
  <c r="O18" i="1" s="1"/>
  <c r="O17" i="143" s="1"/>
  <c r="J21" i="1"/>
  <c r="J16" i="1"/>
  <c r="J36" i="1"/>
  <c r="O36" i="1" s="1"/>
  <c r="O44" i="143" s="1"/>
  <c r="V51" i="410"/>
  <c r="X51" i="410"/>
  <c r="U51" i="410"/>
  <c r="W51" i="410"/>
  <c r="L20" i="1"/>
  <c r="L19" i="1"/>
  <c r="AA56" i="410"/>
  <c r="AA58" i="410"/>
  <c r="U41" i="410"/>
  <c r="V41" i="410"/>
  <c r="X41" i="410"/>
  <c r="Q15" i="698"/>
  <c r="R15" i="698" s="1"/>
  <c r="P9" i="698"/>
  <c r="H11" i="45"/>
  <c r="H10" i="45"/>
  <c r="G12" i="45"/>
  <c r="K10" i="209"/>
  <c r="AA38" i="410"/>
  <c r="G18" i="209"/>
  <c r="K18" i="209" s="1"/>
  <c r="H18" i="209"/>
  <c r="H16" i="209"/>
  <c r="G13" i="209"/>
  <c r="K13" i="209" s="1"/>
  <c r="W53" i="410"/>
  <c r="X53" i="410"/>
  <c r="U53" i="410"/>
  <c r="V53" i="410"/>
  <c r="U15" i="410"/>
  <c r="V15" i="410"/>
  <c r="Y13" i="410"/>
  <c r="Z13" i="410"/>
  <c r="Z53" i="410"/>
  <c r="F26" i="209"/>
  <c r="G26" i="209" s="1"/>
  <c r="K26" i="209" s="1"/>
  <c r="Y43" i="410"/>
  <c r="Z43" i="410"/>
  <c r="Z47" i="410" s="1"/>
  <c r="J43" i="410"/>
  <c r="AB43" i="410"/>
  <c r="F22" i="209"/>
  <c r="G22" i="209" s="1"/>
  <c r="K22" i="209" s="1"/>
  <c r="H20" i="209"/>
  <c r="U54" i="410"/>
  <c r="V54" i="410"/>
  <c r="X54" i="410"/>
  <c r="W44" i="410"/>
  <c r="X44" i="410"/>
  <c r="U44" i="410"/>
  <c r="V44" i="410"/>
  <c r="Z36" i="410"/>
  <c r="Z29" i="410"/>
  <c r="U14" i="410"/>
  <c r="V14" i="410"/>
  <c r="W14" i="410"/>
  <c r="X14" i="410"/>
  <c r="F11" i="45"/>
  <c r="E12" i="45"/>
  <c r="J50" i="110"/>
  <c r="Y52" i="410"/>
  <c r="Z52" i="410"/>
  <c r="J52" i="410"/>
  <c r="AB52" i="410"/>
  <c r="F25" i="209"/>
  <c r="G25" i="209" s="1"/>
  <c r="K25" i="209" s="1"/>
  <c r="F23" i="209"/>
  <c r="G23" i="209" s="1"/>
  <c r="K23" i="209" s="1"/>
  <c r="Z44" i="410"/>
  <c r="Z37" i="410"/>
  <c r="Y34" i="410"/>
  <c r="Z34" i="410"/>
  <c r="Z35" i="410" s="1"/>
  <c r="J34" i="410"/>
  <c r="AB34" i="410"/>
  <c r="F19" i="209"/>
  <c r="Y35" i="410"/>
  <c r="Y38" i="410"/>
  <c r="Y26" i="410"/>
  <c r="Y29" i="410"/>
  <c r="AB13" i="410"/>
  <c r="L20" i="641"/>
  <c r="L22" i="641"/>
  <c r="P10" i="698"/>
  <c r="Q10" i="698" s="1"/>
  <c r="R10" i="698" s="1"/>
  <c r="G12" i="209"/>
  <c r="L33" i="110"/>
  <c r="L50" i="110" s="1"/>
  <c r="AA55" i="410"/>
  <c r="AA47" i="410"/>
  <c r="AA37" i="410"/>
  <c r="U23" i="410"/>
  <c r="V23" i="410"/>
  <c r="W23" i="410"/>
  <c r="X23" i="410"/>
  <c r="X15" i="410"/>
  <c r="AA13" i="410"/>
  <c r="K20" i="641"/>
  <c r="G9" i="646" s="1"/>
  <c r="K22" i="641"/>
  <c r="F9" i="646" s="1"/>
  <c r="AA48" i="410"/>
  <c r="U32" i="410"/>
  <c r="V32" i="410"/>
  <c r="X32" i="410"/>
  <c r="W13" i="410"/>
  <c r="X13" i="410"/>
  <c r="U13" i="410"/>
  <c r="V13" i="410"/>
  <c r="F24" i="209"/>
  <c r="G24" i="209" s="1"/>
  <c r="K24" i="209" s="1"/>
  <c r="AB54" i="410"/>
  <c r="Z51" i="410"/>
  <c r="Z42" i="410"/>
  <c r="Z45" i="410" s="1"/>
  <c r="AB41" i="410"/>
  <c r="Z33" i="410"/>
  <c r="Z38" i="410" s="1"/>
  <c r="AB32" i="410"/>
  <c r="Z24" i="410"/>
  <c r="Z26" i="410" s="1"/>
  <c r="AB23" i="410"/>
  <c r="Z15" i="410"/>
  <c r="AB14" i="410"/>
  <c r="Y51" i="410"/>
  <c r="Y42" i="410"/>
  <c r="Y33" i="410"/>
  <c r="Y24" i="410"/>
  <c r="Y28" i="410" s="1"/>
  <c r="Y15" i="410"/>
  <c r="M23" i="641"/>
  <c r="O11" i="698"/>
  <c r="P11" i="698" s="1"/>
  <c r="Q11" i="698" s="1"/>
  <c r="R11" i="698" s="1"/>
  <c r="F21" i="209"/>
  <c r="AB25" i="410"/>
  <c r="J25" i="410"/>
  <c r="AB16" i="410"/>
  <c r="J16" i="410"/>
  <c r="AB10" i="410"/>
  <c r="J10" i="410"/>
  <c r="AB51" i="410"/>
  <c r="AB42" i="410"/>
  <c r="AB33" i="410"/>
  <c r="Z25" i="410"/>
  <c r="AB24" i="410"/>
  <c r="Z16" i="410"/>
  <c r="AB15" i="410"/>
  <c r="Z10" i="410"/>
  <c r="E48" i="2" l="1"/>
  <c r="E51" i="2" s="1"/>
  <c r="E329" i="2"/>
  <c r="E331" i="2" s="1"/>
  <c r="E334" i="2" s="1"/>
  <c r="AH14" i="409" s="1"/>
  <c r="E337" i="2"/>
  <c r="D27" i="110"/>
  <c r="D28" i="110" s="1"/>
  <c r="D47" i="110" s="1"/>
  <c r="AK36" i="409"/>
  <c r="H19" i="209"/>
  <c r="G19" i="209"/>
  <c r="I9" i="8"/>
  <c r="J9" i="2"/>
  <c r="I8" i="2"/>
  <c r="I10" i="2"/>
  <c r="D15" i="110"/>
  <c r="D16" i="110" s="1"/>
  <c r="D44" i="110" s="1"/>
  <c r="AK35" i="409"/>
  <c r="H246" i="2"/>
  <c r="AB29" i="410"/>
  <c r="AB26" i="410"/>
  <c r="AB28" i="410"/>
  <c r="AB27" i="410"/>
  <c r="W43" i="410"/>
  <c r="X43" i="410"/>
  <c r="V43" i="410"/>
  <c r="U43" i="410"/>
  <c r="U47" i="410" s="1"/>
  <c r="F24" i="110" s="1"/>
  <c r="X48" i="410"/>
  <c r="X45" i="410"/>
  <c r="X46" i="410"/>
  <c r="X47" i="410"/>
  <c r="W16" i="410"/>
  <c r="W18" i="410" s="1"/>
  <c r="X16" i="410"/>
  <c r="U16" i="410"/>
  <c r="V16" i="410"/>
  <c r="H24" i="209"/>
  <c r="O16" i="1"/>
  <c r="O14" i="143" s="1"/>
  <c r="E5" i="8"/>
  <c r="E5" i="1"/>
  <c r="L5" i="1" s="1"/>
  <c r="E60" i="2"/>
  <c r="E23" i="2"/>
  <c r="E139" i="2"/>
  <c r="E98" i="2"/>
  <c r="AH13" i="409"/>
  <c r="AH32" i="409"/>
  <c r="C68" i="2"/>
  <c r="C73" i="2" s="1"/>
  <c r="C94" i="2" s="1"/>
  <c r="J45" i="8"/>
  <c r="K25" i="8"/>
  <c r="J35" i="8"/>
  <c r="V58" i="410"/>
  <c r="V55" i="410"/>
  <c r="V57" i="410"/>
  <c r="D43" i="2"/>
  <c r="D19" i="2"/>
  <c r="W35" i="410"/>
  <c r="L65" i="2"/>
  <c r="K46" i="2"/>
  <c r="K107" i="2" s="1"/>
  <c r="K342" i="2" s="1"/>
  <c r="AB35" i="410"/>
  <c r="AB37" i="410"/>
  <c r="AB38" i="410"/>
  <c r="AB36" i="410"/>
  <c r="U19" i="410"/>
  <c r="F12" i="110" s="1"/>
  <c r="U20" i="410"/>
  <c r="H12" i="110" s="1"/>
  <c r="U18" i="410"/>
  <c r="U17" i="410"/>
  <c r="G12" i="110" s="1"/>
  <c r="H26" i="209"/>
  <c r="U28" i="410"/>
  <c r="F16" i="110" s="1"/>
  <c r="U29" i="410"/>
  <c r="H16" i="110" s="1"/>
  <c r="V46" i="410"/>
  <c r="V47" i="410"/>
  <c r="V48" i="410"/>
  <c r="V45" i="410"/>
  <c r="Y37" i="410"/>
  <c r="Y36" i="410"/>
  <c r="X18" i="410"/>
  <c r="X19" i="410"/>
  <c r="X20" i="410"/>
  <c r="X17" i="410"/>
  <c r="AB20" i="410"/>
  <c r="AB17" i="410"/>
  <c r="AB19" i="410"/>
  <c r="AB18" i="410"/>
  <c r="W34" i="410"/>
  <c r="W37" i="410" s="1"/>
  <c r="X34" i="410"/>
  <c r="U34" i="410"/>
  <c r="V34" i="410"/>
  <c r="W52" i="410"/>
  <c r="W58" i="410" s="1"/>
  <c r="X52" i="410"/>
  <c r="X55" i="410" s="1"/>
  <c r="U52" i="410"/>
  <c r="V52" i="410"/>
  <c r="V56" i="410" s="1"/>
  <c r="Z46" i="410"/>
  <c r="U46" i="410"/>
  <c r="U45" i="410"/>
  <c r="G24" i="110" s="1"/>
  <c r="U48" i="410"/>
  <c r="H24" i="110" s="1"/>
  <c r="O21" i="1"/>
  <c r="O20" i="143" s="1"/>
  <c r="O27" i="1"/>
  <c r="M30" i="143" s="1"/>
  <c r="J24" i="8"/>
  <c r="I34" i="8"/>
  <c r="I44" i="8"/>
  <c r="F52" i="2"/>
  <c r="F103" i="2"/>
  <c r="F115" i="2" s="1"/>
  <c r="F133" i="2" s="1"/>
  <c r="F135" i="2" s="1"/>
  <c r="F53" i="2"/>
  <c r="AI16" i="409"/>
  <c r="H10" i="8"/>
  <c r="J15" i="8"/>
  <c r="J14" i="2" s="1"/>
  <c r="H23" i="209"/>
  <c r="D10" i="110"/>
  <c r="I26" i="2"/>
  <c r="AK33" i="409"/>
  <c r="W25" i="410"/>
  <c r="W27" i="410" s="1"/>
  <c r="X25" i="410"/>
  <c r="U25" i="410"/>
  <c r="U27" i="410" s="1"/>
  <c r="V25" i="410"/>
  <c r="V26" i="410" s="1"/>
  <c r="Y45" i="410"/>
  <c r="Y46" i="410"/>
  <c r="AB47" i="410"/>
  <c r="AB46" i="410"/>
  <c r="AB45" i="410"/>
  <c r="AB48" i="410"/>
  <c r="W19" i="410"/>
  <c r="W17" i="410"/>
  <c r="W20" i="410"/>
  <c r="Y47" i="410"/>
  <c r="Z28" i="410"/>
  <c r="G5" i="8"/>
  <c r="G5" i="1"/>
  <c r="N5" i="1" s="1"/>
  <c r="G60" i="2"/>
  <c r="G23" i="2"/>
  <c r="G98" i="2"/>
  <c r="G139" i="2"/>
  <c r="AJ32" i="409"/>
  <c r="AJ13" i="409"/>
  <c r="H49" i="8"/>
  <c r="H39" i="8"/>
  <c r="I29" i="8"/>
  <c r="H180" i="2"/>
  <c r="H29" i="209"/>
  <c r="Y57" i="410"/>
  <c r="Y58" i="410"/>
  <c r="Y56" i="410"/>
  <c r="Y55" i="410"/>
  <c r="Z48" i="410"/>
  <c r="X36" i="410"/>
  <c r="X37" i="410"/>
  <c r="X38" i="410"/>
  <c r="X35" i="410"/>
  <c r="AA20" i="410"/>
  <c r="AA17" i="410"/>
  <c r="AA19" i="410"/>
  <c r="AA18" i="410"/>
  <c r="Y27" i="410"/>
  <c r="Y48" i="410"/>
  <c r="I12" i="45"/>
  <c r="I11" i="45"/>
  <c r="I10" i="45"/>
  <c r="H12" i="45"/>
  <c r="W56" i="410"/>
  <c r="I28" i="8"/>
  <c r="H48" i="8"/>
  <c r="H38" i="8"/>
  <c r="D11" i="110"/>
  <c r="I27" i="2"/>
  <c r="AK34" i="409"/>
  <c r="H23" i="2"/>
  <c r="H98" i="2"/>
  <c r="H5" i="8"/>
  <c r="E5" i="45" s="1"/>
  <c r="H139" i="2"/>
  <c r="H60" i="2"/>
  <c r="AK32" i="409"/>
  <c r="AK13" i="409"/>
  <c r="H153" i="2"/>
  <c r="H18" i="8"/>
  <c r="H17" i="2" s="1"/>
  <c r="H30" i="2" s="1"/>
  <c r="H19" i="8"/>
  <c r="H18" i="2" s="1"/>
  <c r="H31" i="2" s="1"/>
  <c r="H259" i="2"/>
  <c r="I256" i="2" s="1"/>
  <c r="V19" i="410"/>
  <c r="V18" i="410"/>
  <c r="V17" i="410"/>
  <c r="V20" i="410"/>
  <c r="V28" i="410"/>
  <c r="V27" i="410"/>
  <c r="V29" i="410"/>
  <c r="G21" i="209"/>
  <c r="K21" i="209" s="1"/>
  <c r="H21" i="209"/>
  <c r="H28" i="209" s="1"/>
  <c r="Z57" i="410"/>
  <c r="Z56" i="410"/>
  <c r="Z58" i="410"/>
  <c r="Z55" i="410"/>
  <c r="Z27" i="410"/>
  <c r="Z20" i="410"/>
  <c r="Z17" i="410"/>
  <c r="Z18" i="410"/>
  <c r="Z19" i="410"/>
  <c r="U55" i="410"/>
  <c r="G28" i="110" s="1"/>
  <c r="U58" i="410"/>
  <c r="H28" i="110" s="1"/>
  <c r="U57" i="410"/>
  <c r="F28" i="110" s="1"/>
  <c r="U56" i="410"/>
  <c r="O19" i="1"/>
  <c r="O18" i="143" s="1"/>
  <c r="G48" i="2"/>
  <c r="G51" i="2" s="1"/>
  <c r="G329" i="2"/>
  <c r="G331" i="2" s="1"/>
  <c r="G334" i="2" s="1"/>
  <c r="G337" i="2"/>
  <c r="I26" i="8"/>
  <c r="H46" i="8"/>
  <c r="H36" i="8"/>
  <c r="D94" i="2"/>
  <c r="H235" i="2"/>
  <c r="H208" i="2"/>
  <c r="I205" i="2" s="1"/>
  <c r="W10" i="410"/>
  <c r="X10" i="410"/>
  <c r="U10" i="410"/>
  <c r="V10" i="410"/>
  <c r="U11" i="409"/>
  <c r="V37" i="410"/>
  <c r="V36" i="410"/>
  <c r="V38" i="410"/>
  <c r="V35" i="410"/>
  <c r="AB56" i="410"/>
  <c r="AB57" i="410"/>
  <c r="AB58" i="410"/>
  <c r="AB55" i="410"/>
  <c r="U37" i="410"/>
  <c r="F20" i="110" s="1"/>
  <c r="U38" i="410"/>
  <c r="H20" i="110" s="1"/>
  <c r="U36" i="410"/>
  <c r="U35" i="410"/>
  <c r="G20" i="110" s="1"/>
  <c r="X27" i="410"/>
  <c r="X28" i="410"/>
  <c r="X29" i="410"/>
  <c r="X26" i="410"/>
  <c r="K12" i="209"/>
  <c r="G28" i="209"/>
  <c r="H25" i="209"/>
  <c r="Y17" i="410"/>
  <c r="Y18" i="410"/>
  <c r="Y20" i="410"/>
  <c r="Y19" i="410"/>
  <c r="Q9" i="698"/>
  <c r="R9" i="698" s="1"/>
  <c r="X56" i="410"/>
  <c r="F8" i="8"/>
  <c r="F10" i="8" s="1"/>
  <c r="F5" i="2"/>
  <c r="F10" i="2"/>
  <c r="D9" i="8"/>
  <c r="D8" i="2"/>
  <c r="D10" i="2" s="1"/>
  <c r="C9" i="2"/>
  <c r="I143" i="2"/>
  <c r="H64" i="2"/>
  <c r="C52" i="2"/>
  <c r="C53" i="2"/>
  <c r="C103" i="2"/>
  <c r="C115" i="2" s="1"/>
  <c r="C133" i="2" s="1"/>
  <c r="C135" i="2" s="1"/>
  <c r="I27" i="8"/>
  <c r="H37" i="8"/>
  <c r="H47" i="8"/>
  <c r="P8" i="698"/>
  <c r="Q8" i="698" s="1"/>
  <c r="R8" i="698" s="1"/>
  <c r="D324" i="2"/>
  <c r="D301" i="2"/>
  <c r="D304" i="2" s="1"/>
  <c r="J24" i="110" l="1"/>
  <c r="J46" i="110" s="1"/>
  <c r="F46" i="110"/>
  <c r="I64" i="2"/>
  <c r="J143" i="2"/>
  <c r="J28" i="110"/>
  <c r="J47" i="110" s="1"/>
  <c r="F47" i="110"/>
  <c r="X58" i="410"/>
  <c r="G45" i="110"/>
  <c r="I48" i="8"/>
  <c r="I38" i="8"/>
  <c r="J28" i="8"/>
  <c r="I18" i="8"/>
  <c r="I17" i="2" s="1"/>
  <c r="I30" i="2" s="1"/>
  <c r="J16" i="110"/>
  <c r="J44" i="110" s="1"/>
  <c r="F44" i="110"/>
  <c r="M38" i="45"/>
  <c r="W25" i="143"/>
  <c r="X57" i="410"/>
  <c r="H45" i="110"/>
  <c r="I46" i="8"/>
  <c r="I36" i="8"/>
  <c r="J26" i="8"/>
  <c r="I16" i="8"/>
  <c r="I15" i="2" s="1"/>
  <c r="I28" i="2" s="1"/>
  <c r="K28" i="110"/>
  <c r="K47" i="110" s="1"/>
  <c r="Q71" i="110" s="1"/>
  <c r="G47" i="110"/>
  <c r="W55" i="410"/>
  <c r="I180" i="2"/>
  <c r="AL33" i="409"/>
  <c r="K12" i="110"/>
  <c r="G43" i="110"/>
  <c r="W36" i="410"/>
  <c r="I8" i="8"/>
  <c r="I5" i="2"/>
  <c r="D23" i="110"/>
  <c r="D24" i="110" s="1"/>
  <c r="D46" i="110" s="1"/>
  <c r="AK37" i="409"/>
  <c r="C9" i="8"/>
  <c r="C8" i="2"/>
  <c r="C10" i="2"/>
  <c r="L24" i="110"/>
  <c r="L46" i="110" s="1"/>
  <c r="H46" i="110"/>
  <c r="H32" i="2"/>
  <c r="K24" i="110"/>
  <c r="K46" i="110" s="1"/>
  <c r="Q70" i="110" s="1"/>
  <c r="G46" i="110"/>
  <c r="M65" i="2"/>
  <c r="L46" i="2"/>
  <c r="L107" i="2" s="1"/>
  <c r="L342" i="2" s="1"/>
  <c r="J9" i="8"/>
  <c r="J8" i="2"/>
  <c r="J10" i="2"/>
  <c r="K9" i="2"/>
  <c r="E338" i="2"/>
  <c r="E339" i="2" s="1"/>
  <c r="E345" i="2" s="1"/>
  <c r="AH15" i="409" s="1"/>
  <c r="D48" i="2"/>
  <c r="D51" i="2" s="1"/>
  <c r="D329" i="2"/>
  <c r="D331" i="2" s="1"/>
  <c r="D334" i="2" s="1"/>
  <c r="D337" i="2"/>
  <c r="I37" i="8"/>
  <c r="J27" i="8"/>
  <c r="I47" i="8"/>
  <c r="I17" i="8"/>
  <c r="I16" i="2" s="1"/>
  <c r="I29" i="2" s="1"/>
  <c r="W57" i="410"/>
  <c r="D10" i="8"/>
  <c r="W29" i="410"/>
  <c r="D9" i="646"/>
  <c r="AJ14" i="409"/>
  <c r="J27" i="2"/>
  <c r="AL34" i="409"/>
  <c r="D12" i="110"/>
  <c r="L12" i="110" s="1"/>
  <c r="H43" i="110"/>
  <c r="I10" i="8"/>
  <c r="U26" i="410"/>
  <c r="G16" i="110" s="1"/>
  <c r="F43" i="110"/>
  <c r="K29" i="209"/>
  <c r="K19" i="209"/>
  <c r="K28" i="209" s="1"/>
  <c r="G29" i="209"/>
  <c r="E52" i="2"/>
  <c r="E53" i="2"/>
  <c r="E103" i="2"/>
  <c r="E115" i="2" s="1"/>
  <c r="E133" i="2" s="1"/>
  <c r="E135" i="2" s="1"/>
  <c r="AH16" i="409"/>
  <c r="D8" i="8"/>
  <c r="D5" i="2"/>
  <c r="F45" i="110"/>
  <c r="G338" i="2"/>
  <c r="G339" i="2"/>
  <c r="G345" i="2" s="1"/>
  <c r="AJ15" i="409" s="1"/>
  <c r="W26" i="410"/>
  <c r="I206" i="2"/>
  <c r="I207" i="2"/>
  <c r="G52" i="2"/>
  <c r="G53" i="2"/>
  <c r="G103" i="2"/>
  <c r="G115" i="2" s="1"/>
  <c r="G133" i="2" s="1"/>
  <c r="G135" i="2" s="1"/>
  <c r="H100" i="2" s="1"/>
  <c r="AJ16" i="409"/>
  <c r="E301" i="2"/>
  <c r="E304" i="2" s="1"/>
  <c r="F5" i="8"/>
  <c r="F5" i="1"/>
  <c r="M5" i="1" s="1"/>
  <c r="F23" i="2"/>
  <c r="F98" i="2"/>
  <c r="F60" i="2"/>
  <c r="F139" i="2"/>
  <c r="AI13" i="409"/>
  <c r="AI32" i="409"/>
  <c r="W28" i="410"/>
  <c r="I257" i="2"/>
  <c r="I259" i="2" s="1"/>
  <c r="J256" i="2" s="1"/>
  <c r="I258" i="2"/>
  <c r="J10" i="45"/>
  <c r="J11" i="45"/>
  <c r="I39" i="8"/>
  <c r="I49" i="8"/>
  <c r="J29" i="8"/>
  <c r="I19" i="8"/>
  <c r="I18" i="2" s="1"/>
  <c r="I31" i="2" s="1"/>
  <c r="K24" i="8"/>
  <c r="J34" i="8"/>
  <c r="J44" i="8"/>
  <c r="J14" i="8"/>
  <c r="J13" i="2" s="1"/>
  <c r="J26" i="2" s="1"/>
  <c r="L25" i="8"/>
  <c r="K45" i="8"/>
  <c r="K35" i="8"/>
  <c r="K15" i="8"/>
  <c r="K14" i="2" s="1"/>
  <c r="W38" i="410"/>
  <c r="H47" i="110"/>
  <c r="L28" i="110"/>
  <c r="L47" i="110" s="1"/>
  <c r="D19" i="110"/>
  <c r="D20" i="110" s="1"/>
  <c r="D45" i="110" s="1"/>
  <c r="AK38" i="409"/>
  <c r="AK39" i="409" s="1"/>
  <c r="B215" i="2"/>
  <c r="B216" i="2" s="1"/>
  <c r="B217" i="2" s="1"/>
  <c r="B218" i="2" s="1"/>
  <c r="B219" i="2" s="1"/>
  <c r="B220" i="2" s="1"/>
  <c r="B221" i="2" s="1"/>
  <c r="B222" i="2" s="1"/>
  <c r="B223" i="2" s="1"/>
  <c r="B224" i="2" s="1"/>
  <c r="B225" i="2" s="1"/>
  <c r="B156" i="2"/>
  <c r="B157" i="2" s="1"/>
  <c r="B158" i="2" s="1"/>
  <c r="B159" i="2" s="1"/>
  <c r="B160" i="2" s="1"/>
  <c r="B161" i="2" s="1"/>
  <c r="B162" i="2" s="1"/>
  <c r="B163" i="2" s="1"/>
  <c r="B164" i="2" s="1"/>
  <c r="B165" i="2" s="1"/>
  <c r="B166" i="2" s="1"/>
  <c r="B183" i="2"/>
  <c r="B184" i="2" s="1"/>
  <c r="B185" i="2" s="1"/>
  <c r="B186" i="2" s="1"/>
  <c r="B187" i="2" s="1"/>
  <c r="B188" i="2" s="1"/>
  <c r="B189" i="2" s="1"/>
  <c r="B190" i="2" s="1"/>
  <c r="B191" i="2" s="1"/>
  <c r="B192" i="2" s="1"/>
  <c r="B193" i="2" s="1"/>
  <c r="B266" i="2"/>
  <c r="B267" i="2" s="1"/>
  <c r="B268" i="2" s="1"/>
  <c r="B269" i="2" s="1"/>
  <c r="B270" i="2" s="1"/>
  <c r="B271" i="2" s="1"/>
  <c r="B272" i="2" s="1"/>
  <c r="B273" i="2" s="1"/>
  <c r="B274" i="2" s="1"/>
  <c r="B275" i="2" s="1"/>
  <c r="B276" i="2" s="1"/>
  <c r="H44" i="110"/>
  <c r="L16" i="110"/>
  <c r="L44" i="110" s="1"/>
  <c r="W46" i="410"/>
  <c r="W45" i="410"/>
  <c r="W48" i="410"/>
  <c r="W47" i="410"/>
  <c r="L43" i="110" l="1"/>
  <c r="L48" i="110" s="1"/>
  <c r="H48" i="110" s="1"/>
  <c r="AM33" i="409"/>
  <c r="AL38" i="409"/>
  <c r="I32" i="2"/>
  <c r="J257" i="2"/>
  <c r="L24" i="8"/>
  <c r="K34" i="8"/>
  <c r="K44" i="8"/>
  <c r="K14" i="8"/>
  <c r="K13" i="2" s="1"/>
  <c r="K26" i="2" s="1"/>
  <c r="K12" i="45"/>
  <c r="K10" i="45"/>
  <c r="K11" i="45" s="1"/>
  <c r="C8" i="8"/>
  <c r="C10" i="8" s="1"/>
  <c r="C5" i="2"/>
  <c r="L9" i="646"/>
  <c r="L12" i="646" s="1"/>
  <c r="L15" i="646" s="1"/>
  <c r="K9" i="646"/>
  <c r="K12" i="646" s="1"/>
  <c r="K15" i="646" s="1"/>
  <c r="J9" i="646"/>
  <c r="J12" i="646" s="1"/>
  <c r="J15" i="646" s="1"/>
  <c r="M46" i="2"/>
  <c r="M107" i="2" s="1"/>
  <c r="M342" i="2" s="1"/>
  <c r="N65" i="2"/>
  <c r="K43" i="110"/>
  <c r="J64" i="2"/>
  <c r="K143" i="2"/>
  <c r="K29" i="8"/>
  <c r="J49" i="8"/>
  <c r="J39" i="8"/>
  <c r="J19" i="8"/>
  <c r="J18" i="2" s="1"/>
  <c r="J31" i="2" s="1"/>
  <c r="J20" i="110"/>
  <c r="J45" i="110" s="1"/>
  <c r="AL35" i="409"/>
  <c r="L38" i="45"/>
  <c r="K38" i="45" s="1"/>
  <c r="N38" i="45"/>
  <c r="O38" i="45" s="1"/>
  <c r="Q29" i="209"/>
  <c r="Q30" i="209" s="1"/>
  <c r="R29" i="209"/>
  <c r="R30" i="209" s="1"/>
  <c r="D43" i="110"/>
  <c r="D48" i="110" s="1"/>
  <c r="D31" i="110"/>
  <c r="AL37" i="409"/>
  <c r="J36" i="8"/>
  <c r="J46" i="8"/>
  <c r="K26" i="8"/>
  <c r="J16" i="8"/>
  <c r="J15" i="2" s="1"/>
  <c r="J28" i="2" s="1"/>
  <c r="I246" i="2"/>
  <c r="D5" i="8"/>
  <c r="D5" i="1"/>
  <c r="K5" i="1" s="1"/>
  <c r="D23" i="2"/>
  <c r="D139" i="2"/>
  <c r="D60" i="2"/>
  <c r="D98" i="2"/>
  <c r="AL36" i="409"/>
  <c r="L45" i="8"/>
  <c r="L35" i="8"/>
  <c r="M25" i="8"/>
  <c r="L15" i="8"/>
  <c r="L14" i="2" s="1"/>
  <c r="K9" i="8"/>
  <c r="L9" i="2"/>
  <c r="K10" i="2"/>
  <c r="K8" i="2"/>
  <c r="H39" i="2"/>
  <c r="U39" i="2" s="1"/>
  <c r="H19" i="2"/>
  <c r="H20" i="8" s="1"/>
  <c r="H41" i="2"/>
  <c r="U41" i="2" s="1"/>
  <c r="H38" i="2"/>
  <c r="U38" i="2" s="1"/>
  <c r="H40" i="2"/>
  <c r="U40" i="2" s="1"/>
  <c r="H150" i="2"/>
  <c r="H67" i="2"/>
  <c r="H111" i="2" s="1"/>
  <c r="H35" i="2"/>
  <c r="H244" i="2"/>
  <c r="H178" i="2"/>
  <c r="H79" i="2"/>
  <c r="H114" i="2" s="1"/>
  <c r="H78" i="2"/>
  <c r="H113" i="2" s="1"/>
  <c r="D338" i="2"/>
  <c r="D339" i="2" s="1"/>
  <c r="D345" i="2" s="1"/>
  <c r="K28" i="8"/>
  <c r="J38" i="8"/>
  <c r="J48" i="8"/>
  <c r="J18" i="8"/>
  <c r="J17" i="2" s="1"/>
  <c r="J30" i="2" s="1"/>
  <c r="D52" i="2"/>
  <c r="D103" i="2"/>
  <c r="D115" i="2" s="1"/>
  <c r="D133" i="2" s="1"/>
  <c r="D135" i="2" s="1"/>
  <c r="D53" i="2"/>
  <c r="F301" i="2"/>
  <c r="F304" i="2" s="1"/>
  <c r="I208" i="2"/>
  <c r="J205" i="2" s="1"/>
  <c r="J12" i="110"/>
  <c r="K27" i="2"/>
  <c r="AM34" i="409"/>
  <c r="K27" i="8"/>
  <c r="J37" i="8"/>
  <c r="J47" i="8"/>
  <c r="J17" i="8"/>
  <c r="J16" i="2" s="1"/>
  <c r="J29" i="2" s="1"/>
  <c r="I5" i="8"/>
  <c r="F5" i="45" s="1"/>
  <c r="I60" i="2"/>
  <c r="I98" i="2"/>
  <c r="I23" i="2"/>
  <c r="I139" i="2"/>
  <c r="AL13" i="409"/>
  <c r="AL32" i="409"/>
  <c r="J180" i="2"/>
  <c r="K180" i="2" s="1"/>
  <c r="K20" i="110"/>
  <c r="K45" i="110" s="1"/>
  <c r="Q69" i="110" s="1"/>
  <c r="J12" i="45"/>
  <c r="E324" i="2"/>
  <c r="K16" i="110"/>
  <c r="K44" i="110" s="1"/>
  <c r="Q68" i="110" s="1"/>
  <c r="G44" i="110"/>
  <c r="J8" i="8"/>
  <c r="J10" i="8" s="1"/>
  <c r="J5" i="2"/>
  <c r="L20" i="110"/>
  <c r="L45" i="110" s="1"/>
  <c r="AL39" i="409" l="1"/>
  <c r="AN33" i="409"/>
  <c r="J259" i="2"/>
  <c r="K256" i="2" s="1"/>
  <c r="AM36" i="409"/>
  <c r="AM37" i="409"/>
  <c r="J5" i="8"/>
  <c r="G5" i="45" s="1"/>
  <c r="J23" i="2"/>
  <c r="J60" i="2"/>
  <c r="J98" i="2"/>
  <c r="J139" i="2"/>
  <c r="AM32" i="409"/>
  <c r="AM13" i="409"/>
  <c r="C5" i="8"/>
  <c r="C23" i="2"/>
  <c r="C5" i="1"/>
  <c r="J5" i="1" s="1"/>
  <c r="C60" i="2"/>
  <c r="C139" i="2"/>
  <c r="C98" i="2"/>
  <c r="AM38" i="409"/>
  <c r="K31" i="110"/>
  <c r="L44" i="8"/>
  <c r="M24" i="8"/>
  <c r="L34" i="8"/>
  <c r="L14" i="8"/>
  <c r="L13" i="2" s="1"/>
  <c r="L26" i="2" s="1"/>
  <c r="I153" i="2"/>
  <c r="H118" i="2"/>
  <c r="H156" i="2"/>
  <c r="L27" i="8"/>
  <c r="K47" i="8"/>
  <c r="K37" i="8"/>
  <c r="K17" i="8"/>
  <c r="K16" i="2" s="1"/>
  <c r="K29" i="2" s="1"/>
  <c r="L27" i="2"/>
  <c r="AN34" i="409"/>
  <c r="H212" i="2"/>
  <c r="H183" i="2"/>
  <c r="H194" i="2" s="1"/>
  <c r="H196" i="2" s="1"/>
  <c r="H198" i="2" s="1"/>
  <c r="I177" i="2" s="1"/>
  <c r="AM35" i="409"/>
  <c r="L9" i="8"/>
  <c r="L8" i="2"/>
  <c r="L10" i="2"/>
  <c r="M9" i="2"/>
  <c r="K48" i="110"/>
  <c r="Q67" i="110"/>
  <c r="L180" i="2"/>
  <c r="J31" i="110"/>
  <c r="J43" i="110"/>
  <c r="J48" i="110" s="1"/>
  <c r="F48" i="110" s="1"/>
  <c r="L26" i="8"/>
  <c r="K36" i="8"/>
  <c r="K46" i="8"/>
  <c r="K16" i="8"/>
  <c r="K15" i="2" s="1"/>
  <c r="K28" i="2" s="1"/>
  <c r="O65" i="2"/>
  <c r="N46" i="2"/>
  <c r="N107" i="2" s="1"/>
  <c r="N342" i="2" s="1"/>
  <c r="J258" i="2"/>
  <c r="J32" i="2"/>
  <c r="J206" i="2"/>
  <c r="J207" i="2"/>
  <c r="H263" i="2"/>
  <c r="M35" i="8"/>
  <c r="N25" i="8"/>
  <c r="M45" i="8"/>
  <c r="M15" i="8"/>
  <c r="M14" i="2" s="1"/>
  <c r="L10" i="45"/>
  <c r="L11" i="45"/>
  <c r="L12" i="45"/>
  <c r="G301" i="2"/>
  <c r="G304" i="2" s="1"/>
  <c r="G324" i="2" s="1"/>
  <c r="K48" i="8"/>
  <c r="K38" i="8"/>
  <c r="L28" i="8"/>
  <c r="K18" i="8"/>
  <c r="K17" i="2" s="1"/>
  <c r="K30" i="2" s="1"/>
  <c r="U35" i="2"/>
  <c r="H66" i="2"/>
  <c r="H110" i="2" s="1"/>
  <c r="K39" i="8"/>
  <c r="L29" i="8"/>
  <c r="K49" i="8"/>
  <c r="K19" i="8"/>
  <c r="K18" i="2" s="1"/>
  <c r="K31" i="2" s="1"/>
  <c r="F324" i="2"/>
  <c r="K8" i="8"/>
  <c r="K10" i="8" s="1"/>
  <c r="K5" i="2"/>
  <c r="K64" i="2"/>
  <c r="L143" i="2"/>
  <c r="I38" i="2"/>
  <c r="I41" i="2"/>
  <c r="I40" i="2"/>
  <c r="I39" i="2"/>
  <c r="I19" i="2"/>
  <c r="I20" i="8" s="1"/>
  <c r="I67" i="2"/>
  <c r="I111" i="2" s="1"/>
  <c r="I78" i="2"/>
  <c r="I113" i="2" s="1"/>
  <c r="I79" i="2"/>
  <c r="I114" i="2" s="1"/>
  <c r="I35" i="2"/>
  <c r="I244" i="2"/>
  <c r="I263" i="2" s="1"/>
  <c r="I267" i="2" s="1"/>
  <c r="I150" i="2"/>
  <c r="I178" i="2"/>
  <c r="L31" i="110"/>
  <c r="AM39" i="409" l="1"/>
  <c r="AN36" i="409"/>
  <c r="F22" i="143"/>
  <c r="AO33" i="409"/>
  <c r="AN37" i="409"/>
  <c r="AN38" i="409"/>
  <c r="L47" i="8"/>
  <c r="L37" i="8"/>
  <c r="M27" i="8"/>
  <c r="L17" i="8"/>
  <c r="L16" i="2" s="1"/>
  <c r="L29" i="2" s="1"/>
  <c r="L64" i="2"/>
  <c r="M143" i="2"/>
  <c r="J40" i="2"/>
  <c r="J19" i="2"/>
  <c r="J20" i="8" s="1"/>
  <c r="J39" i="2"/>
  <c r="J41" i="2"/>
  <c r="J67" i="2"/>
  <c r="J111" i="2" s="1"/>
  <c r="J78" i="2"/>
  <c r="J113" i="2" s="1"/>
  <c r="J79" i="2"/>
  <c r="J114" i="2" s="1"/>
  <c r="J38" i="2"/>
  <c r="J178" i="2"/>
  <c r="J35" i="2"/>
  <c r="J244" i="2"/>
  <c r="J263" i="2" s="1"/>
  <c r="J268" i="2" s="1"/>
  <c r="J150" i="2"/>
  <c r="L36" i="8"/>
  <c r="M26" i="8"/>
  <c r="L46" i="8"/>
  <c r="L16" i="8"/>
  <c r="L15" i="2" s="1"/>
  <c r="L28" i="2" s="1"/>
  <c r="L8" i="8"/>
  <c r="L5" i="2"/>
  <c r="H215" i="2"/>
  <c r="H31" i="110"/>
  <c r="L34" i="110"/>
  <c r="H301" i="2"/>
  <c r="H304" i="2" s="1"/>
  <c r="J246" i="2"/>
  <c r="L10" i="8"/>
  <c r="H167" i="2"/>
  <c r="H169" i="2" s="1"/>
  <c r="I156" i="2"/>
  <c r="N24" i="8"/>
  <c r="M44" i="8"/>
  <c r="M34" i="8"/>
  <c r="M14" i="8"/>
  <c r="M13" i="2" s="1"/>
  <c r="M26" i="2" s="1"/>
  <c r="I184" i="2"/>
  <c r="J184" i="2" s="1"/>
  <c r="I212" i="2"/>
  <c r="I216" i="2" s="1"/>
  <c r="J216" i="2" s="1"/>
  <c r="H266" i="2"/>
  <c r="O46" i="2"/>
  <c r="O107" i="2" s="1"/>
  <c r="O342" i="2" s="1"/>
  <c r="P65" i="2"/>
  <c r="N180" i="2"/>
  <c r="AN35" i="409"/>
  <c r="M180" i="2"/>
  <c r="I183" i="2"/>
  <c r="K34" i="110"/>
  <c r="G31" i="110"/>
  <c r="J153" i="2"/>
  <c r="J267" i="2"/>
  <c r="J183" i="2"/>
  <c r="K5" i="8"/>
  <c r="H5" i="45" s="1"/>
  <c r="K23" i="2"/>
  <c r="K60" i="2"/>
  <c r="K139" i="2"/>
  <c r="AN13" i="409"/>
  <c r="K98" i="2"/>
  <c r="AN32" i="409"/>
  <c r="M27" i="2"/>
  <c r="AO34" i="409"/>
  <c r="I118" i="2"/>
  <c r="I157" i="2"/>
  <c r="J157" i="2" s="1"/>
  <c r="K157" i="2" s="1"/>
  <c r="J208" i="2"/>
  <c r="K205" i="2" s="1"/>
  <c r="K257" i="2"/>
  <c r="K258" i="2"/>
  <c r="K259" i="2" s="1"/>
  <c r="L256" i="2" s="1"/>
  <c r="J34" i="110"/>
  <c r="F31" i="110"/>
  <c r="H122" i="2"/>
  <c r="H291" i="2" s="1"/>
  <c r="H343" i="2"/>
  <c r="L38" i="8"/>
  <c r="M28" i="8"/>
  <c r="L48" i="8"/>
  <c r="L18" i="8"/>
  <c r="L17" i="2" s="1"/>
  <c r="L30" i="2" s="1"/>
  <c r="Q72" i="110"/>
  <c r="G48" i="110"/>
  <c r="M10" i="45"/>
  <c r="I66" i="2"/>
  <c r="I110" i="2" s="1"/>
  <c r="O180" i="2"/>
  <c r="N9" i="2"/>
  <c r="M9" i="8"/>
  <c r="M8" i="2"/>
  <c r="L39" i="8"/>
  <c r="L49" i="8"/>
  <c r="M29" i="8"/>
  <c r="L19" i="8"/>
  <c r="L18" i="2" s="1"/>
  <c r="L31" i="2" s="1"/>
  <c r="O25" i="8"/>
  <c r="N45" i="8"/>
  <c r="N35" i="8"/>
  <c r="N15" i="8"/>
  <c r="N14" i="2" s="1"/>
  <c r="K32" i="2"/>
  <c r="AN39" i="409" l="1"/>
  <c r="N27" i="2"/>
  <c r="AO38" i="409"/>
  <c r="AO36" i="409"/>
  <c r="L32" i="2"/>
  <c r="L257" i="2"/>
  <c r="L258" i="2"/>
  <c r="L259" i="2" s="1"/>
  <c r="M256" i="2" s="1"/>
  <c r="H105" i="2"/>
  <c r="H171" i="2"/>
  <c r="H226" i="2"/>
  <c r="I215" i="2"/>
  <c r="N9" i="8"/>
  <c r="O9" i="2"/>
  <c r="N10" i="2"/>
  <c r="N8" i="2"/>
  <c r="I122" i="2"/>
  <c r="I291" i="2" s="1"/>
  <c r="I343" i="2"/>
  <c r="AO37" i="409"/>
  <c r="J118" i="2"/>
  <c r="J158" i="2"/>
  <c r="K158" i="2" s="1"/>
  <c r="L158" i="2" s="1"/>
  <c r="N27" i="8"/>
  <c r="M47" i="8"/>
  <c r="M37" i="8"/>
  <c r="M17" i="8"/>
  <c r="M16" i="2" s="1"/>
  <c r="M29" i="2" s="1"/>
  <c r="J66" i="2"/>
  <c r="J110" i="2" s="1"/>
  <c r="P180" i="2"/>
  <c r="Q180" i="2" s="1"/>
  <c r="R180" i="2" s="1"/>
  <c r="Q65" i="2"/>
  <c r="P46" i="2"/>
  <c r="P107" i="2" s="1"/>
  <c r="P342" i="2" s="1"/>
  <c r="I301" i="2"/>
  <c r="I304" i="2" s="1"/>
  <c r="J185" i="2"/>
  <c r="K185" i="2" s="1"/>
  <c r="J212" i="2"/>
  <c r="J217" i="2" s="1"/>
  <c r="K217" i="2" s="1"/>
  <c r="J37" i="110"/>
  <c r="J56" i="110" s="1"/>
  <c r="J52" i="110"/>
  <c r="K19" i="2"/>
  <c r="K20" i="8" s="1"/>
  <c r="K35" i="2"/>
  <c r="K39" i="2"/>
  <c r="K41" i="2"/>
  <c r="K67" i="2"/>
  <c r="K111" i="2" s="1"/>
  <c r="K78" i="2"/>
  <c r="K113" i="2" s="1"/>
  <c r="K79" i="2"/>
  <c r="K114" i="2" s="1"/>
  <c r="K40" i="2"/>
  <c r="K178" i="2"/>
  <c r="K38" i="2"/>
  <c r="K150" i="2"/>
  <c r="K244" i="2"/>
  <c r="K263" i="2" s="1"/>
  <c r="K269" i="2" s="1"/>
  <c r="K246" i="2"/>
  <c r="L5" i="8"/>
  <c r="I5" i="45" s="1"/>
  <c r="L23" i="2"/>
  <c r="L139" i="2"/>
  <c r="L98" i="2"/>
  <c r="L60" i="2"/>
  <c r="L157" i="2"/>
  <c r="AO13" i="409"/>
  <c r="AO32" i="409"/>
  <c r="N10" i="45"/>
  <c r="N11" i="45" s="1"/>
  <c r="N12" i="45"/>
  <c r="M11" i="45"/>
  <c r="N28" i="8"/>
  <c r="M38" i="8"/>
  <c r="M48" i="8"/>
  <c r="M18" i="8"/>
  <c r="M17" i="2" s="1"/>
  <c r="M30" i="2" s="1"/>
  <c r="K52" i="110"/>
  <c r="K37" i="110"/>
  <c r="K56" i="110" s="1"/>
  <c r="Q19" i="209"/>
  <c r="Q21" i="209" s="1"/>
  <c r="Q32" i="209" s="1"/>
  <c r="R19" i="209"/>
  <c r="R21" i="209" s="1"/>
  <c r="R32" i="209" s="1"/>
  <c r="H44" i="2"/>
  <c r="AO35" i="409"/>
  <c r="M8" i="8"/>
  <c r="M5" i="2"/>
  <c r="M12" i="45"/>
  <c r="K206" i="2"/>
  <c r="K207" i="2"/>
  <c r="I194" i="2"/>
  <c r="I196" i="2" s="1"/>
  <c r="I198" i="2" s="1"/>
  <c r="J177" i="2" s="1"/>
  <c r="N44" i="8"/>
  <c r="N34" i="8"/>
  <c r="O24" i="8"/>
  <c r="N14" i="8"/>
  <c r="N13" i="2" s="1"/>
  <c r="N26" i="2" s="1"/>
  <c r="K183" i="2"/>
  <c r="K184" i="2"/>
  <c r="K153" i="2"/>
  <c r="K267" i="2"/>
  <c r="K268" i="2"/>
  <c r="K216" i="2"/>
  <c r="N29" i="8"/>
  <c r="M49" i="8"/>
  <c r="M39" i="8"/>
  <c r="M19" i="8"/>
  <c r="M18" i="2" s="1"/>
  <c r="M31" i="2" s="1"/>
  <c r="M10" i="2"/>
  <c r="O35" i="8"/>
  <c r="P25" i="8"/>
  <c r="O45" i="8"/>
  <c r="O15" i="8"/>
  <c r="O14" i="2" s="1"/>
  <c r="M10" i="8"/>
  <c r="H277" i="2"/>
  <c r="H279" i="2" s="1"/>
  <c r="I266" i="2"/>
  <c r="I167" i="2"/>
  <c r="I169" i="2" s="1"/>
  <c r="J156" i="2"/>
  <c r="L52" i="110"/>
  <c r="L37" i="110"/>
  <c r="L56" i="110" s="1"/>
  <c r="M36" i="8"/>
  <c r="M46" i="8"/>
  <c r="N26" i="8"/>
  <c r="M16" i="8"/>
  <c r="M15" i="2" s="1"/>
  <c r="M28" i="2" s="1"/>
  <c r="M64" i="2"/>
  <c r="N143" i="2"/>
  <c r="O27" i="2" l="1"/>
  <c r="AO39" i="409"/>
  <c r="M257" i="2"/>
  <c r="M259" i="2" s="1"/>
  <c r="N256" i="2" s="1"/>
  <c r="M258" i="2"/>
  <c r="O8" i="2"/>
  <c r="O9" i="8"/>
  <c r="P9" i="2"/>
  <c r="Q25" i="8"/>
  <c r="P35" i="8"/>
  <c r="P45" i="8"/>
  <c r="P15" i="8"/>
  <c r="P14" i="2" s="1"/>
  <c r="J122" i="2"/>
  <c r="J291" i="2" s="1"/>
  <c r="J343" i="2"/>
  <c r="L246" i="2"/>
  <c r="N49" i="8"/>
  <c r="O29" i="8"/>
  <c r="N39" i="8"/>
  <c r="N19" i="8"/>
  <c r="N18" i="2" s="1"/>
  <c r="N31" i="2" s="1"/>
  <c r="I226" i="2"/>
  <c r="I236" i="2" s="1"/>
  <c r="I126" i="2" s="1"/>
  <c r="J215" i="2"/>
  <c r="L38" i="2"/>
  <c r="L41" i="2"/>
  <c r="L40" i="2"/>
  <c r="L19" i="2"/>
  <c r="L20" i="8" s="1"/>
  <c r="L39" i="2"/>
  <c r="L35" i="2"/>
  <c r="L67" i="2"/>
  <c r="L111" i="2" s="1"/>
  <c r="L78" i="2"/>
  <c r="L113" i="2" s="1"/>
  <c r="L79" i="2"/>
  <c r="L114" i="2" s="1"/>
  <c r="L178" i="2"/>
  <c r="L244" i="2"/>
  <c r="L263" i="2" s="1"/>
  <c r="L270" i="2" s="1"/>
  <c r="L150" i="2"/>
  <c r="N38" i="8"/>
  <c r="O28" i="8"/>
  <c r="N48" i="8"/>
  <c r="N18" i="8"/>
  <c r="N17" i="2" s="1"/>
  <c r="N30" i="2" s="1"/>
  <c r="K208" i="2"/>
  <c r="L205" i="2" s="1"/>
  <c r="O44" i="8"/>
  <c r="O34" i="8"/>
  <c r="P24" i="8"/>
  <c r="O14" i="8"/>
  <c r="O13" i="2" s="1"/>
  <c r="O26" i="2" s="1"/>
  <c r="M5" i="8"/>
  <c r="J5" i="45" s="1"/>
  <c r="M23" i="2"/>
  <c r="M60" i="2"/>
  <c r="M98" i="2"/>
  <c r="M139" i="2"/>
  <c r="M157" i="2"/>
  <c r="M158" i="2"/>
  <c r="J194" i="2"/>
  <c r="J196" i="2" s="1"/>
  <c r="J198" i="2" s="1"/>
  <c r="K177" i="2" s="1"/>
  <c r="H199" i="2"/>
  <c r="H69" i="2" s="1"/>
  <c r="I149" i="2"/>
  <c r="I171" i="2" s="1"/>
  <c r="Q46" i="2"/>
  <c r="Q107" i="2" s="1"/>
  <c r="Q342" i="2" s="1"/>
  <c r="R65" i="2"/>
  <c r="R46" i="2" s="1"/>
  <c r="R107" i="2" s="1"/>
  <c r="R342" i="2" s="1"/>
  <c r="J167" i="2"/>
  <c r="J169" i="2" s="1"/>
  <c r="K156" i="2"/>
  <c r="I105" i="2"/>
  <c r="O10" i="45"/>
  <c r="O12" i="45" s="1"/>
  <c r="O11" i="45"/>
  <c r="K118" i="2"/>
  <c r="K159" i="2"/>
  <c r="L159" i="2" s="1"/>
  <c r="M159" i="2" s="1"/>
  <c r="H228" i="2"/>
  <c r="H229" i="2" s="1"/>
  <c r="H236" i="2"/>
  <c r="H126" i="2" s="1"/>
  <c r="O26" i="8"/>
  <c r="N46" i="8"/>
  <c r="N36" i="8"/>
  <c r="N16" i="8"/>
  <c r="N15" i="2" s="1"/>
  <c r="N28" i="2" s="1"/>
  <c r="H247" i="2"/>
  <c r="H248" i="2" s="1"/>
  <c r="H250" i="2" s="1"/>
  <c r="H285" i="2"/>
  <c r="H37" i="2" s="1"/>
  <c r="H36" i="2" s="1"/>
  <c r="H280" i="2"/>
  <c r="L183" i="2"/>
  <c r="L216" i="2"/>
  <c r="L268" i="2"/>
  <c r="L184" i="2"/>
  <c r="L217" i="2"/>
  <c r="L153" i="2"/>
  <c r="L185" i="2"/>
  <c r="L269" i="2"/>
  <c r="L267" i="2"/>
  <c r="J301" i="2"/>
  <c r="J304" i="2" s="1"/>
  <c r="H330" i="2"/>
  <c r="H340" i="2"/>
  <c r="R33" i="209"/>
  <c r="N64" i="2"/>
  <c r="O143" i="2"/>
  <c r="I277" i="2"/>
  <c r="J266" i="2"/>
  <c r="M32" i="2"/>
  <c r="K186" i="2"/>
  <c r="L186" i="2" s="1"/>
  <c r="K212" i="2"/>
  <c r="K218" i="2" s="1"/>
  <c r="L218" i="2" s="1"/>
  <c r="K66" i="2"/>
  <c r="K110" i="2" s="1"/>
  <c r="N47" i="8"/>
  <c r="N37" i="8"/>
  <c r="O27" i="8"/>
  <c r="N17" i="8"/>
  <c r="N16" i="2" s="1"/>
  <c r="N29" i="2" s="1"/>
  <c r="N8" i="8"/>
  <c r="N10" i="8" s="1"/>
  <c r="N5" i="2"/>
  <c r="K194" i="2" l="1"/>
  <c r="K196" i="2" s="1"/>
  <c r="K198" i="2" s="1"/>
  <c r="L177" i="2" s="1"/>
  <c r="P27" i="2"/>
  <c r="N32" i="2"/>
  <c r="N257" i="2"/>
  <c r="N258" i="2" s="1"/>
  <c r="H70" i="2"/>
  <c r="I243" i="2"/>
  <c r="L212" i="2"/>
  <c r="L219" i="2" s="1"/>
  <c r="M219" i="2" s="1"/>
  <c r="L187" i="2"/>
  <c r="M187" i="2" s="1"/>
  <c r="M186" i="2"/>
  <c r="M183" i="2"/>
  <c r="M216" i="2"/>
  <c r="M184" i="2"/>
  <c r="M153" i="2"/>
  <c r="M218" i="2"/>
  <c r="M185" i="2"/>
  <c r="M217" i="2"/>
  <c r="M269" i="2"/>
  <c r="M268" i="2"/>
  <c r="M270" i="2"/>
  <c r="M267" i="2"/>
  <c r="P28" i="8"/>
  <c r="O38" i="8"/>
  <c r="O48" i="8"/>
  <c r="O18" i="8"/>
  <c r="O17" i="2" s="1"/>
  <c r="O30" i="2" s="1"/>
  <c r="O64" i="2"/>
  <c r="P143" i="2"/>
  <c r="K301" i="2"/>
  <c r="K304" i="2" s="1"/>
  <c r="K122" i="2"/>
  <c r="K291" i="2" s="1"/>
  <c r="K343" i="2"/>
  <c r="O5" i="2"/>
  <c r="O8" i="8"/>
  <c r="P44" i="8"/>
  <c r="Q24" i="8"/>
  <c r="P34" i="8"/>
  <c r="P14" i="8"/>
  <c r="P13" i="2" s="1"/>
  <c r="P26" i="2" s="1"/>
  <c r="J149" i="2"/>
  <c r="J171" i="2" s="1"/>
  <c r="I199" i="2"/>
  <c r="I69" i="2" s="1"/>
  <c r="J226" i="2"/>
  <c r="J236" i="2" s="1"/>
  <c r="J126" i="2" s="1"/>
  <c r="K215" i="2"/>
  <c r="J33" i="45"/>
  <c r="F28" i="143"/>
  <c r="W22" i="143" s="1"/>
  <c r="I330" i="2"/>
  <c r="I340" i="2"/>
  <c r="L118" i="2"/>
  <c r="L160" i="2"/>
  <c r="M160" i="2" s="1"/>
  <c r="N160" i="2" s="1"/>
  <c r="M246" i="2"/>
  <c r="M35" i="2"/>
  <c r="M67" i="2"/>
  <c r="M111" i="2" s="1"/>
  <c r="M19" i="2"/>
  <c r="M20" i="8" s="1"/>
  <c r="M40" i="2"/>
  <c r="M79" i="2"/>
  <c r="M114" i="2" s="1"/>
  <c r="M78" i="2"/>
  <c r="M113" i="2" s="1"/>
  <c r="M38" i="2"/>
  <c r="M41" i="2"/>
  <c r="M150" i="2"/>
  <c r="M39" i="2"/>
  <c r="M178" i="2"/>
  <c r="M244" i="2"/>
  <c r="M263" i="2" s="1"/>
  <c r="M271" i="2" s="1"/>
  <c r="I262" i="2"/>
  <c r="H282" i="2"/>
  <c r="H284" i="2" s="1"/>
  <c r="I211" i="2"/>
  <c r="H231" i="2"/>
  <c r="H233" i="2" s="1"/>
  <c r="J105" i="2"/>
  <c r="L206" i="2"/>
  <c r="O10" i="8"/>
  <c r="N5" i="8"/>
  <c r="K5" i="45" s="1"/>
  <c r="N23" i="2"/>
  <c r="N60" i="2"/>
  <c r="N98" i="2"/>
  <c r="N158" i="2"/>
  <c r="N159" i="2"/>
  <c r="N139" i="2"/>
  <c r="N157" i="2"/>
  <c r="O46" i="8"/>
  <c r="P26" i="8"/>
  <c r="O36" i="8"/>
  <c r="O16" i="8"/>
  <c r="O15" i="2" s="1"/>
  <c r="O28" i="2" s="1"/>
  <c r="L66" i="2"/>
  <c r="L110" i="2" s="1"/>
  <c r="R25" i="8"/>
  <c r="Q45" i="8"/>
  <c r="Q35" i="8"/>
  <c r="Q15" i="8"/>
  <c r="Q14" i="2" s="1"/>
  <c r="K167" i="2"/>
  <c r="K169" i="2" s="1"/>
  <c r="K105" i="2" s="1"/>
  <c r="L156" i="2"/>
  <c r="P9" i="8"/>
  <c r="P8" i="2"/>
  <c r="Q9" i="2"/>
  <c r="O37" i="8"/>
  <c r="O47" i="8"/>
  <c r="P27" i="8"/>
  <c r="O17" i="8"/>
  <c r="O16" i="2" s="1"/>
  <c r="O29" i="2" s="1"/>
  <c r="J277" i="2"/>
  <c r="K266" i="2"/>
  <c r="H106" i="2"/>
  <c r="U36" i="2"/>
  <c r="H77" i="2"/>
  <c r="H42" i="2"/>
  <c r="H43" i="2" s="1"/>
  <c r="P29" i="8"/>
  <c r="O39" i="8"/>
  <c r="O49" i="8"/>
  <c r="O19" i="8"/>
  <c r="O18" i="2" s="1"/>
  <c r="O31" i="2" s="1"/>
  <c r="O10" i="2"/>
  <c r="L194" i="2" l="1"/>
  <c r="L196" i="2" s="1"/>
  <c r="L198" i="2" s="1"/>
  <c r="M177" i="2" s="1"/>
  <c r="Q27" i="2"/>
  <c r="O32" i="2"/>
  <c r="N246" i="2"/>
  <c r="N185" i="2"/>
  <c r="N186" i="2"/>
  <c r="N187" i="2"/>
  <c r="N267" i="2"/>
  <c r="N183" i="2"/>
  <c r="N216" i="2"/>
  <c r="N184" i="2"/>
  <c r="N217" i="2"/>
  <c r="N219" i="2"/>
  <c r="N270" i="2"/>
  <c r="N269" i="2"/>
  <c r="N268" i="2"/>
  <c r="N218" i="2"/>
  <c r="N271" i="2"/>
  <c r="N153" i="2"/>
  <c r="N259" i="2"/>
  <c r="O256" i="2" s="1"/>
  <c r="I264" i="2"/>
  <c r="I279" i="2" s="1"/>
  <c r="Q28" i="8"/>
  <c r="P48" i="8"/>
  <c r="P38" i="8"/>
  <c r="P18" i="8"/>
  <c r="P17" i="2" s="1"/>
  <c r="P8" i="8"/>
  <c r="P5" i="2"/>
  <c r="J199" i="2"/>
  <c r="J69" i="2" s="1"/>
  <c r="K149" i="2"/>
  <c r="K171" i="2" s="1"/>
  <c r="P49" i="8"/>
  <c r="P39" i="8"/>
  <c r="Q29" i="8"/>
  <c r="P19" i="8"/>
  <c r="P18" i="2" s="1"/>
  <c r="P31" i="2" s="1"/>
  <c r="L167" i="2"/>
  <c r="L169" i="2" s="1"/>
  <c r="M156" i="2"/>
  <c r="H329" i="2"/>
  <c r="H331" i="2" s="1"/>
  <c r="H337" i="2"/>
  <c r="Q27" i="8"/>
  <c r="P37" i="8"/>
  <c r="P47" i="8"/>
  <c r="P17" i="8"/>
  <c r="P16" i="2" s="1"/>
  <c r="P29" i="2" s="1"/>
  <c r="K330" i="2"/>
  <c r="K340" i="2"/>
  <c r="L207" i="2"/>
  <c r="J32" i="45"/>
  <c r="J31" i="45" s="1"/>
  <c r="J34" i="45"/>
  <c r="J35" i="45" s="1"/>
  <c r="L301" i="2"/>
  <c r="L304" i="2" s="1"/>
  <c r="M212" i="2"/>
  <c r="M220" i="2" s="1"/>
  <c r="N220" i="2" s="1"/>
  <c r="M188" i="2"/>
  <c r="M194" i="2" s="1"/>
  <c r="M196" i="2" s="1"/>
  <c r="L122" i="2"/>
  <c r="L291" i="2" s="1"/>
  <c r="L343" i="2"/>
  <c r="R24" i="8"/>
  <c r="Q34" i="8"/>
  <c r="Q44" i="8"/>
  <c r="Q14" i="8"/>
  <c r="Q13" i="2" s="1"/>
  <c r="Q26" i="2" s="1"/>
  <c r="Q26" i="8"/>
  <c r="P46" i="8"/>
  <c r="P36" i="8"/>
  <c r="P16" i="8"/>
  <c r="P15" i="2" s="1"/>
  <c r="P28" i="2" s="1"/>
  <c r="K226" i="2"/>
  <c r="K236" i="2" s="1"/>
  <c r="K126" i="2" s="1"/>
  <c r="L215" i="2"/>
  <c r="P64" i="2"/>
  <c r="Q143" i="2"/>
  <c r="I213" i="2"/>
  <c r="H112" i="2"/>
  <c r="H344" i="2" s="1"/>
  <c r="H80" i="2"/>
  <c r="H88" i="2"/>
  <c r="H333" i="2"/>
  <c r="H341" i="2"/>
  <c r="P10" i="2"/>
  <c r="J330" i="2"/>
  <c r="J340" i="2"/>
  <c r="M118" i="2"/>
  <c r="M161" i="2"/>
  <c r="N161" i="2" s="1"/>
  <c r="O161" i="2" s="1"/>
  <c r="N41" i="2"/>
  <c r="N19" i="2"/>
  <c r="N20" i="8" s="1"/>
  <c r="N35" i="2"/>
  <c r="N38" i="2"/>
  <c r="N67" i="2"/>
  <c r="N111" i="2" s="1"/>
  <c r="N39" i="2"/>
  <c r="N78" i="2"/>
  <c r="N113" i="2" s="1"/>
  <c r="N244" i="2"/>
  <c r="N263" i="2" s="1"/>
  <c r="N272" i="2" s="1"/>
  <c r="N79" i="2"/>
  <c r="N114" i="2" s="1"/>
  <c r="N150" i="2"/>
  <c r="N40" i="2"/>
  <c r="N178" i="2"/>
  <c r="K277" i="2"/>
  <c r="L266" i="2"/>
  <c r="P10" i="8"/>
  <c r="Q9" i="8"/>
  <c r="R9" i="2"/>
  <c r="Q8" i="2"/>
  <c r="Q10" i="2" s="1"/>
  <c r="R45" i="8"/>
  <c r="R35" i="8"/>
  <c r="R15" i="8"/>
  <c r="R14" i="2" s="1"/>
  <c r="H81" i="2"/>
  <c r="M66" i="2"/>
  <c r="M110" i="2" s="1"/>
  <c r="P30" i="2"/>
  <c r="O5" i="8"/>
  <c r="L5" i="45" s="1"/>
  <c r="O60" i="2"/>
  <c r="O23" i="2"/>
  <c r="O98" i="2"/>
  <c r="O158" i="2"/>
  <c r="O159" i="2"/>
  <c r="O160" i="2"/>
  <c r="O139" i="2"/>
  <c r="O157" i="2"/>
  <c r="R27" i="2" l="1"/>
  <c r="L105" i="2"/>
  <c r="L330" i="2" s="1"/>
  <c r="M198" i="2"/>
  <c r="N177" i="2" s="1"/>
  <c r="P32" i="2"/>
  <c r="O153" i="2"/>
  <c r="O218" i="2"/>
  <c r="O219" i="2"/>
  <c r="O185" i="2"/>
  <c r="O186" i="2"/>
  <c r="O187" i="2"/>
  <c r="O183" i="2"/>
  <c r="O269" i="2"/>
  <c r="O270" i="2"/>
  <c r="O184" i="2"/>
  <c r="O217" i="2"/>
  <c r="O220" i="2"/>
  <c r="O267" i="2"/>
  <c r="O268" i="2"/>
  <c r="O272" i="2"/>
  <c r="O216" i="2"/>
  <c r="O271" i="2"/>
  <c r="N212" i="2"/>
  <c r="N221" i="2" s="1"/>
  <c r="O221" i="2" s="1"/>
  <c r="N189" i="2"/>
  <c r="O189" i="2" s="1"/>
  <c r="H334" i="2"/>
  <c r="Q48" i="8"/>
  <c r="Q38" i="8"/>
  <c r="R28" i="8"/>
  <c r="Q18" i="8"/>
  <c r="Q17" i="2" s="1"/>
  <c r="Q30" i="2" s="1"/>
  <c r="O257" i="2"/>
  <c r="O258" i="2"/>
  <c r="O259" i="2" s="1"/>
  <c r="P256" i="2" s="1"/>
  <c r="H338" i="2"/>
  <c r="H339" i="2" s="1"/>
  <c r="H345" i="2" s="1"/>
  <c r="Q8" i="8"/>
  <c r="Q5" i="2"/>
  <c r="I228" i="2"/>
  <c r="I229" i="2" s="1"/>
  <c r="I235" i="2"/>
  <c r="L149" i="2"/>
  <c r="L171" i="2" s="1"/>
  <c r="K199" i="2"/>
  <c r="K69" i="2" s="1"/>
  <c r="M122" i="2"/>
  <c r="M291" i="2" s="1"/>
  <c r="M343" i="2"/>
  <c r="Q37" i="8"/>
  <c r="R27" i="8"/>
  <c r="Q47" i="8"/>
  <c r="Q17" i="8"/>
  <c r="Q16" i="2" s="1"/>
  <c r="Q29" i="2" s="1"/>
  <c r="N188" i="2"/>
  <c r="O188" i="2" s="1"/>
  <c r="Q10" i="8"/>
  <c r="Q46" i="8"/>
  <c r="Q36" i="8"/>
  <c r="R26" i="8"/>
  <c r="Q16" i="8"/>
  <c r="Q15" i="2" s="1"/>
  <c r="Q28" i="2" s="1"/>
  <c r="L340" i="2"/>
  <c r="P5" i="8"/>
  <c r="M5" i="45" s="1"/>
  <c r="P23" i="2"/>
  <c r="P98" i="2"/>
  <c r="P139" i="2"/>
  <c r="P157" i="2"/>
  <c r="P158" i="2"/>
  <c r="P161" i="2"/>
  <c r="P159" i="2"/>
  <c r="P160" i="2"/>
  <c r="P60" i="2"/>
  <c r="I247" i="2"/>
  <c r="I248" i="2" s="1"/>
  <c r="I250" i="2" s="1"/>
  <c r="I285" i="2"/>
  <c r="I37" i="2" s="1"/>
  <c r="I36" i="2" s="1"/>
  <c r="R34" i="8"/>
  <c r="R44" i="8"/>
  <c r="R14" i="8"/>
  <c r="R13" i="2" s="1"/>
  <c r="R26" i="2" s="1"/>
  <c r="N118" i="2"/>
  <c r="N162" i="2"/>
  <c r="O162" i="2" s="1"/>
  <c r="P162" i="2" s="1"/>
  <c r="L208" i="2"/>
  <c r="M205" i="2" s="1"/>
  <c r="L226" i="2"/>
  <c r="L236" i="2" s="1"/>
  <c r="L126" i="2" s="1"/>
  <c r="M215" i="2"/>
  <c r="R9" i="8"/>
  <c r="R8" i="2"/>
  <c r="R10" i="2"/>
  <c r="N66" i="2"/>
  <c r="N110" i="2" s="1"/>
  <c r="M167" i="2"/>
  <c r="M169" i="2" s="1"/>
  <c r="M105" i="2" s="1"/>
  <c r="N156" i="2"/>
  <c r="O40" i="2"/>
  <c r="O41" i="2"/>
  <c r="O67" i="2"/>
  <c r="O111" i="2" s="1"/>
  <c r="O38" i="2"/>
  <c r="O19" i="2"/>
  <c r="O20" i="8" s="1"/>
  <c r="O79" i="2"/>
  <c r="O114" i="2" s="1"/>
  <c r="O35" i="2"/>
  <c r="O78" i="2"/>
  <c r="O113" i="2" s="1"/>
  <c r="O150" i="2"/>
  <c r="O39" i="2"/>
  <c r="O178" i="2"/>
  <c r="O244" i="2"/>
  <c r="O263" i="2" s="1"/>
  <c r="O273" i="2" s="1"/>
  <c r="Q64" i="2"/>
  <c r="R143" i="2"/>
  <c r="R64" i="2" s="1"/>
  <c r="L277" i="2"/>
  <c r="M266" i="2"/>
  <c r="M301" i="2"/>
  <c r="M304" i="2" s="1"/>
  <c r="Q39" i="8"/>
  <c r="Q49" i="8"/>
  <c r="R29" i="8"/>
  <c r="Q19" i="8"/>
  <c r="Q18" i="2" s="1"/>
  <c r="Q31" i="2" s="1"/>
  <c r="I280" i="2"/>
  <c r="P257" i="2" l="1"/>
  <c r="P259" i="2" s="1"/>
  <c r="Q256" i="2" s="1"/>
  <c r="P258" i="2"/>
  <c r="E15" i="45"/>
  <c r="E23" i="45" s="1"/>
  <c r="AK15" i="409"/>
  <c r="Q32" i="2"/>
  <c r="I231" i="2"/>
  <c r="I233" i="2" s="1"/>
  <c r="J211" i="2"/>
  <c r="E14" i="45"/>
  <c r="AK14" i="409"/>
  <c r="T14" i="409" s="1"/>
  <c r="R36" i="8"/>
  <c r="R46" i="8"/>
  <c r="R16" i="8"/>
  <c r="R15" i="2" s="1"/>
  <c r="R28" i="2" s="1"/>
  <c r="M277" i="2"/>
  <c r="N266" i="2"/>
  <c r="R47" i="8"/>
  <c r="R37" i="8"/>
  <c r="R17" i="8"/>
  <c r="R16" i="2" s="1"/>
  <c r="R29" i="2" s="1"/>
  <c r="R10" i="8"/>
  <c r="R8" i="8"/>
  <c r="R5" i="2"/>
  <c r="P184" i="2"/>
  <c r="P189" i="2"/>
  <c r="P217" i="2"/>
  <c r="P220" i="2"/>
  <c r="P153" i="2"/>
  <c r="P185" i="2"/>
  <c r="P188" i="2"/>
  <c r="P186" i="2"/>
  <c r="P187" i="2"/>
  <c r="P183" i="2"/>
  <c r="P216" i="2"/>
  <c r="P221" i="2"/>
  <c r="P268" i="2"/>
  <c r="P219" i="2"/>
  <c r="P270" i="2"/>
  <c r="P273" i="2"/>
  <c r="P269" i="2"/>
  <c r="P267" i="2"/>
  <c r="P272" i="2"/>
  <c r="P218" i="2"/>
  <c r="P271" i="2"/>
  <c r="Q5" i="8"/>
  <c r="N5" i="45" s="1"/>
  <c r="Q60" i="2"/>
  <c r="Q98" i="2"/>
  <c r="Q157" i="2"/>
  <c r="Q162" i="2"/>
  <c r="Q158" i="2"/>
  <c r="Q161" i="2"/>
  <c r="Q23" i="2"/>
  <c r="Q159" i="2"/>
  <c r="Q160" i="2"/>
  <c r="Q139" i="2"/>
  <c r="N301" i="2"/>
  <c r="N304" i="2" s="1"/>
  <c r="O246" i="2"/>
  <c r="J262" i="2"/>
  <c r="I282" i="2"/>
  <c r="I284" i="2" s="1"/>
  <c r="R49" i="8"/>
  <c r="R39" i="8"/>
  <c r="R19" i="8"/>
  <c r="R18" i="2" s="1"/>
  <c r="R31" i="2" s="1"/>
  <c r="N167" i="2"/>
  <c r="N169" i="2" s="1"/>
  <c r="O156" i="2"/>
  <c r="M226" i="2"/>
  <c r="N215" i="2"/>
  <c r="R38" i="8"/>
  <c r="R48" i="8"/>
  <c r="R18" i="8"/>
  <c r="R17" i="2" s="1"/>
  <c r="R30" i="2" s="1"/>
  <c r="N122" i="2"/>
  <c r="N291" i="2" s="1"/>
  <c r="N343" i="2"/>
  <c r="M149" i="2"/>
  <c r="M171" i="2" s="1"/>
  <c r="L199" i="2"/>
  <c r="L69" i="2" s="1"/>
  <c r="O66" i="2"/>
  <c r="O110" i="2" s="1"/>
  <c r="M330" i="2"/>
  <c r="M340" i="2"/>
  <c r="I77" i="2"/>
  <c r="I106" i="2"/>
  <c r="I42" i="2"/>
  <c r="I43" i="2" s="1"/>
  <c r="P39" i="2"/>
  <c r="P35" i="2"/>
  <c r="P38" i="2"/>
  <c r="P19" i="2"/>
  <c r="P20" i="8" s="1"/>
  <c r="P40" i="2"/>
  <c r="P41" i="2"/>
  <c r="P79" i="2"/>
  <c r="P114" i="2" s="1"/>
  <c r="P150" i="2"/>
  <c r="P67" i="2"/>
  <c r="P111" i="2" s="1"/>
  <c r="P78" i="2"/>
  <c r="P113" i="2" s="1"/>
  <c r="P244" i="2"/>
  <c r="P263" i="2" s="1"/>
  <c r="P274" i="2" s="1"/>
  <c r="P178" i="2"/>
  <c r="O212" i="2"/>
  <c r="O222" i="2" s="1"/>
  <c r="P222" i="2" s="1"/>
  <c r="O190" i="2"/>
  <c r="P190" i="2" s="1"/>
  <c r="O163" i="2"/>
  <c r="P163" i="2" s="1"/>
  <c r="Q163" i="2" s="1"/>
  <c r="O118" i="2"/>
  <c r="N194" i="2"/>
  <c r="N196" i="2" s="1"/>
  <c r="N198" i="2" s="1"/>
  <c r="O177" i="2" s="1"/>
  <c r="M206" i="2"/>
  <c r="J243" i="2"/>
  <c r="I70" i="2"/>
  <c r="N105" i="2" l="1"/>
  <c r="N330" i="2" s="1"/>
  <c r="O194" i="2"/>
  <c r="O196" i="2" s="1"/>
  <c r="O198" i="2" s="1"/>
  <c r="P177" i="2" s="1"/>
  <c r="R32" i="2"/>
  <c r="R35" i="2" s="1"/>
  <c r="M208" i="2"/>
  <c r="N205" i="2" s="1"/>
  <c r="Q257" i="2"/>
  <c r="N226" i="2"/>
  <c r="O215" i="2"/>
  <c r="Q184" i="2"/>
  <c r="Q189" i="2"/>
  <c r="Q153" i="2"/>
  <c r="Q218" i="2"/>
  <c r="Q219" i="2"/>
  <c r="Q185" i="2"/>
  <c r="Q188" i="2"/>
  <c r="Q186" i="2"/>
  <c r="Q187" i="2"/>
  <c r="Q222" i="2"/>
  <c r="Q183" i="2"/>
  <c r="Q190" i="2"/>
  <c r="Q271" i="2"/>
  <c r="Q270" i="2"/>
  <c r="Q217" i="2"/>
  <c r="Q273" i="2"/>
  <c r="Q220" i="2"/>
  <c r="Q269" i="2"/>
  <c r="Q268" i="2"/>
  <c r="Q274" i="2"/>
  <c r="Q221" i="2"/>
  <c r="Q267" i="2"/>
  <c r="Q272" i="2"/>
  <c r="Q216" i="2"/>
  <c r="Q38" i="2"/>
  <c r="Q41" i="2"/>
  <c r="Q39" i="2"/>
  <c r="Q35" i="2"/>
  <c r="Q40" i="2"/>
  <c r="Q78" i="2"/>
  <c r="Q113" i="2" s="1"/>
  <c r="Q79" i="2"/>
  <c r="Q114" i="2" s="1"/>
  <c r="Q19" i="2"/>
  <c r="Q20" i="8" s="1"/>
  <c r="Q67" i="2"/>
  <c r="Q111" i="2" s="1"/>
  <c r="Q150" i="2"/>
  <c r="Q244" i="2"/>
  <c r="Q263" i="2" s="1"/>
  <c r="Q275" i="2" s="1"/>
  <c r="Q178" i="2"/>
  <c r="I329" i="2"/>
  <c r="I331" i="2" s="1"/>
  <c r="I337" i="2"/>
  <c r="N149" i="2"/>
  <c r="N171" i="2" s="1"/>
  <c r="M199" i="2"/>
  <c r="M69" i="2" s="1"/>
  <c r="O167" i="2"/>
  <c r="O169" i="2" s="1"/>
  <c r="P156" i="2"/>
  <c r="P66" i="2"/>
  <c r="P110" i="2" s="1"/>
  <c r="M207" i="2"/>
  <c r="M236" i="2" s="1"/>
  <c r="M126" i="2" s="1"/>
  <c r="I333" i="2"/>
  <c r="I341" i="2"/>
  <c r="I88" i="2"/>
  <c r="I80" i="2"/>
  <c r="I112" i="2"/>
  <c r="I344" i="2" s="1"/>
  <c r="J213" i="2"/>
  <c r="O301" i="2"/>
  <c r="O304" i="2" s="1"/>
  <c r="N277" i="2"/>
  <c r="O266" i="2"/>
  <c r="I81" i="2"/>
  <c r="P246" i="2"/>
  <c r="P118" i="2"/>
  <c r="P164" i="2"/>
  <c r="Q164" i="2" s="1"/>
  <c r="R164" i="2" s="1"/>
  <c r="R5" i="8"/>
  <c r="O5" i="45" s="1"/>
  <c r="R23" i="2"/>
  <c r="R60" i="2"/>
  <c r="R98" i="2"/>
  <c r="R157" i="2"/>
  <c r="R162" i="2"/>
  <c r="R158" i="2"/>
  <c r="R161" i="2"/>
  <c r="R159" i="2"/>
  <c r="R160" i="2"/>
  <c r="R139" i="2"/>
  <c r="R156" i="2"/>
  <c r="R163" i="2"/>
  <c r="J264" i="2"/>
  <c r="J279" i="2" s="1"/>
  <c r="P191" i="2"/>
  <c r="Q191" i="2" s="1"/>
  <c r="P212" i="2"/>
  <c r="P223" i="2" s="1"/>
  <c r="Q223" i="2" s="1"/>
  <c r="O343" i="2"/>
  <c r="O122" i="2"/>
  <c r="O291" i="2" s="1"/>
  <c r="N340" i="2" l="1"/>
  <c r="R67" i="2"/>
  <c r="R111" i="2" s="1"/>
  <c r="R178" i="2"/>
  <c r="R212" i="2" s="1"/>
  <c r="R225" i="2" s="1"/>
  <c r="R41" i="2"/>
  <c r="O105" i="2"/>
  <c r="O330" i="2" s="1"/>
  <c r="R79" i="2"/>
  <c r="R114" i="2" s="1"/>
  <c r="R38" i="2"/>
  <c r="R78" i="2"/>
  <c r="R113" i="2" s="1"/>
  <c r="R19" i="2"/>
  <c r="R20" i="8" s="1"/>
  <c r="R244" i="2"/>
  <c r="R263" i="2" s="1"/>
  <c r="R276" i="2" s="1"/>
  <c r="R40" i="2"/>
  <c r="R39" i="2"/>
  <c r="P194" i="2"/>
  <c r="P196" i="2" s="1"/>
  <c r="P198" i="2" s="1"/>
  <c r="Q177" i="2" s="1"/>
  <c r="R150" i="2"/>
  <c r="R118" i="2" s="1"/>
  <c r="P301" i="2"/>
  <c r="P304" i="2" s="1"/>
  <c r="Q192" i="2"/>
  <c r="R192" i="2" s="1"/>
  <c r="Q212" i="2"/>
  <c r="Q224" i="2" s="1"/>
  <c r="R224" i="2" s="1"/>
  <c r="P122" i="2"/>
  <c r="P291" i="2" s="1"/>
  <c r="P343" i="2"/>
  <c r="J228" i="2"/>
  <c r="J229" i="2" s="1"/>
  <c r="J235" i="2"/>
  <c r="O340" i="2"/>
  <c r="Q66" i="2"/>
  <c r="Q110" i="2" s="1"/>
  <c r="R66" i="2"/>
  <c r="N208" i="2"/>
  <c r="O205" i="2" s="1"/>
  <c r="N206" i="2"/>
  <c r="N207" i="2"/>
  <c r="N236" i="2" s="1"/>
  <c r="N126" i="2" s="1"/>
  <c r="Q118" i="2"/>
  <c r="Q165" i="2"/>
  <c r="R165" i="2" s="1"/>
  <c r="O226" i="2"/>
  <c r="P215" i="2"/>
  <c r="J247" i="2"/>
  <c r="J248" i="2" s="1"/>
  <c r="J250" i="2" s="1"/>
  <c r="J285" i="2"/>
  <c r="J37" i="2" s="1"/>
  <c r="J36" i="2" s="1"/>
  <c r="O149" i="2"/>
  <c r="O171" i="2" s="1"/>
  <c r="N199" i="2"/>
  <c r="N69" i="2" s="1"/>
  <c r="P167" i="2"/>
  <c r="P169" i="2" s="1"/>
  <c r="Q156" i="2"/>
  <c r="I338" i="2"/>
  <c r="I339" i="2" s="1"/>
  <c r="I345" i="2" s="1"/>
  <c r="Q258" i="2"/>
  <c r="R216" i="2"/>
  <c r="R221" i="2"/>
  <c r="R184" i="2"/>
  <c r="R189" i="2"/>
  <c r="R217" i="2"/>
  <c r="R220" i="2"/>
  <c r="R153" i="2"/>
  <c r="R191" i="2"/>
  <c r="R218" i="2"/>
  <c r="R219" i="2"/>
  <c r="R185" i="2"/>
  <c r="R188" i="2"/>
  <c r="R186" i="2"/>
  <c r="R187" i="2"/>
  <c r="R267" i="2"/>
  <c r="R222" i="2"/>
  <c r="R274" i="2"/>
  <c r="R271" i="2"/>
  <c r="R223" i="2"/>
  <c r="R272" i="2"/>
  <c r="R215" i="2"/>
  <c r="R270" i="2"/>
  <c r="R275" i="2"/>
  <c r="R273" i="2"/>
  <c r="R269" i="2"/>
  <c r="R190" i="2"/>
  <c r="R268" i="2"/>
  <c r="R183" i="2"/>
  <c r="J280" i="2"/>
  <c r="O277" i="2"/>
  <c r="P266" i="2"/>
  <c r="I334" i="2"/>
  <c r="P105" i="2" l="1"/>
  <c r="P330" i="2" s="1"/>
  <c r="R193" i="2"/>
  <c r="R194" i="2" s="1"/>
  <c r="R196" i="2" s="1"/>
  <c r="R166" i="2"/>
  <c r="R167" i="2" s="1"/>
  <c r="R169" i="2" s="1"/>
  <c r="R110" i="2"/>
  <c r="Q167" i="2"/>
  <c r="Q169" i="2" s="1"/>
  <c r="F15" i="45"/>
  <c r="F23" i="45" s="1"/>
  <c r="AL15" i="409"/>
  <c r="P226" i="2"/>
  <c r="Q215" i="2"/>
  <c r="Q226" i="2" s="1"/>
  <c r="Q301" i="2"/>
  <c r="Q304" i="2" s="1"/>
  <c r="Q246" i="2"/>
  <c r="K211" i="2"/>
  <c r="J231" i="2"/>
  <c r="J233" i="2" s="1"/>
  <c r="O206" i="2"/>
  <c r="O207" i="2"/>
  <c r="O236" i="2" s="1"/>
  <c r="O126" i="2" s="1"/>
  <c r="R226" i="2"/>
  <c r="Q194" i="2"/>
  <c r="Q196" i="2" s="1"/>
  <c r="R122" i="2"/>
  <c r="R291" i="2" s="1"/>
  <c r="R343" i="2"/>
  <c r="J70" i="2"/>
  <c r="K243" i="2"/>
  <c r="Q122" i="2"/>
  <c r="Q291" i="2" s="1"/>
  <c r="Q343" i="2"/>
  <c r="P149" i="2"/>
  <c r="P171" i="2" s="1"/>
  <c r="O199" i="2"/>
  <c r="O69" i="2" s="1"/>
  <c r="P277" i="2"/>
  <c r="Q266" i="2"/>
  <c r="K262" i="2"/>
  <c r="J282" i="2"/>
  <c r="J284" i="2" s="1"/>
  <c r="F14" i="45"/>
  <c r="AL14" i="409"/>
  <c r="U14" i="409" s="1"/>
  <c r="J77" i="2"/>
  <c r="J106" i="2"/>
  <c r="J42" i="2"/>
  <c r="J43" i="2" s="1"/>
  <c r="Q259" i="2"/>
  <c r="R256" i="2" s="1"/>
  <c r="P340" i="2" l="1"/>
  <c r="Q105" i="2"/>
  <c r="Q330" i="2" s="1"/>
  <c r="R105" i="2"/>
  <c r="R330" i="2" s="1"/>
  <c r="Q198" i="2"/>
  <c r="R177" i="2" s="1"/>
  <c r="R198" i="2" s="1"/>
  <c r="J80" i="2"/>
  <c r="J112" i="2"/>
  <c r="J344" i="2" s="1"/>
  <c r="Q149" i="2"/>
  <c r="Q171" i="2" s="1"/>
  <c r="P199" i="2"/>
  <c r="P69" i="2" s="1"/>
  <c r="J81" i="2"/>
  <c r="J333" i="2"/>
  <c r="J341" i="2"/>
  <c r="J88" i="2"/>
  <c r="O208" i="2"/>
  <c r="P205" i="2" s="1"/>
  <c r="K213" i="2"/>
  <c r="Q277" i="2"/>
  <c r="R266" i="2"/>
  <c r="R277" i="2" s="1"/>
  <c r="J329" i="2"/>
  <c r="J331" i="2" s="1"/>
  <c r="J337" i="2"/>
  <c r="R301" i="2"/>
  <c r="R257" i="2"/>
  <c r="R259" i="2" s="1"/>
  <c r="R258" i="2"/>
  <c r="K264" i="2"/>
  <c r="K279" i="2" s="1"/>
  <c r="Q340" i="2" l="1"/>
  <c r="R340" i="2"/>
  <c r="K280" i="2"/>
  <c r="K282" i="2" s="1"/>
  <c r="K284" i="2" s="1"/>
  <c r="J334" i="2"/>
  <c r="G14" i="45" s="1"/>
  <c r="R303" i="2"/>
  <c r="K247" i="2"/>
  <c r="K248" i="2" s="1"/>
  <c r="K250" i="2" s="1"/>
  <c r="K285" i="2"/>
  <c r="K37" i="2" s="1"/>
  <c r="K36" i="2" s="1"/>
  <c r="J338" i="2"/>
  <c r="J339" i="2" s="1"/>
  <c r="J345" i="2" s="1"/>
  <c r="K228" i="2"/>
  <c r="K229" i="2" s="1"/>
  <c r="K235" i="2"/>
  <c r="P206" i="2"/>
  <c r="R246" i="2"/>
  <c r="R149" i="2"/>
  <c r="R171" i="2" s="1"/>
  <c r="R199" i="2" s="1"/>
  <c r="R69" i="2" s="1"/>
  <c r="Q199" i="2"/>
  <c r="Q69" i="2" s="1"/>
  <c r="AM14" i="409" l="1"/>
  <c r="L262" i="2"/>
  <c r="L264" i="2" s="1"/>
  <c r="L279" i="2" s="1"/>
  <c r="G15" i="45"/>
  <c r="G23" i="45" s="1"/>
  <c r="AM15" i="409"/>
  <c r="K231" i="2"/>
  <c r="K233" i="2" s="1"/>
  <c r="K81" i="2" s="1"/>
  <c r="L211" i="2"/>
  <c r="K77" i="2"/>
  <c r="K106" i="2"/>
  <c r="K42" i="2"/>
  <c r="K43" i="2" s="1"/>
  <c r="L243" i="2"/>
  <c r="K70" i="2"/>
  <c r="P207" i="2"/>
  <c r="P236" i="2" s="1"/>
  <c r="P126" i="2" s="1"/>
  <c r="R304" i="2"/>
  <c r="L280" i="2" l="1"/>
  <c r="L213" i="2"/>
  <c r="L247" i="2"/>
  <c r="L248" i="2" s="1"/>
  <c r="L250" i="2" s="1"/>
  <c r="L285" i="2"/>
  <c r="L37" i="2" s="1"/>
  <c r="L36" i="2" s="1"/>
  <c r="K329" i="2"/>
  <c r="K331" i="2" s="1"/>
  <c r="K337" i="2"/>
  <c r="K333" i="2"/>
  <c r="K341" i="2"/>
  <c r="K88" i="2"/>
  <c r="K80" i="2"/>
  <c r="K112" i="2"/>
  <c r="K344" i="2" s="1"/>
  <c r="P208" i="2"/>
  <c r="Q205" i="2" s="1"/>
  <c r="K334" i="2" l="1"/>
  <c r="AN14" i="409" s="1"/>
  <c r="L70" i="2"/>
  <c r="M243" i="2"/>
  <c r="L106" i="2"/>
  <c r="L88" i="2" s="1"/>
  <c r="L77" i="2"/>
  <c r="L42" i="2"/>
  <c r="L43" i="2" s="1"/>
  <c r="L228" i="2"/>
  <c r="L229" i="2" s="1"/>
  <c r="L235" i="2"/>
  <c r="H14" i="45"/>
  <c r="Q206" i="2"/>
  <c r="Q207" i="2"/>
  <c r="Q236" i="2" s="1"/>
  <c r="Q126" i="2" s="1"/>
  <c r="M262" i="2"/>
  <c r="L282" i="2"/>
  <c r="L284" i="2" s="1"/>
  <c r="K338" i="2"/>
  <c r="K339" i="2" s="1"/>
  <c r="K345" i="2" s="1"/>
  <c r="M264" i="2" l="1"/>
  <c r="M279" i="2" s="1"/>
  <c r="L80" i="2"/>
  <c r="L112" i="2"/>
  <c r="L344" i="2" s="1"/>
  <c r="L337" i="2"/>
  <c r="L329" i="2"/>
  <c r="L331" i="2" s="1"/>
  <c r="Q208" i="2"/>
  <c r="R205" i="2" s="1"/>
  <c r="L333" i="2"/>
  <c r="L341" i="2"/>
  <c r="L231" i="2"/>
  <c r="L233" i="2" s="1"/>
  <c r="L81" i="2" s="1"/>
  <c r="M211" i="2"/>
  <c r="H15" i="45"/>
  <c r="H23" i="45" s="1"/>
  <c r="AN15" i="409"/>
  <c r="L334" i="2" l="1"/>
  <c r="I14" i="45" s="1"/>
  <c r="L338" i="2"/>
  <c r="L339" i="2" s="1"/>
  <c r="L345" i="2" s="1"/>
  <c r="M280" i="2"/>
  <c r="M213" i="2"/>
  <c r="R206" i="2"/>
  <c r="R207" i="2"/>
  <c r="R236" i="2" s="1"/>
  <c r="R126" i="2" s="1"/>
  <c r="M247" i="2"/>
  <c r="M248" i="2" s="1"/>
  <c r="M250" i="2" s="1"/>
  <c r="M285" i="2"/>
  <c r="M37" i="2" s="1"/>
  <c r="M36" i="2" s="1"/>
  <c r="AO14" i="409" l="1"/>
  <c r="I15" i="45"/>
  <c r="I23" i="45" s="1"/>
  <c r="AO15" i="409"/>
  <c r="M228" i="2"/>
  <c r="M229" i="2" s="1"/>
  <c r="M235" i="2"/>
  <c r="N262" i="2"/>
  <c r="M282" i="2"/>
  <c r="M284" i="2" s="1"/>
  <c r="R208" i="2"/>
  <c r="M77" i="2"/>
  <c r="M106" i="2"/>
  <c r="M42" i="2"/>
  <c r="M43" i="2" s="1"/>
  <c r="N243" i="2"/>
  <c r="M70" i="2"/>
  <c r="M231" i="2" l="1"/>
  <c r="M233" i="2" s="1"/>
  <c r="M81" i="2" s="1"/>
  <c r="N211" i="2"/>
  <c r="M329" i="2"/>
  <c r="M331" i="2" s="1"/>
  <c r="M337" i="2"/>
  <c r="N264" i="2"/>
  <c r="N279" i="2" s="1"/>
  <c r="M333" i="2"/>
  <c r="M341" i="2"/>
  <c r="M88" i="2"/>
  <c r="M80" i="2"/>
  <c r="M112" i="2"/>
  <c r="M344" i="2" s="1"/>
  <c r="N213" i="2" l="1"/>
  <c r="N280" i="2"/>
  <c r="M334" i="2"/>
  <c r="J14" i="45" s="1"/>
  <c r="N247" i="2"/>
  <c r="N248" i="2" s="1"/>
  <c r="N250" i="2" s="1"/>
  <c r="N285" i="2"/>
  <c r="N37" i="2" s="1"/>
  <c r="N36" i="2" s="1"/>
  <c r="M338" i="2"/>
  <c r="M339" i="2" s="1"/>
  <c r="M345" i="2" s="1"/>
  <c r="J15" i="45" s="1"/>
  <c r="J23" i="45" s="1"/>
  <c r="N70" i="2" l="1"/>
  <c r="O243" i="2"/>
  <c r="N106" i="2"/>
  <c r="N77" i="2"/>
  <c r="N42" i="2"/>
  <c r="N43" i="2" s="1"/>
  <c r="O262" i="2"/>
  <c r="N282" i="2"/>
  <c r="N284" i="2" s="1"/>
  <c r="N228" i="2"/>
  <c r="N229" i="2" s="1"/>
  <c r="N235" i="2"/>
  <c r="N329" i="2" l="1"/>
  <c r="N331" i="2" s="1"/>
  <c r="N337" i="2"/>
  <c r="N112" i="2"/>
  <c r="N344" i="2" s="1"/>
  <c r="N80" i="2"/>
  <c r="O211" i="2"/>
  <c r="N231" i="2"/>
  <c r="N233" i="2" s="1"/>
  <c r="N81" i="2" s="1"/>
  <c r="O264" i="2"/>
  <c r="O279" i="2" s="1"/>
  <c r="N341" i="2"/>
  <c r="N333" i="2"/>
  <c r="N88" i="2"/>
  <c r="O213" i="2" l="1"/>
  <c r="N334" i="2"/>
  <c r="K14" i="45" s="1"/>
  <c r="O247" i="2"/>
  <c r="O248" i="2" s="1"/>
  <c r="O250" i="2" s="1"/>
  <c r="O285" i="2"/>
  <c r="O37" i="2" s="1"/>
  <c r="O36" i="2" s="1"/>
  <c r="N338" i="2"/>
  <c r="N339" i="2" s="1"/>
  <c r="N345" i="2" s="1"/>
  <c r="K15" i="45" s="1"/>
  <c r="K23" i="45" s="1"/>
  <c r="O280" i="2"/>
  <c r="O282" i="2" l="1"/>
  <c r="O284" i="2" s="1"/>
  <c r="P262" i="2"/>
  <c r="O228" i="2"/>
  <c r="O229" i="2" s="1"/>
  <c r="O235" i="2"/>
  <c r="O70" i="2"/>
  <c r="P243" i="2"/>
  <c r="O77" i="2"/>
  <c r="O106" i="2"/>
  <c r="O42" i="2"/>
  <c r="O43" i="2" s="1"/>
  <c r="O329" i="2" l="1"/>
  <c r="O331" i="2" s="1"/>
  <c r="O337" i="2"/>
  <c r="O333" i="2"/>
  <c r="O341" i="2"/>
  <c r="O88" i="2"/>
  <c r="O80" i="2"/>
  <c r="O112" i="2"/>
  <c r="O344" i="2" s="1"/>
  <c r="O231" i="2"/>
  <c r="O233" i="2" s="1"/>
  <c r="O81" i="2" s="1"/>
  <c r="P211" i="2"/>
  <c r="P264" i="2"/>
  <c r="P279" i="2" s="1"/>
  <c r="O334" i="2" l="1"/>
  <c r="L14" i="45" s="1"/>
  <c r="P247" i="2"/>
  <c r="P248" i="2" s="1"/>
  <c r="P250" i="2" s="1"/>
  <c r="P285" i="2"/>
  <c r="P37" i="2" s="1"/>
  <c r="P36" i="2" s="1"/>
  <c r="P280" i="2"/>
  <c r="P213" i="2"/>
  <c r="O338" i="2"/>
  <c r="O339" i="2" s="1"/>
  <c r="O345" i="2" s="1"/>
  <c r="L15" i="45" s="1"/>
  <c r="L23" i="45" s="1"/>
  <c r="P228" i="2" l="1"/>
  <c r="P229" i="2" s="1"/>
  <c r="P235" i="2"/>
  <c r="P282" i="2"/>
  <c r="P284" i="2" s="1"/>
  <c r="Q262" i="2"/>
  <c r="P106" i="2"/>
  <c r="P77" i="2"/>
  <c r="P42" i="2"/>
  <c r="P43" i="2" s="1"/>
  <c r="P70" i="2"/>
  <c r="Q243" i="2"/>
  <c r="Q211" i="2" l="1"/>
  <c r="P231" i="2"/>
  <c r="P233" i="2" s="1"/>
  <c r="P81" i="2" s="1"/>
  <c r="P333" i="2"/>
  <c r="P341" i="2"/>
  <c r="P88" i="2"/>
  <c r="Q264" i="2"/>
  <c r="Q279" i="2" s="1"/>
  <c r="Q280" i="2" s="1"/>
  <c r="P112" i="2"/>
  <c r="P344" i="2" s="1"/>
  <c r="P80" i="2"/>
  <c r="P329" i="2"/>
  <c r="P331" i="2" s="1"/>
  <c r="P337" i="2"/>
  <c r="P334" i="2" l="1"/>
  <c r="M14" i="45" s="1"/>
  <c r="Q282" i="2"/>
  <c r="Q284" i="2" s="1"/>
  <c r="R262" i="2"/>
  <c r="P338" i="2"/>
  <c r="P339" i="2" s="1"/>
  <c r="P345" i="2" s="1"/>
  <c r="M15" i="45" s="1"/>
  <c r="M23" i="45" s="1"/>
  <c r="Q247" i="2"/>
  <c r="Q248" i="2" s="1"/>
  <c r="Q250" i="2" s="1"/>
  <c r="Q285" i="2"/>
  <c r="Q37" i="2" s="1"/>
  <c r="Q36" i="2" s="1"/>
  <c r="Q213" i="2"/>
  <c r="Q228" i="2" l="1"/>
  <c r="Q229" i="2" s="1"/>
  <c r="Q235" i="2"/>
  <c r="Q77" i="2"/>
  <c r="Q106" i="2"/>
  <c r="Q42" i="2"/>
  <c r="Q43" i="2" s="1"/>
  <c r="Q70" i="2"/>
  <c r="R243" i="2"/>
  <c r="R264" i="2"/>
  <c r="R279" i="2" s="1"/>
  <c r="R280" i="2" l="1"/>
  <c r="R282" i="2" s="1"/>
  <c r="R284" i="2" s="1"/>
  <c r="Q231" i="2"/>
  <c r="Q233" i="2" s="1"/>
  <c r="Q81" i="2" s="1"/>
  <c r="R211" i="2"/>
  <c r="Q333" i="2"/>
  <c r="Q341" i="2"/>
  <c r="Q88" i="2"/>
  <c r="Q80" i="2"/>
  <c r="Q112" i="2"/>
  <c r="Q344" i="2" s="1"/>
  <c r="Q329" i="2"/>
  <c r="Q331" i="2" s="1"/>
  <c r="Q337" i="2"/>
  <c r="R247" i="2"/>
  <c r="R248" i="2" s="1"/>
  <c r="R250" i="2" s="1"/>
  <c r="R70" i="2" s="1"/>
  <c r="R285" i="2"/>
  <c r="R37" i="2" s="1"/>
  <c r="R36" i="2" s="1"/>
  <c r="Q334" i="2" l="1"/>
  <c r="N14" i="45" s="1"/>
  <c r="R77" i="2"/>
  <c r="R106" i="2"/>
  <c r="R42" i="2"/>
  <c r="R43" i="2" s="1"/>
  <c r="Q338" i="2"/>
  <c r="Q339" i="2" s="1"/>
  <c r="Q345" i="2" s="1"/>
  <c r="N15" i="45" s="1"/>
  <c r="N23" i="45" s="1"/>
  <c r="R213" i="2"/>
  <c r="R228" i="2" l="1"/>
  <c r="R229" i="2" s="1"/>
  <c r="R231" i="2" s="1"/>
  <c r="R233" i="2" s="1"/>
  <c r="R81" i="2" s="1"/>
  <c r="R235" i="2"/>
  <c r="R333" i="2"/>
  <c r="R341" i="2"/>
  <c r="R80" i="2"/>
  <c r="R112" i="2"/>
  <c r="R344" i="2" s="1"/>
  <c r="R329" i="2"/>
  <c r="R331" i="2" s="1"/>
  <c r="R337" i="2"/>
  <c r="R88" i="2"/>
  <c r="R334" i="2" l="1"/>
  <c r="O14" i="45" s="1"/>
  <c r="O18" i="45" s="1"/>
  <c r="R338" i="2"/>
  <c r="R339" i="2" s="1"/>
  <c r="R345" i="2" s="1"/>
  <c r="O15" i="45" s="1"/>
  <c r="O23" i="45" l="1"/>
  <c r="F28" i="45" s="1"/>
  <c r="O19" i="45"/>
  <c r="O20" i="45" s="1"/>
  <c r="O22" i="45" s="1"/>
  <c r="O24" i="45" s="1"/>
  <c r="F29" i="45" s="1"/>
  <c r="C58" i="45" s="1"/>
  <c r="C57" i="45" l="1"/>
  <c r="F30" i="45"/>
  <c r="F32" i="45" l="1"/>
  <c r="F34" i="45" s="1"/>
  <c r="C59" i="45"/>
  <c r="J30" i="45" l="1"/>
  <c r="J38" i="45"/>
  <c r="T15" i="409" l="1"/>
  <c r="U15" i="409"/>
  <c r="AK16" i="409"/>
  <c r="AL16" i="409"/>
  <c r="AM16" i="409"/>
  <c r="AN16" i="409"/>
  <c r="AO16" i="409"/>
  <c r="I44" i="2"/>
  <c r="J44" i="2"/>
  <c r="K44" i="2"/>
  <c r="L44" i="2"/>
  <c r="M44" i="2"/>
  <c r="N44" i="2"/>
  <c r="O44" i="2"/>
  <c r="P44" i="2"/>
  <c r="Q44" i="2"/>
  <c r="R44" i="2"/>
  <c r="H45" i="2"/>
  <c r="I45" i="2"/>
  <c r="J45" i="2"/>
  <c r="K45" i="2"/>
  <c r="L45" i="2"/>
  <c r="M45" i="2"/>
  <c r="N45" i="2"/>
  <c r="O45" i="2"/>
  <c r="P45" i="2"/>
  <c r="Q45" i="2"/>
  <c r="R45" i="2"/>
  <c r="H47" i="2"/>
  <c r="I47" i="2"/>
  <c r="J47" i="2"/>
  <c r="K47" i="2"/>
  <c r="L47" i="2"/>
  <c r="M47" i="2"/>
  <c r="N47" i="2"/>
  <c r="O47" i="2"/>
  <c r="P47" i="2"/>
  <c r="Q47" i="2"/>
  <c r="R47" i="2"/>
  <c r="H48" i="2"/>
  <c r="I48" i="2"/>
  <c r="J48" i="2"/>
  <c r="K48" i="2"/>
  <c r="L48" i="2"/>
  <c r="M48" i="2"/>
  <c r="N48" i="2"/>
  <c r="O48" i="2"/>
  <c r="P48" i="2"/>
  <c r="Q48" i="2"/>
  <c r="R48" i="2"/>
  <c r="H49" i="2"/>
  <c r="I49" i="2"/>
  <c r="J49" i="2"/>
  <c r="K49" i="2"/>
  <c r="L49" i="2"/>
  <c r="M49" i="2"/>
  <c r="N49" i="2"/>
  <c r="O49" i="2"/>
  <c r="P49" i="2"/>
  <c r="Q49" i="2"/>
  <c r="R49" i="2"/>
  <c r="H51" i="2"/>
  <c r="I51" i="2"/>
  <c r="J51" i="2"/>
  <c r="K51" i="2"/>
  <c r="L51" i="2"/>
  <c r="M51" i="2"/>
  <c r="N51" i="2"/>
  <c r="O51" i="2"/>
  <c r="P51" i="2"/>
  <c r="Q51" i="2"/>
  <c r="R51" i="2"/>
  <c r="H52" i="2"/>
  <c r="I52" i="2"/>
  <c r="J52" i="2"/>
  <c r="K52" i="2"/>
  <c r="L52" i="2"/>
  <c r="M52" i="2"/>
  <c r="N52" i="2"/>
  <c r="O52" i="2"/>
  <c r="P52" i="2"/>
  <c r="Q52" i="2"/>
  <c r="R52" i="2"/>
  <c r="H53" i="2"/>
  <c r="I53" i="2"/>
  <c r="J53" i="2"/>
  <c r="K53" i="2"/>
  <c r="L53" i="2"/>
  <c r="M53" i="2"/>
  <c r="N53" i="2"/>
  <c r="O53" i="2"/>
  <c r="P53" i="2"/>
  <c r="Q53" i="2"/>
  <c r="R53" i="2"/>
  <c r="H55" i="2"/>
  <c r="I55" i="2"/>
  <c r="J55" i="2"/>
  <c r="K55" i="2"/>
  <c r="L55" i="2"/>
  <c r="M55" i="2"/>
  <c r="N55" i="2"/>
  <c r="O55" i="2"/>
  <c r="P55" i="2"/>
  <c r="Q55" i="2"/>
  <c r="R55" i="2"/>
  <c r="H56" i="2"/>
  <c r="I56" i="2"/>
  <c r="J56" i="2"/>
  <c r="K56" i="2"/>
  <c r="L56" i="2"/>
  <c r="M56" i="2"/>
  <c r="N56" i="2"/>
  <c r="O56" i="2"/>
  <c r="P56" i="2"/>
  <c r="Q56" i="2"/>
  <c r="R56" i="2"/>
  <c r="H63" i="2"/>
  <c r="I63" i="2"/>
  <c r="J63" i="2"/>
  <c r="K63" i="2"/>
  <c r="L63" i="2"/>
  <c r="M63" i="2"/>
  <c r="N63" i="2"/>
  <c r="O63" i="2"/>
  <c r="P63" i="2"/>
  <c r="Q63" i="2"/>
  <c r="R63" i="2"/>
  <c r="H68" i="2"/>
  <c r="I68" i="2"/>
  <c r="J68" i="2"/>
  <c r="K68" i="2"/>
  <c r="L68" i="2"/>
  <c r="M68" i="2"/>
  <c r="N68" i="2"/>
  <c r="O68" i="2"/>
  <c r="P68" i="2"/>
  <c r="Q68" i="2"/>
  <c r="R68" i="2"/>
  <c r="H73" i="2"/>
  <c r="I73" i="2"/>
  <c r="J73" i="2"/>
  <c r="K73" i="2"/>
  <c r="L73" i="2"/>
  <c r="M73" i="2"/>
  <c r="N73" i="2"/>
  <c r="O73" i="2"/>
  <c r="P73" i="2"/>
  <c r="Q73" i="2"/>
  <c r="R73" i="2"/>
  <c r="H82" i="2"/>
  <c r="I82" i="2"/>
  <c r="J82" i="2"/>
  <c r="K82" i="2"/>
  <c r="L82" i="2"/>
  <c r="M82" i="2"/>
  <c r="N82" i="2"/>
  <c r="O82" i="2"/>
  <c r="P82" i="2"/>
  <c r="Q82" i="2"/>
  <c r="R82" i="2"/>
  <c r="H84" i="2"/>
  <c r="I84" i="2"/>
  <c r="J84" i="2"/>
  <c r="K84" i="2"/>
  <c r="L84" i="2"/>
  <c r="M84" i="2"/>
  <c r="N84" i="2"/>
  <c r="O84" i="2"/>
  <c r="P84" i="2"/>
  <c r="Q84" i="2"/>
  <c r="R84" i="2"/>
  <c r="H86" i="2"/>
  <c r="I86" i="2"/>
  <c r="J86" i="2"/>
  <c r="K86" i="2"/>
  <c r="L86" i="2"/>
  <c r="M86" i="2"/>
  <c r="N86" i="2"/>
  <c r="O86" i="2"/>
  <c r="P86" i="2"/>
  <c r="Q86" i="2"/>
  <c r="R86" i="2"/>
  <c r="H90" i="2"/>
  <c r="I90" i="2"/>
  <c r="J90" i="2"/>
  <c r="K90" i="2"/>
  <c r="L90" i="2"/>
  <c r="M90" i="2"/>
  <c r="N90" i="2"/>
  <c r="O90" i="2"/>
  <c r="P90" i="2"/>
  <c r="Q90" i="2"/>
  <c r="R90" i="2"/>
  <c r="H91" i="2"/>
  <c r="I91" i="2"/>
  <c r="J91" i="2"/>
  <c r="K91" i="2"/>
  <c r="L91" i="2"/>
  <c r="M91" i="2"/>
  <c r="N91" i="2"/>
  <c r="O91" i="2"/>
  <c r="P91" i="2"/>
  <c r="Q91" i="2"/>
  <c r="R91" i="2"/>
  <c r="H92" i="2"/>
  <c r="I92" i="2"/>
  <c r="J92" i="2"/>
  <c r="K92" i="2"/>
  <c r="L92" i="2"/>
  <c r="M92" i="2"/>
  <c r="N92" i="2"/>
  <c r="O92" i="2"/>
  <c r="P92" i="2"/>
  <c r="Q92" i="2"/>
  <c r="R92" i="2"/>
  <c r="H94" i="2"/>
  <c r="I94" i="2"/>
  <c r="J94" i="2"/>
  <c r="K94" i="2"/>
  <c r="L94" i="2"/>
  <c r="M94" i="2"/>
  <c r="N94" i="2"/>
  <c r="O94" i="2"/>
  <c r="P94" i="2"/>
  <c r="Q94" i="2"/>
  <c r="R94" i="2"/>
  <c r="I100" i="2"/>
  <c r="J100" i="2"/>
  <c r="K100" i="2"/>
  <c r="L100" i="2"/>
  <c r="M100" i="2"/>
  <c r="N100" i="2"/>
  <c r="O100" i="2"/>
  <c r="P100" i="2"/>
  <c r="Q100" i="2"/>
  <c r="R100" i="2"/>
  <c r="H103" i="2"/>
  <c r="I103" i="2"/>
  <c r="J103" i="2"/>
  <c r="K103" i="2"/>
  <c r="L103" i="2"/>
  <c r="M103" i="2"/>
  <c r="N103" i="2"/>
  <c r="O103" i="2"/>
  <c r="P103" i="2"/>
  <c r="Q103" i="2"/>
  <c r="R103" i="2"/>
  <c r="H115" i="2"/>
  <c r="I115" i="2"/>
  <c r="J115" i="2"/>
  <c r="K115" i="2"/>
  <c r="L115" i="2"/>
  <c r="M115" i="2"/>
  <c r="N115" i="2"/>
  <c r="O115" i="2"/>
  <c r="P115" i="2"/>
  <c r="Q115" i="2"/>
  <c r="R115" i="2"/>
  <c r="H125" i="2"/>
  <c r="I125" i="2"/>
  <c r="J125" i="2"/>
  <c r="K125" i="2"/>
  <c r="L125" i="2"/>
  <c r="M125" i="2"/>
  <c r="N125" i="2"/>
  <c r="O125" i="2"/>
  <c r="P125" i="2"/>
  <c r="Q125" i="2"/>
  <c r="R125" i="2"/>
  <c r="H128" i="2"/>
  <c r="I128" i="2"/>
  <c r="J128" i="2"/>
  <c r="K128" i="2"/>
  <c r="L128" i="2"/>
  <c r="M128" i="2"/>
  <c r="N128" i="2"/>
  <c r="O128" i="2"/>
  <c r="P128" i="2"/>
  <c r="Q128" i="2"/>
  <c r="R128" i="2"/>
  <c r="H130" i="2"/>
  <c r="I130" i="2"/>
  <c r="J130" i="2"/>
  <c r="K130" i="2"/>
  <c r="L130" i="2"/>
  <c r="M130" i="2"/>
  <c r="N130" i="2"/>
  <c r="O130" i="2"/>
  <c r="P130" i="2"/>
  <c r="Q130" i="2"/>
  <c r="R130" i="2"/>
  <c r="H133" i="2"/>
  <c r="I133" i="2"/>
  <c r="J133" i="2"/>
  <c r="K133" i="2"/>
  <c r="L133" i="2"/>
  <c r="M133" i="2"/>
  <c r="N133" i="2"/>
  <c r="O133" i="2"/>
  <c r="P133" i="2"/>
  <c r="Q133" i="2"/>
  <c r="R133" i="2"/>
  <c r="H135" i="2"/>
  <c r="I135" i="2"/>
  <c r="J135" i="2"/>
  <c r="K135" i="2"/>
  <c r="L135" i="2"/>
  <c r="M135" i="2"/>
  <c r="N135" i="2"/>
  <c r="O135" i="2"/>
  <c r="P135" i="2"/>
  <c r="Q135" i="2"/>
  <c r="R135" i="2"/>
  <c r="H142" i="2"/>
  <c r="I142" i="2"/>
  <c r="J142" i="2"/>
  <c r="K142" i="2"/>
  <c r="L142" i="2"/>
  <c r="M142" i="2"/>
  <c r="N142" i="2"/>
  <c r="O142" i="2"/>
  <c r="P142" i="2"/>
  <c r="Q142" i="2"/>
  <c r="R142" i="2"/>
  <c r="H145" i="2"/>
  <c r="I145" i="2"/>
  <c r="J145" i="2"/>
  <c r="K145" i="2"/>
  <c r="L145" i="2"/>
  <c r="M145" i="2"/>
  <c r="N145" i="2"/>
  <c r="O145" i="2"/>
  <c r="P145" i="2"/>
  <c r="Q145" i="2"/>
  <c r="R145" i="2"/>
  <c r="I289" i="2"/>
  <c r="J289" i="2"/>
  <c r="K289" i="2"/>
  <c r="L289" i="2"/>
  <c r="M289" i="2"/>
  <c r="N289" i="2"/>
  <c r="O289" i="2"/>
  <c r="P289" i="2"/>
  <c r="Q289" i="2"/>
  <c r="R289" i="2"/>
  <c r="H290" i="2"/>
  <c r="I290" i="2"/>
  <c r="J290" i="2"/>
  <c r="K290" i="2"/>
  <c r="L290" i="2"/>
  <c r="M290" i="2"/>
  <c r="N290" i="2"/>
  <c r="O290" i="2"/>
  <c r="P290" i="2"/>
  <c r="Q290" i="2"/>
  <c r="R290" i="2"/>
  <c r="H292" i="2"/>
  <c r="I292" i="2"/>
  <c r="J292" i="2"/>
  <c r="K292" i="2"/>
  <c r="L292" i="2"/>
  <c r="M292" i="2"/>
  <c r="N292" i="2"/>
  <c r="O292" i="2"/>
  <c r="P292" i="2"/>
  <c r="Q292" i="2"/>
  <c r="R292" i="2"/>
  <c r="H294" i="2"/>
  <c r="I294" i="2"/>
  <c r="J294" i="2"/>
  <c r="K294" i="2"/>
  <c r="L294" i="2"/>
  <c r="M294" i="2"/>
  <c r="N294" i="2"/>
  <c r="O294" i="2"/>
  <c r="P294" i="2"/>
  <c r="Q294" i="2"/>
  <c r="R294" i="2"/>
  <c r="H295" i="2"/>
  <c r="I295" i="2"/>
  <c r="J295" i="2"/>
  <c r="K295" i="2"/>
  <c r="L295" i="2"/>
  <c r="M295" i="2"/>
  <c r="N295" i="2"/>
  <c r="O295" i="2"/>
  <c r="P295" i="2"/>
  <c r="Q295" i="2"/>
  <c r="R295" i="2"/>
  <c r="H296" i="2"/>
  <c r="I296" i="2"/>
  <c r="J296" i="2"/>
  <c r="K296" i="2"/>
  <c r="L296" i="2"/>
  <c r="M296" i="2"/>
  <c r="N296" i="2"/>
  <c r="O296" i="2"/>
  <c r="P296" i="2"/>
  <c r="Q296" i="2"/>
  <c r="R296" i="2"/>
  <c r="I309" i="2"/>
  <c r="J309" i="2"/>
  <c r="K309" i="2"/>
  <c r="L309" i="2"/>
  <c r="M309" i="2"/>
  <c r="N309" i="2"/>
  <c r="O309" i="2"/>
  <c r="P309" i="2"/>
  <c r="Q309" i="2"/>
  <c r="R309" i="2"/>
  <c r="H310" i="2"/>
  <c r="I310" i="2"/>
  <c r="J310" i="2"/>
  <c r="K310" i="2"/>
  <c r="L310" i="2"/>
  <c r="M310" i="2"/>
  <c r="N310" i="2"/>
  <c r="O310" i="2"/>
  <c r="P310" i="2"/>
  <c r="Q310" i="2"/>
  <c r="R310" i="2"/>
  <c r="H311" i="2"/>
  <c r="I311" i="2"/>
  <c r="J311" i="2"/>
  <c r="K311" i="2"/>
  <c r="L311" i="2"/>
  <c r="M311" i="2"/>
  <c r="N311" i="2"/>
  <c r="O311" i="2"/>
  <c r="P311" i="2"/>
  <c r="Q311" i="2"/>
  <c r="R311" i="2"/>
  <c r="H312" i="2"/>
  <c r="I312" i="2"/>
  <c r="J312" i="2"/>
  <c r="K312" i="2"/>
  <c r="L312" i="2"/>
  <c r="M312" i="2"/>
  <c r="N312" i="2"/>
  <c r="O312" i="2"/>
  <c r="P312" i="2"/>
  <c r="Q312" i="2"/>
  <c r="R312" i="2"/>
  <c r="H316" i="2"/>
  <c r="I316" i="2"/>
  <c r="J316" i="2"/>
  <c r="K316" i="2"/>
  <c r="L316" i="2"/>
  <c r="M316" i="2"/>
  <c r="N316" i="2"/>
  <c r="O316" i="2"/>
  <c r="P316" i="2"/>
  <c r="Q316" i="2"/>
  <c r="R316" i="2"/>
  <c r="H317" i="2"/>
  <c r="I317" i="2"/>
  <c r="J317" i="2"/>
  <c r="K317" i="2"/>
  <c r="L317" i="2"/>
  <c r="M317" i="2"/>
  <c r="N317" i="2"/>
  <c r="O317" i="2"/>
  <c r="P317" i="2"/>
  <c r="Q317" i="2"/>
  <c r="R317" i="2"/>
  <c r="H323" i="2"/>
  <c r="I323" i="2"/>
  <c r="J323" i="2"/>
  <c r="K323" i="2"/>
  <c r="L323" i="2"/>
  <c r="M323" i="2"/>
  <c r="N323" i="2"/>
  <c r="O323" i="2"/>
  <c r="P323" i="2"/>
  <c r="Q323" i="2"/>
  <c r="R323" i="2"/>
</calcChain>
</file>

<file path=xl/sharedStrings.xml><?xml version="1.0" encoding="utf-8"?>
<sst xmlns="http://schemas.openxmlformats.org/spreadsheetml/2006/main" count="1235" uniqueCount="727">
  <si>
    <t>Net Product Sales</t>
  </si>
  <si>
    <t>Net Service Sales</t>
  </si>
  <si>
    <t>Total Net Sales</t>
  </si>
  <si>
    <t>Operating Expenses:</t>
  </si>
  <si>
    <t>Cost of Sales</t>
  </si>
  <si>
    <t>Fulfillment</t>
  </si>
  <si>
    <t>Marketing</t>
  </si>
  <si>
    <t>Technology and Content</t>
  </si>
  <si>
    <t>General and Administrative</t>
  </si>
  <si>
    <t>Other Operating Expense, net</t>
  </si>
  <si>
    <t>Total Operating Expenses</t>
  </si>
  <si>
    <t>Operating Income</t>
  </si>
  <si>
    <t>Interest Income</t>
  </si>
  <si>
    <t>Interest Expense</t>
  </si>
  <si>
    <t>Other Income (Expense), net</t>
  </si>
  <si>
    <t>Total Non-Operating Income (Expense)</t>
  </si>
  <si>
    <t>Income Before Income Taxes</t>
  </si>
  <si>
    <t>Provision for Income Taxes</t>
  </si>
  <si>
    <t>Equity-Method Investment Activity, net of tax</t>
  </si>
  <si>
    <t>Net Income</t>
  </si>
  <si>
    <t>Basic Earnings per Share</t>
  </si>
  <si>
    <t>Diluted Earnings per Share</t>
  </si>
  <si>
    <t>Weighted-Average Shares used in Computation of Earnings per Share:</t>
  </si>
  <si>
    <t>Basic</t>
  </si>
  <si>
    <t>Diluted</t>
  </si>
  <si>
    <t/>
  </si>
  <si>
    <t>Current Assets:</t>
  </si>
  <si>
    <t>Cash and Cash Equivalents</t>
  </si>
  <si>
    <t>Marketable Securities</t>
  </si>
  <si>
    <t>Inventories</t>
  </si>
  <si>
    <t>Accounts Receivable, net and other</t>
  </si>
  <si>
    <t>Total Current Assets</t>
  </si>
  <si>
    <t>Property And Equipment, net</t>
  </si>
  <si>
    <t>Goodwill</t>
  </si>
  <si>
    <t>Other Assets</t>
  </si>
  <si>
    <t>Total Assets</t>
  </si>
  <si>
    <t>LIABILITIES AND STOCKHOLDERS’ EQUITY</t>
  </si>
  <si>
    <t>Current Liabilities:</t>
  </si>
  <si>
    <t>Accounts Payable</t>
  </si>
  <si>
    <t>Accrued Expenses and Other</t>
  </si>
  <si>
    <t>Unearned Revenue</t>
  </si>
  <si>
    <t>Total Current Liabilities</t>
  </si>
  <si>
    <t>Long-Term Debt</t>
  </si>
  <si>
    <t>Other Long-Term Liabilities</t>
  </si>
  <si>
    <t>Stockholders’ Equity:</t>
  </si>
  <si>
    <t>Preferred Stock, $0.01 Par Value:</t>
  </si>
  <si>
    <t>Authorized Shares — 500</t>
  </si>
  <si>
    <t>Issued and Outstanding Shares — None</t>
  </si>
  <si>
    <t>Common Stock, $0.01 Par Value:</t>
  </si>
  <si>
    <t>Authorized Shares — 5,000</t>
  </si>
  <si>
    <t>Issued Shares — 500 and 507</t>
  </si>
  <si>
    <t>Outstanding Shares — 477 and 484</t>
  </si>
  <si>
    <t>Treasury Stock, at Cost</t>
  </si>
  <si>
    <t>Additional Paid-In Capital</t>
  </si>
  <si>
    <t>Accumulated Other Comprehensive Loss</t>
  </si>
  <si>
    <t>Retained Earnings</t>
  </si>
  <si>
    <t>Total Stockholders’ Equity</t>
  </si>
  <si>
    <t>Total Liabilities and Stockholders’ Equity</t>
  </si>
  <si>
    <t>OPERATING ACTIVITIES:</t>
  </si>
  <si>
    <t>Adjustments to Reconcile Net Income to Net Cash from Operating Activities:</t>
  </si>
  <si>
    <t>Depreciation of Property and Equipment, Including Internal-Use Software Website Development, and Other Amortization, Including Capitalized Content</t>
  </si>
  <si>
    <t>Stock-Based Compensation</t>
  </si>
  <si>
    <t>Other Expense (Income), net</t>
  </si>
  <si>
    <t>Deferred Income Taxes</t>
  </si>
  <si>
    <t>Changes in Operating Assets and Liabilities:</t>
  </si>
  <si>
    <t>Net Cash Provided by (used in) Operating Activities</t>
  </si>
  <si>
    <t>Purchases of Property and Equipment, Including Internal-Use Software and Website Development</t>
  </si>
  <si>
    <t>Proceeds from Property and Equipment Incentives</t>
  </si>
  <si>
    <t>Acquisitions, net of cash acquired, and other</t>
  </si>
  <si>
    <t>Sales and Maturities of Marketable Securities</t>
  </si>
  <si>
    <t>Purchases of Marketable Securities</t>
  </si>
  <si>
    <t>Net Cash Provided by (used in) Investing Activities</t>
  </si>
  <si>
    <t>Proceeds from Long-Term Debt and Other</t>
  </si>
  <si>
    <t>Repayments of Long-Term Debt and Other</t>
  </si>
  <si>
    <t>Net Cash Provided by (used in) Financing Activities</t>
  </si>
  <si>
    <t>Net Increase (Decrease) in Cash and Cash Equivalents</t>
  </si>
  <si>
    <t>© Corporate Finance Institute. All rights reserved.</t>
  </si>
  <si>
    <t>Tax Rate</t>
  </si>
  <si>
    <t>Income Statement</t>
  </si>
  <si>
    <t>Balance Sheet</t>
  </si>
  <si>
    <t>Total Liabilities</t>
  </si>
  <si>
    <t>Common Shares – 477 and 484</t>
  </si>
  <si>
    <t>Cash Flow Statement</t>
  </si>
  <si>
    <t>Stock-Based Compensation (SBC) (% of SG&amp;A)</t>
  </si>
  <si>
    <t>Inventory Days</t>
  </si>
  <si>
    <t>Accounts Receivable Days</t>
  </si>
  <si>
    <t>Accounts Payable Days</t>
  </si>
  <si>
    <t>Cash Capex % of revenue</t>
  </si>
  <si>
    <t>Depreciation % of PPE (Opening Balance)</t>
  </si>
  <si>
    <t>Time Periods</t>
  </si>
  <si>
    <t>BOP</t>
  </si>
  <si>
    <t>Days</t>
  </si>
  <si>
    <t>EOP</t>
  </si>
  <si>
    <t>Supporting Schedules</t>
  </si>
  <si>
    <t>PP&amp;E Schedule</t>
  </si>
  <si>
    <t>Opening Balance</t>
  </si>
  <si>
    <t>Plus: Capex</t>
  </si>
  <si>
    <t>Plus: Other Net Additions</t>
  </si>
  <si>
    <t>Closing Balance</t>
  </si>
  <si>
    <t>Long-Term Debt on Balance Sheet</t>
  </si>
  <si>
    <t>Less: Principal Repayments</t>
  </si>
  <si>
    <t>Plus: Net Additions</t>
  </si>
  <si>
    <t>Segmented Revenue</t>
  </si>
  <si>
    <t>Online Stores</t>
  </si>
  <si>
    <t>Physical Stores</t>
  </si>
  <si>
    <t>Retail Third-Party Seller Services</t>
  </si>
  <si>
    <t>Retail Subscription Services</t>
  </si>
  <si>
    <t>AWS</t>
  </si>
  <si>
    <t>Other</t>
  </si>
  <si>
    <t>Segmented Revenue Growth</t>
  </si>
  <si>
    <t>Check</t>
  </si>
  <si>
    <t>Sales (Purchases) of Marketable Securities, net</t>
  </si>
  <si>
    <t>Proceeds (Repayments) from Long-Term Debt and Other</t>
  </si>
  <si>
    <t>Proceeds from Issuing Equity (Common, Treasury, Paid-in, etc)</t>
  </si>
  <si>
    <t>Payment of Dividends</t>
  </si>
  <si>
    <t>Advertising</t>
  </si>
  <si>
    <t>Cloud</t>
  </si>
  <si>
    <t>Amazon 1P</t>
  </si>
  <si>
    <t>Amazon 3P</t>
  </si>
  <si>
    <t>Revenue</t>
  </si>
  <si>
    <t>1P</t>
  </si>
  <si>
    <t>3P</t>
  </si>
  <si>
    <t>Subs</t>
  </si>
  <si>
    <t>EBIT</t>
  </si>
  <si>
    <t>D&amp;A</t>
  </si>
  <si>
    <t>EBITDA (Including SBC)</t>
  </si>
  <si>
    <t>Stock-Based Compensation (SBC)</t>
  </si>
  <si>
    <t>EBITDA (Excluding SBC)</t>
  </si>
  <si>
    <t>Free Cash Flow to Firm (FCFF)</t>
  </si>
  <si>
    <t>Operating Profit</t>
  </si>
  <si>
    <t>Less: Unlevered Taxes</t>
  </si>
  <si>
    <t>Net Operating Profit After Tax (NOPAT)</t>
  </si>
  <si>
    <t>Plus: Depreciation &amp; Amortization</t>
  </si>
  <si>
    <t>Plus: Stock-Based Compensation</t>
  </si>
  <si>
    <t>Plus: Other Non-Cash Expenses</t>
  </si>
  <si>
    <t>Less: Cash Capex</t>
  </si>
  <si>
    <t>Plus: Changes in Net Working Capital</t>
  </si>
  <si>
    <t>Valuation Date</t>
  </si>
  <si>
    <t>Terminal Value</t>
  </si>
  <si>
    <t>Equity Value</t>
  </si>
  <si>
    <t>BULL CASE</t>
  </si>
  <si>
    <t>BEAR CASE</t>
  </si>
  <si>
    <t>OTHER CASE</t>
  </si>
  <si>
    <t>Name</t>
  </si>
  <si>
    <t>Bull</t>
  </si>
  <si>
    <t>Bear</t>
  </si>
  <si>
    <t>LIVE CASE</t>
  </si>
  <si>
    <t>Ticker</t>
  </si>
  <si>
    <t>Levered</t>
  </si>
  <si>
    <t>Total</t>
  </si>
  <si>
    <t>Mkt. Val.</t>
  </si>
  <si>
    <t>Unlevered</t>
  </si>
  <si>
    <t>Beta</t>
  </si>
  <si>
    <t>Debt</t>
  </si>
  <si>
    <t>Equity</t>
  </si>
  <si>
    <t>Alphabet Inc.</t>
  </si>
  <si>
    <t>Market Cap</t>
  </si>
  <si>
    <t>Facebook, Inc.</t>
  </si>
  <si>
    <t>Country</t>
  </si>
  <si>
    <t>Size Premium</t>
  </si>
  <si>
    <t>eBay Inc.</t>
  </si>
  <si>
    <t>Walmart Inc.</t>
  </si>
  <si>
    <t>China</t>
  </si>
  <si>
    <t>Average</t>
  </si>
  <si>
    <t>Germany</t>
  </si>
  <si>
    <t>Risk Free Rate</t>
  </si>
  <si>
    <t>United States</t>
  </si>
  <si>
    <t>WACC</t>
  </si>
  <si>
    <t>Notes:</t>
  </si>
  <si>
    <t>EV/Revenue</t>
  </si>
  <si>
    <t>EV/EBITDA</t>
  </si>
  <si>
    <t>Company Name</t>
  </si>
  <si>
    <t>Market Capitalization</t>
  </si>
  <si>
    <t>Enterprise Value</t>
  </si>
  <si>
    <t>Target Corporation</t>
  </si>
  <si>
    <t>Lowe's Companies, Inc.</t>
  </si>
  <si>
    <t>The Home Depot, Inc.</t>
  </si>
  <si>
    <t>Median</t>
  </si>
  <si>
    <t>Etsy, Inc.</t>
  </si>
  <si>
    <t>Advertising Comps</t>
  </si>
  <si>
    <t>Twitter, Inc.</t>
  </si>
  <si>
    <t>Cloud Comps</t>
  </si>
  <si>
    <t>VMware, Inc.</t>
  </si>
  <si>
    <t>Subscription</t>
  </si>
  <si>
    <t>Amazon.com, Inc.</t>
  </si>
  <si>
    <t>Recommendation:</t>
  </si>
  <si>
    <t>Buy</t>
  </si>
  <si>
    <t>Company Overview</t>
  </si>
  <si>
    <t>Price</t>
  </si>
  <si>
    <t>Market</t>
  </si>
  <si>
    <t>Football Field Chart</t>
  </si>
  <si>
    <t>lo (bar)</t>
  </si>
  <si>
    <t>hi (bar)</t>
  </si>
  <si>
    <t>Valuation Summary - Equity Value per Share ($)</t>
  </si>
  <si>
    <t>Share Price Chart</t>
  </si>
  <si>
    <t>Low</t>
  </si>
  <si>
    <t>Dates</t>
  </si>
  <si>
    <r>
      <rPr>
        <b/>
        <sz val="11"/>
        <color theme="0"/>
        <rFont val="Arial Narrow"/>
        <family val="2"/>
      </rPr>
      <t>Amazon.com, Inc. (NasdaqGS:AMZN) - Share Pricing</t>
    </r>
  </si>
  <si>
    <t>Amazon.com, Inc. (AMZN) Valuation Model</t>
  </si>
  <si>
    <t>Notes</t>
  </si>
  <si>
    <t>This Excel model is provided "as is" and designed for educational purposes only and should not be used for any other reason.</t>
  </si>
  <si>
    <t>CFI Education Inc. and its affiliates have no liability arising out of your use of this model.</t>
  </si>
  <si>
    <t>The model is Copyright material of CFI Education Inc., all rights reserved.</t>
  </si>
  <si>
    <t>https://corporatefinanceinstitute.com/</t>
  </si>
  <si>
    <t xml:space="preserve">All rights reserved.  The contents of this publication, including but not limited to all written material, content layout, images, formulas, and code, are protected under international copyright and trademark laws.  </t>
  </si>
  <si>
    <t xml:space="preserve">No part of this publication may be modified, manipulated, reproduced, distributed, or transmitted in any form by any means, including photocopying, recording, or other electronic or mechanical methods, </t>
  </si>
  <si>
    <t>without prior written permission of the publisher, except in the case of certain noncommercial uses permitted by copyright law.</t>
  </si>
  <si>
    <t>Operating leases</t>
  </si>
  <si>
    <t>Long-term lease liabilities</t>
  </si>
  <si>
    <t>CASH, CASH EQUIVALENTS, AND RESTRICTED CASH, BEGINNING OF PERIOD</t>
  </si>
  <si>
    <t>Foreign currency effect on cash, cash equivalents, and restricted cash</t>
  </si>
  <si>
    <t>Cash, Cash Equivalents, and Restricted Cash, End of Period</t>
  </si>
  <si>
    <t>Cash and cash equivalents</t>
  </si>
  <si>
    <t>Restricted cash included in accounts receivable, net and other</t>
  </si>
  <si>
    <t>Restricted cash included in other assets</t>
  </si>
  <si>
    <t>Total cash, cash equivalents, and restricted cash shown in the consolidated statements of cash flows</t>
  </si>
  <si>
    <t>Cash paid for interest on long-term debt</t>
  </si>
  <si>
    <t>Cash paid for operating leases</t>
  </si>
  <si>
    <t>Cash paid for interest on capital and finance lease obligations</t>
  </si>
  <si>
    <t>Cash paid for interest on financing obligations</t>
  </si>
  <si>
    <t>Cash paid for income taxes, net of refunds</t>
  </si>
  <si>
    <t>Assets acquired under operating leases</t>
  </si>
  <si>
    <t>Property and equipment acquired under capital and finance leases</t>
  </si>
  <si>
    <t>Property and equipment acquired under build-to-suit arrangements</t>
  </si>
  <si>
    <t>Long-term Lease Liabilities</t>
  </si>
  <si>
    <t>Depreciation and Amortization</t>
  </si>
  <si>
    <t>Historical Analysis and Projections</t>
  </si>
  <si>
    <t>Principal repayments of Financing Obligations</t>
  </si>
  <si>
    <t>Comparable Trading Metrics</t>
  </si>
  <si>
    <t>All Amounts Denominated in US$MM Unless Otherwise Stated</t>
  </si>
  <si>
    <t>Current Capitalization</t>
  </si>
  <si>
    <t>Leverage Multiples</t>
  </si>
  <si>
    <t>Share</t>
  </si>
  <si>
    <t>Enterprise</t>
  </si>
  <si>
    <t>EBITDA</t>
  </si>
  <si>
    <t>Earnings</t>
  </si>
  <si>
    <t>Cash Flow</t>
  </si>
  <si>
    <t>P/E</t>
  </si>
  <si>
    <t>P/CF</t>
  </si>
  <si>
    <t>Debt /</t>
  </si>
  <si>
    <t>Net Debt</t>
  </si>
  <si>
    <t>FY+1</t>
  </si>
  <si>
    <t>FY+2</t>
  </si>
  <si>
    <t>Book Cap.</t>
  </si>
  <si>
    <t>[$/sh.]</t>
  </si>
  <si>
    <t>[MM]</t>
  </si>
  <si>
    <t>[$MM]</t>
  </si>
  <si>
    <t>[x]</t>
  </si>
  <si>
    <t>[%]</t>
  </si>
  <si>
    <t>1.  Fully diluted (treasury stock method)</t>
  </si>
  <si>
    <t>2.  Market capitalization plus long term debt net of working capital as at the most recently disclosed quarter, adjusted for subsequent acquisitions and financings</t>
  </si>
  <si>
    <t>NYSE: TGT</t>
  </si>
  <si>
    <t>NYSE: LOW</t>
  </si>
  <si>
    <t>NYSE: HD</t>
  </si>
  <si>
    <t>NYSE: WMT</t>
  </si>
  <si>
    <t>_Vdate</t>
  </si>
  <si>
    <t>Shares1</t>
  </si>
  <si>
    <t>NASDAQ: EBAY</t>
  </si>
  <si>
    <t>NASDAQ: ETSY</t>
  </si>
  <si>
    <t>NYSE: BABA</t>
  </si>
  <si>
    <t>Alibaba Group Holding Limited</t>
  </si>
  <si>
    <t>NYSE:TWTR</t>
  </si>
  <si>
    <t>NASDAQ: FB</t>
  </si>
  <si>
    <t>NYSE: ORCL</t>
  </si>
  <si>
    <t>Oracle Corporation</t>
  </si>
  <si>
    <t>NYSE: CRM</t>
  </si>
  <si>
    <t>salesforce.com, inc.</t>
  </si>
  <si>
    <t>NYSE: VMW</t>
  </si>
  <si>
    <t>SAP SE</t>
  </si>
  <si>
    <t>NASDAQ: ROKU</t>
  </si>
  <si>
    <t>NYSE: SPOT</t>
  </si>
  <si>
    <t>NASDAQGS: SIRI</t>
  </si>
  <si>
    <t>NASDAQ: NFLX</t>
  </si>
  <si>
    <r>
      <t>Value</t>
    </r>
    <r>
      <rPr>
        <b/>
        <u val="singleAccounting"/>
        <vertAlign val="superscript"/>
        <sz val="11"/>
        <rFont val="Arial Narrow"/>
        <family val="2"/>
      </rPr>
      <t>2</t>
    </r>
  </si>
  <si>
    <t>Subscription Services</t>
  </si>
  <si>
    <t>Mid</t>
  </si>
  <si>
    <t>High</t>
  </si>
  <si>
    <t>Discounted Cash Flow Analysis</t>
  </si>
  <si>
    <t>Subject Company</t>
  </si>
  <si>
    <t>Input</t>
  </si>
  <si>
    <t>Defined Name</t>
  </si>
  <si>
    <t>General Assumptions</t>
  </si>
  <si>
    <t>_CompanyName</t>
  </si>
  <si>
    <r>
      <t>Cap.</t>
    </r>
    <r>
      <rPr>
        <b/>
        <u val="singleAccounting"/>
        <vertAlign val="superscript"/>
        <sz val="11"/>
        <rFont val="Arial Narrow"/>
        <family val="2"/>
      </rPr>
      <t>1</t>
    </r>
  </si>
  <si>
    <t>Less: Net Debt</t>
  </si>
  <si>
    <t>_YEdate_After</t>
  </si>
  <si>
    <t>_WACC</t>
  </si>
  <si>
    <t>NASDAQ: GOOG.L</t>
  </si>
  <si>
    <t>Luxembourg</t>
  </si>
  <si>
    <t>_TaxRate</t>
  </si>
  <si>
    <t>5-Year Average Tax Rate</t>
  </si>
  <si>
    <t>Equity Risk Premium</t>
  </si>
  <si>
    <t>Levered Equity Beta</t>
  </si>
  <si>
    <t>Country Risk Premium</t>
  </si>
  <si>
    <t>Company Specific Risk Premium</t>
  </si>
  <si>
    <t>Cost of Debt</t>
  </si>
  <si>
    <t>Selected WACC</t>
  </si>
  <si>
    <t>Principal repayments of Finance Leases</t>
  </si>
  <si>
    <t>Operating Lease Net Additions % of Revenue</t>
  </si>
  <si>
    <t>Determination of EBITDA &amp; Free Cash Flow</t>
  </si>
  <si>
    <t>Principal repayments of Capital Lease Obligations</t>
  </si>
  <si>
    <t>Thereafter</t>
  </si>
  <si>
    <t>Plus: Additions</t>
  </si>
  <si>
    <t>Total Long-Term Debt</t>
  </si>
  <si>
    <t xml:space="preserve"> </t>
  </si>
  <si>
    <t>Debt Additions Schedule</t>
  </si>
  <si>
    <t>Accrued Expenses as a % of Revenue</t>
  </si>
  <si>
    <t>Unearned Revenue as a % of Revenue</t>
  </si>
  <si>
    <t>PP&amp;E Acquired under Financing Leases (% Revenue)</t>
  </si>
  <si>
    <t>+ for Bull Case</t>
  </si>
  <si>
    <t>Accrued Expenses (% of Revenue)</t>
  </si>
  <si>
    <t>Unearned Revenue (% of Revenue)</t>
  </si>
  <si>
    <t>(-) for Bear Case</t>
  </si>
  <si>
    <t>Roku, Inc.</t>
  </si>
  <si>
    <t>Spotify Technology S.A.</t>
  </si>
  <si>
    <t>Sirius XM Holdings Inc.</t>
  </si>
  <si>
    <t>Netflix, Inc.</t>
  </si>
  <si>
    <t>Operating Leases Schedule</t>
  </si>
  <si>
    <t>_LTGrowth</t>
  </si>
  <si>
    <t>Commitments and Contingencies</t>
  </si>
  <si>
    <t xml:space="preserve">XTRA:SAP </t>
  </si>
  <si>
    <t>Operating Lease Expense</t>
  </si>
  <si>
    <t>Interest Expense on Long-Term Debt</t>
  </si>
  <si>
    <t>Interest Rate on Long-Term Debt</t>
  </si>
  <si>
    <t>Hold</t>
  </si>
  <si>
    <t>Sell</t>
  </si>
  <si>
    <t>Historical Financial Information</t>
  </si>
  <si>
    <t>Income Statement Information</t>
  </si>
  <si>
    <t>Balance Sheet Information</t>
  </si>
  <si>
    <t>Cash Flow Statement Information</t>
  </si>
  <si>
    <t>Toggles and Controls (DO NOT DELETE)</t>
  </si>
  <si>
    <t>Scenario Selection Toggle</t>
  </si>
  <si>
    <t>Scenario</t>
  </si>
  <si>
    <t>Valuation Assumptions</t>
  </si>
  <si>
    <t>Comparable Companies Beta</t>
  </si>
  <si>
    <t>5-Yr. Avg.</t>
  </si>
  <si>
    <t>Amazon WACC Calculation</t>
  </si>
  <si>
    <t>Target Capital Structure</t>
  </si>
  <si>
    <t>Target Capital Structure (% Debt)</t>
  </si>
  <si>
    <t>Proportion of Debt</t>
  </si>
  <si>
    <t>Proportion of Equity</t>
  </si>
  <si>
    <t>Debt / Equity</t>
  </si>
  <si>
    <t>Pre-Tax Cost of Debt</t>
  </si>
  <si>
    <t>Interest Rate</t>
  </si>
  <si>
    <t>After-Tax Cost of Debt</t>
  </si>
  <si>
    <t>Cost of Equity</t>
  </si>
  <si>
    <t>Current Capital Structure</t>
  </si>
  <si>
    <t>Total Debt</t>
  </si>
  <si>
    <t>Terminal Value Methodology</t>
  </si>
  <si>
    <t>Discounted Cash Flow (DCF) Analysis</t>
  </si>
  <si>
    <t>Weighted-Average Cost of Capital (WACC)</t>
  </si>
  <si>
    <r>
      <rPr>
        <b/>
        <sz val="12"/>
        <color theme="1"/>
        <rFont val="Arial Narrow"/>
        <family val="2"/>
      </rPr>
      <t>Source:</t>
    </r>
    <r>
      <rPr>
        <sz val="12"/>
        <color theme="1"/>
        <rFont val="Arial Narrow"/>
        <family val="2"/>
      </rPr>
      <t xml:space="preserve"> https://ir.aboutamazon.com/annual-reports</t>
    </r>
  </si>
  <si>
    <t>Year Fraction</t>
  </si>
  <si>
    <t>Date for NPV Calculation</t>
  </si>
  <si>
    <t>Valuation Date / Fiscal Year-End</t>
  </si>
  <si>
    <t>Terminal Value EBITDA Multiple</t>
  </si>
  <si>
    <t>Terminal Value: Exit Multiple</t>
  </si>
  <si>
    <t>Terminal Value: Perpetual Growth</t>
  </si>
  <si>
    <t>Terminal Value: Average</t>
  </si>
  <si>
    <t>Terminal Value Methodology Toggle</t>
  </si>
  <si>
    <t>Valuation FCFF</t>
  </si>
  <si>
    <t>Selected Terminal Value</t>
  </si>
  <si>
    <t>WACC Assumptions</t>
  </si>
  <si>
    <t>DCF Assumptions</t>
  </si>
  <si>
    <t>Target Price Thresholds (Versus Current Price)</t>
  </si>
  <si>
    <t>Historical Share Price Performance</t>
  </si>
  <si>
    <r>
      <t xml:space="preserve">Current Capitalization </t>
    </r>
    <r>
      <rPr>
        <i/>
        <sz val="12"/>
        <color theme="0"/>
        <rFont val="Arial Narrow"/>
        <family val="2"/>
      </rPr>
      <t>(US$MM)</t>
    </r>
  </si>
  <si>
    <r>
      <t xml:space="preserve">Current Share Price </t>
    </r>
    <r>
      <rPr>
        <i/>
        <sz val="12"/>
        <color theme="1"/>
        <rFont val="Arial Narrow"/>
        <family val="2"/>
      </rPr>
      <t>(US$/sh.)</t>
    </r>
  </si>
  <si>
    <t>2021E</t>
  </si>
  <si>
    <t>2022E</t>
  </si>
  <si>
    <t>EV / EBITDA</t>
  </si>
  <si>
    <t>Total Debt / Equity</t>
  </si>
  <si>
    <t>Financial Estimates3</t>
  </si>
  <si>
    <t>1P Comps</t>
  </si>
  <si>
    <t>Average: 1P Comps</t>
  </si>
  <si>
    <t>Median: 1P Comps</t>
  </si>
  <si>
    <t>3P Comps</t>
  </si>
  <si>
    <t>Average: 3P Comps</t>
  </si>
  <si>
    <t>Median: 3P Comps</t>
  </si>
  <si>
    <t>Average: Advertising Comps</t>
  </si>
  <si>
    <t>Median: Advertising Comps</t>
  </si>
  <si>
    <t>Average: Cloud Comps</t>
  </si>
  <si>
    <t>Median: Cloud Comps</t>
  </si>
  <si>
    <t>Subscription Comps</t>
  </si>
  <si>
    <t>Average: Subscription Comps</t>
  </si>
  <si>
    <t>Median: Subscription Comps</t>
  </si>
  <si>
    <t>Total Debt / Book Capital</t>
  </si>
  <si>
    <t>3.  Based on Consensus research estimates</t>
  </si>
  <si>
    <t>Amazon Sum-of-the-Parts (SOTP) Valuation</t>
  </si>
  <si>
    <t>Comparable Multiple Range</t>
  </si>
  <si>
    <t>Total Amazon 1P</t>
  </si>
  <si>
    <t>Implied Enterprise Value</t>
  </si>
  <si>
    <t>Total Amazon 3P</t>
  </si>
  <si>
    <t>Total Amazon Subscription Services</t>
  </si>
  <si>
    <t>Total Amazon Advertising</t>
  </si>
  <si>
    <t>Total Amazon Cloud</t>
  </si>
  <si>
    <t>Total Amazon Implied Enterprise Value</t>
  </si>
  <si>
    <t>Total Amazon Implied Equity Value</t>
  </si>
  <si>
    <r>
      <t xml:space="preserve">Fully Diluted Shares Outstanding </t>
    </r>
    <r>
      <rPr>
        <i/>
        <sz val="11"/>
        <color theme="1"/>
        <rFont val="Arial Narrow"/>
        <family val="2"/>
      </rPr>
      <t>(MM)</t>
    </r>
  </si>
  <si>
    <r>
      <t xml:space="preserve">Total Amazon Implied Equity Value per Share </t>
    </r>
    <r>
      <rPr>
        <b/>
        <i/>
        <sz val="11"/>
        <color theme="1"/>
        <rFont val="Arial Narrow"/>
        <family val="2"/>
      </rPr>
      <t>($/sh.)</t>
    </r>
  </si>
  <si>
    <t>SOTP</t>
  </si>
  <si>
    <t>Cash</t>
  </si>
  <si>
    <t>Capital</t>
  </si>
  <si>
    <t>Base</t>
  </si>
  <si>
    <t>Base CASE</t>
  </si>
  <si>
    <t>Equity Analyst Coverage</t>
  </si>
  <si>
    <t>Research Contributor</t>
  </si>
  <si>
    <t>Target Price</t>
  </si>
  <si>
    <t>Recommendation</t>
  </si>
  <si>
    <t>JMP Securities</t>
  </si>
  <si>
    <t>Mean</t>
  </si>
  <si>
    <t>Mode</t>
  </si>
  <si>
    <t>Base Case Annual Growth Taper</t>
  </si>
  <si>
    <t>Revenue Forecast Assumptions</t>
  </si>
  <si>
    <t>Expense Forecast Assumptions</t>
  </si>
  <si>
    <t>Balance Sheet Forecast Assumptions</t>
  </si>
  <si>
    <t>Operating Lease Asset</t>
  </si>
  <si>
    <t>Operating Lease Liability</t>
  </si>
  <si>
    <t>Beginning Balance</t>
  </si>
  <si>
    <t>Right-of-Use Asset</t>
  </si>
  <si>
    <t>Plus: Interest</t>
  </si>
  <si>
    <t>Lease Liability</t>
  </si>
  <si>
    <t>Principal Repayments on Existing Long-Term Debt</t>
  </si>
  <si>
    <t>Repayment</t>
  </si>
  <si>
    <t>Existing Long-Term Debt Schedule</t>
  </si>
  <si>
    <t>Additional Capital Requirnments Schedule</t>
  </si>
  <si>
    <t>Additional Capital - Long-Term Debt</t>
  </si>
  <si>
    <t>Additional Common Shares</t>
  </si>
  <si>
    <t>Less: Principal Repayments - Existing Long-Term Debt</t>
  </si>
  <si>
    <t>Other Non-Cash Expense, net</t>
  </si>
  <si>
    <t>Common-Size Summary &amp; Historical Analysis</t>
  </si>
  <si>
    <t>Projected Capital Raise - % Debt Financing</t>
  </si>
  <si>
    <t>Projected Capital Raise - % Equity Financing</t>
  </si>
  <si>
    <t>Precedent M&amp;A Transactions</t>
  </si>
  <si>
    <t>Announced</t>
  </si>
  <si>
    <t>Transaction</t>
  </si>
  <si>
    <t>Current</t>
  </si>
  <si>
    <t>Implied</t>
  </si>
  <si>
    <t>Implied Transaction Multiples (LTM)</t>
  </si>
  <si>
    <t>Target LTM Financials</t>
  </si>
  <si>
    <t>#</t>
  </si>
  <si>
    <t>Date</t>
  </si>
  <si>
    <t>Acquirer</t>
  </si>
  <si>
    <t>Target</t>
  </si>
  <si>
    <t>Type</t>
  </si>
  <si>
    <t>Value</t>
  </si>
  <si>
    <t>Comments</t>
  </si>
  <si>
    <t>Apollo Global Management, Inc. (NYSE:APO)</t>
  </si>
  <si>
    <t xml:space="preserve">	Tech Data Corporation</t>
  </si>
  <si>
    <t>Merger/Acquisition</t>
  </si>
  <si>
    <t>Acquisition of Equity Stake (100%)</t>
  </si>
  <si>
    <t>The Hershey Company (NYSE:HSY)</t>
  </si>
  <si>
    <t>Amplify Snack Brands, Inc.</t>
  </si>
  <si>
    <t>Tivity Health, Inc. (NasdaqGS:TVTY)</t>
  </si>
  <si>
    <t>Nutrisystem, Inc.</t>
  </si>
  <si>
    <t>HGGC, LLC</t>
  </si>
  <si>
    <t>Monotype Imaging Holdings Inc.</t>
  </si>
  <si>
    <t>Elliott Management Corporation</t>
  </si>
  <si>
    <t>Barnes &amp; Noble, Inc.</t>
  </si>
  <si>
    <t xml:space="preserve">	JD Sports Fashion plc (LSE:JD.)</t>
  </si>
  <si>
    <t>The Finish Line, Inc.</t>
  </si>
  <si>
    <t xml:space="preserve">	The Catalyst Capital Group Inc.</t>
  </si>
  <si>
    <t xml:space="preserve">	Hudson's Bay Company</t>
  </si>
  <si>
    <t xml:space="preserve">	Alliance Santé Participations S.A.</t>
  </si>
  <si>
    <t>Walgreens Boots Alliance, Inc. (NasdaqGS:WBA)</t>
  </si>
  <si>
    <t>Acquisition of Equity Stake (0.17%)</t>
  </si>
  <si>
    <t>Digital Entertainment Holdings LLC</t>
  </si>
  <si>
    <t>RLJ Entertainment, Inc.</t>
  </si>
  <si>
    <t>Acquisition of Equity Stake (26%)</t>
  </si>
  <si>
    <t xml:space="preserve">	JANA Partners LLC</t>
  </si>
  <si>
    <t xml:space="preserve">	Callaway Golf Company (NYSE:ELY)</t>
  </si>
  <si>
    <t>Acquisition of Equity Stake (6.34%)</t>
  </si>
  <si>
    <t>Exit Multiple</t>
  </si>
  <si>
    <t>Discount Rate</t>
  </si>
  <si>
    <t>Market Size</t>
  </si>
  <si>
    <t>Ecommerce</t>
  </si>
  <si>
    <t>Convert Millions to Billions</t>
  </si>
  <si>
    <t>US Market Size</t>
  </si>
  <si>
    <t>US Market Size Growth Rate</t>
  </si>
  <si>
    <t>Amazon Inc.</t>
  </si>
  <si>
    <t>Supplemental Cash Flow Information:</t>
  </si>
  <si>
    <r>
      <t>Current Trading Multiples</t>
    </r>
    <r>
      <rPr>
        <b/>
        <u val="singleAccounting"/>
        <vertAlign val="superscript"/>
        <sz val="11"/>
        <rFont val="Arial Narrow"/>
        <family val="2"/>
      </rPr>
      <t>3</t>
    </r>
  </si>
  <si>
    <t>Macroeconomic Analysis</t>
  </si>
  <si>
    <t>GDP Growth</t>
  </si>
  <si>
    <t>Global (Purchasing Power Parity ("PPP") rate)</t>
  </si>
  <si>
    <t>Inflation</t>
  </si>
  <si>
    <t>2023-2027E</t>
  </si>
  <si>
    <t>https://www.pwc.com/gx/en/research-insights/economy/global-economy-watch/projections.html</t>
  </si>
  <si>
    <t>Sources:</t>
  </si>
  <si>
    <t>https://www.cbo.gov/publication/56465</t>
  </si>
  <si>
    <t>https://economics.td.com/ca-long-term-forecast</t>
  </si>
  <si>
    <t>US Consumer Expenditure</t>
  </si>
  <si>
    <t>Macroeconomic Forecasts</t>
  </si>
  <si>
    <t>Implied Multiple Range</t>
  </si>
  <si>
    <t>Total Proceeds (Repayments) from Long-Term Debt and Other</t>
  </si>
  <si>
    <t>Current Portion of Long-Term Debt (Accrued Expenses)</t>
  </si>
  <si>
    <t>Total Property And Equipment, net</t>
  </si>
  <si>
    <t>Restricted Cash</t>
  </si>
  <si>
    <t>Restricted Cash and equivalents</t>
  </si>
  <si>
    <t>Bull Case Growth (+ Base %)</t>
  </si>
  <si>
    <t>Bear Case Growth (- Base %)</t>
  </si>
  <si>
    <t>Cost of Sales (% of Revenue)</t>
  </si>
  <si>
    <t>Cost of Sales (% Revenue)</t>
  </si>
  <si>
    <t>Sensitivities - Instrinsic Value ($/share)</t>
  </si>
  <si>
    <t>© 2021 CFI Education Inc.</t>
  </si>
  <si>
    <t>Dashboard</t>
  </si>
  <si>
    <t>Control Panel</t>
  </si>
  <si>
    <t>DCF</t>
  </si>
  <si>
    <t>Scenerios</t>
  </si>
  <si>
    <t>Amazon Precedent Transactions Valuation</t>
  </si>
  <si>
    <t>Precedent Transactions Valuation</t>
  </si>
  <si>
    <t>Sum-of-the-parts Analysis</t>
  </si>
  <si>
    <t>Consensus</t>
  </si>
  <si>
    <t>Projections Summary</t>
  </si>
  <si>
    <r>
      <t xml:space="preserve">Revenue Summary </t>
    </r>
    <r>
      <rPr>
        <i/>
        <sz val="12"/>
        <color theme="0"/>
        <rFont val="Arial Narrow"/>
        <family val="2"/>
      </rPr>
      <t>(US$MM)</t>
    </r>
  </si>
  <si>
    <t>Funding Shortfall</t>
  </si>
  <si>
    <t>Forecast Scenerios</t>
  </si>
  <si>
    <t>Financial Forecast</t>
  </si>
  <si>
    <t>Inputs and Assumptions (Control Panel)</t>
  </si>
  <si>
    <t>Finance Lease Information</t>
  </si>
  <si>
    <t>Operating Lease Information</t>
  </si>
  <si>
    <t>Weighted Average Discount Rate</t>
  </si>
  <si>
    <t>Weighted-average remaining lease term</t>
  </si>
  <si>
    <t>Depreciation expense</t>
  </si>
  <si>
    <t>n/a</t>
  </si>
  <si>
    <t>Annual Report Opening Balance</t>
  </si>
  <si>
    <t>Annual Report Closing Balance</t>
  </si>
  <si>
    <t>Weighted-Average Remaining Lease Tern</t>
  </si>
  <si>
    <t>Additions</t>
  </si>
  <si>
    <t>Lease Payments</t>
  </si>
  <si>
    <t>Supplemental Balance Sheet Information</t>
  </si>
  <si>
    <t>Restricted Cash Included In Accounts Receivable, Net and Other</t>
  </si>
  <si>
    <t>Restricted Cash Included in Other Assets</t>
  </si>
  <si>
    <t>52-week high</t>
  </si>
  <si>
    <t>52-week low</t>
  </si>
  <si>
    <t>52-week average</t>
  </si>
  <si>
    <t>Valuation Summary</t>
  </si>
  <si>
    <t>Equity Value ($) per Share</t>
  </si>
  <si>
    <t>Fully Diluted Shares Outstanding (MM)</t>
  </si>
  <si>
    <r>
      <t xml:space="preserve">DCF Value Summary </t>
    </r>
    <r>
      <rPr>
        <b/>
        <i/>
        <sz val="11"/>
        <color theme="0"/>
        <rFont val="Arial Narrow"/>
        <family val="2"/>
      </rPr>
      <t>(US$MM)</t>
    </r>
  </si>
  <si>
    <t>Segmented Growth</t>
  </si>
  <si>
    <t>Opening PPE Balance, not including Capital/Finance Leases</t>
  </si>
  <si>
    <t>PP&amp;E Opening Balance, Net</t>
  </si>
  <si>
    <t>Depreciation on Existing PP&amp;E</t>
  </si>
  <si>
    <t>Depreciation on New Capex</t>
  </si>
  <si>
    <t>Less: Total Depreciation Expense</t>
  </si>
  <si>
    <t>PP&amp;E Closing Balance, Net, Not Including Capital/Finance Leases</t>
  </si>
  <si>
    <t>Amortization on Existing ROU Assets</t>
  </si>
  <si>
    <t>Depreciation on New Additions</t>
  </si>
  <si>
    <t>Right-of-use Assets</t>
  </si>
  <si>
    <t>Right-of-use Asset Ending Balance</t>
  </si>
  <si>
    <t>Existing Lease Liabilities</t>
  </si>
  <si>
    <t>Beginning Balance, Existing Lease Liability</t>
  </si>
  <si>
    <t>Less: Lease Payments on Existing Lease Liability</t>
  </si>
  <si>
    <t>Ending Balance, Existing Lease Liability</t>
  </si>
  <si>
    <t>New Lease Liabilities</t>
  </si>
  <si>
    <t>Beginning Balance, New Lease Liability</t>
  </si>
  <si>
    <t>Principle Payments on New Additions</t>
  </si>
  <si>
    <t>Less: Lease Payments on New Lease Liabilities</t>
  </si>
  <si>
    <t>Ending Balance, New Lease Liabilities</t>
  </si>
  <si>
    <t>Principle Repayment on New Lease Liabilities</t>
  </si>
  <si>
    <t>Total Operating Lease Expense</t>
  </si>
  <si>
    <t>Finance Leases Schedule</t>
  </si>
  <si>
    <t>Finance Lease Liability</t>
  </si>
  <si>
    <t>Ending Balance, Total Operating Lease Liabilities</t>
  </si>
  <si>
    <t>Finance Leases - Total Interest Expense</t>
  </si>
  <si>
    <t>Finance Leases - Total Principal Repayments</t>
  </si>
  <si>
    <t>Current Portion Closing Balance</t>
  </si>
  <si>
    <t>Less: Current Portion of Finance Leases</t>
  </si>
  <si>
    <t>Less: Current Portion of Operating Lease Liabilities</t>
  </si>
  <si>
    <t>Ending Balance, Long-Term Finance Lease Liabilities</t>
  </si>
  <si>
    <t>Ending Balance, Long-term Finance Lease Liabilities</t>
  </si>
  <si>
    <t>Ending Balance, Long-Term Operating Lease Liabilities</t>
  </si>
  <si>
    <t>Additions to Existing Long-Term Debt</t>
  </si>
  <si>
    <t>Label</t>
  </si>
  <si>
    <t>52-week Trading</t>
  </si>
  <si>
    <t>Equity Analyst Target Prices</t>
  </si>
  <si>
    <t>Low: 1P Comps</t>
  </si>
  <si>
    <t>High: 1P Comps</t>
  </si>
  <si>
    <t>Low: 3P Comps</t>
  </si>
  <si>
    <t>High: 3P Comps</t>
  </si>
  <si>
    <t>Low: Advertising Comps</t>
  </si>
  <si>
    <t>High: Advertising Comps</t>
  </si>
  <si>
    <t>Low: Cloud Comps</t>
  </si>
  <si>
    <t>High: Cloud Comps</t>
  </si>
  <si>
    <t>Low: Subscription Comps</t>
  </si>
  <si>
    <t>High: Subscription Comps</t>
  </si>
  <si>
    <t>Term of Additional Long-Term Debt</t>
  </si>
  <si>
    <t>NPV - Future Cash Flows</t>
  </si>
  <si>
    <t>NPV - Terminal Value</t>
  </si>
  <si>
    <t>Market Outperform</t>
  </si>
  <si>
    <t>AMZN Enterprise Value</t>
  </si>
  <si>
    <t>X</t>
  </si>
  <si>
    <t>Y</t>
  </si>
  <si>
    <t>Current Share Price</t>
  </si>
  <si>
    <t>Average Implied Value</t>
  </si>
  <si>
    <t xml:space="preserve">Consensus Research </t>
  </si>
  <si>
    <t>Precedent Tx</t>
  </si>
  <si>
    <t>52-Week Trading</t>
  </si>
  <si>
    <t>Implied Value Summary</t>
  </si>
  <si>
    <t>Plus: Net Debt</t>
  </si>
  <si>
    <t>52-week Trading Range (per Share)</t>
  </si>
  <si>
    <t>Equity Analyst Target Prices (Per Share)</t>
  </si>
  <si>
    <t>Precedent Transactions</t>
  </si>
  <si>
    <t>($) Per Share</t>
  </si>
  <si>
    <t>Valuation Summary - Waterfall Chart</t>
  </si>
  <si>
    <t>5-Year Average</t>
  </si>
  <si>
    <t>Long-Term Growth Rate</t>
  </si>
  <si>
    <t>Last Fiscal Year End Before Valuation Date</t>
  </si>
  <si>
    <t>Next Fiscal Year End After Valuation Date</t>
  </si>
  <si>
    <t>Annual Growth in Marketable Securities</t>
  </si>
  <si>
    <t>No Growth (Flat)</t>
  </si>
  <si>
    <t>Based on Base Estimates and Demonstrated Historical Growth</t>
  </si>
  <si>
    <t xml:space="preserve">Sensitivities Control </t>
  </si>
  <si>
    <t xml:space="preserve">Total Long-Term Debt Schedule </t>
  </si>
  <si>
    <t>Liabilities And Stockholders’ Equity</t>
  </si>
  <si>
    <t>Cash, Cash Equivalents, And Restricted Cash, End Of Period</t>
  </si>
  <si>
    <t>Financing Activities:</t>
  </si>
  <si>
    <t>Investing Activities:</t>
  </si>
  <si>
    <t>Operating Activities:</t>
  </si>
  <si>
    <t>Cash, Cash Equivalents, And Restricted Cash, Beginning Of Period</t>
  </si>
  <si>
    <t>Secondary Value Measures - Enterpise Value Calculation</t>
  </si>
  <si>
    <t>Rounding</t>
  </si>
  <si>
    <t>_RoundBillions</t>
  </si>
  <si>
    <t>Precedents</t>
  </si>
  <si>
    <t>Days Outstanding</t>
  </si>
  <si>
    <t>Accounts</t>
  </si>
  <si>
    <t>Recivable</t>
  </si>
  <si>
    <t>Payables</t>
  </si>
  <si>
    <t>Inventory</t>
  </si>
  <si>
    <t>Current Asset &amp; Liabilities</t>
  </si>
  <si>
    <t>Property &amp; Equipment</t>
  </si>
  <si>
    <t>Cash Capex (% of Revenue)</t>
  </si>
  <si>
    <t>Asset Average Useful Life</t>
  </si>
  <si>
    <t>Operating &amp; Finance Leases</t>
  </si>
  <si>
    <t>Operating</t>
  </si>
  <si>
    <t>Finance</t>
  </si>
  <si>
    <t>Net Annual Additions (% of Revenue)</t>
  </si>
  <si>
    <t>Interest Rate on Leases</t>
  </si>
  <si>
    <t>Weighted-Average Remaining Lease Term (Existing Leases)</t>
  </si>
  <si>
    <t>Lease Term (New Leases)</t>
  </si>
  <si>
    <t>Financing Assumptions</t>
  </si>
  <si>
    <t>Income Statement Assumptions</t>
  </si>
  <si>
    <t>Other Operating Expense (Net)</t>
  </si>
  <si>
    <t>Sensitivity Inputs  (Do Not Remove)</t>
  </si>
  <si>
    <t>All Amounts Denominated in US$ Unless Otherwise Stated</t>
  </si>
  <si>
    <t>Inputs and Assumptions</t>
  </si>
  <si>
    <t>Model Outputs</t>
  </si>
  <si>
    <t>Calculations and Analytics</t>
  </si>
  <si>
    <t>Financial Statements</t>
  </si>
  <si>
    <r>
      <t xml:space="preserve">Historical and Forecast Financial Performance </t>
    </r>
    <r>
      <rPr>
        <i/>
        <sz val="12"/>
        <color theme="0"/>
        <rFont val="Arial Narrow"/>
        <family val="2"/>
      </rPr>
      <t>(US$ Billions)</t>
    </r>
  </si>
  <si>
    <t xml:space="preserve">Amortization on New ROU Assets </t>
  </si>
  <si>
    <t>Less: Total Amortization Expense</t>
  </si>
  <si>
    <r>
      <t>Beta (5-Yr)</t>
    </r>
    <r>
      <rPr>
        <b/>
        <vertAlign val="superscript"/>
        <sz val="12"/>
        <rFont val="Arial Narrow"/>
        <family val="2"/>
      </rPr>
      <t>1</t>
    </r>
  </si>
  <si>
    <t>IBISWorld Industy Research</t>
  </si>
  <si>
    <t>Source:</t>
  </si>
  <si>
    <r>
      <rPr>
        <b/>
        <sz val="11"/>
        <color theme="0"/>
        <rFont val="Arial Narrow"/>
        <family val="2"/>
      </rPr>
      <t>Disclaimer</t>
    </r>
    <r>
      <rPr>
        <sz val="11"/>
        <color theme="0"/>
        <rFont val="Arial Narrow"/>
        <family val="2"/>
      </rPr>
      <t xml:space="preserve">
This presentation is intended solely for educational and training purposes. The information contained herein does not constitute investment advice, or an offer to sell, or the solicitation of any offer to buy any securities of Amazon.com, Inc. (NasdaqGS:AMZN) or any other security.
This content in this presentation has not been approved or disapproved by (a) Amazon.com, Inc., (b) S&amp;P Global Market Intelligence Inc., (c) any equity research analyst that covers Amazon.com, Inc., or (d) any securities regulator in any province or territory of Canada, the United States Securities and Exchange Commission or any other United States federal or state regulatory authority, and no such commission or authority has passed upon the merits, accuracy or adequacy of this content, nor is it intended that any will.
The information in this presentation does not constitute the provision of investment, tax, legal or other professional advice. As with all investments, there are associated risks and you could lose money investing – including, potentially, your entire investment. Prior to making any investment, a prospective investor should consult with its own investment, accounting, legal and tax advisers to evaluate independently the risks, consequences and suitability of that investment.
No reliance may be placed for any purpose on the information and opinions contained herein or their accuracy or completeness, and nothing contained herein may be relied upon in making any investment decision.
</t>
    </r>
  </si>
  <si>
    <t>Base Case</t>
  </si>
  <si>
    <t>Bull Case</t>
  </si>
  <si>
    <t>Bear Case</t>
  </si>
  <si>
    <t>Revenue By Category (Base Case)</t>
  </si>
  <si>
    <t>Revenue Summary</t>
  </si>
  <si>
    <t>FCFF</t>
  </si>
  <si>
    <t>Summary Outputs</t>
  </si>
  <si>
    <t>Key Summary Outputs</t>
  </si>
  <si>
    <t>Total Revenues</t>
  </si>
  <si>
    <t>2020A</t>
  </si>
  <si>
    <t>Average Implied Value:</t>
  </si>
  <si>
    <r>
      <rPr>
        <vertAlign val="superscript"/>
        <sz val="12"/>
        <color theme="1"/>
        <rFont val="Arial Narrow"/>
        <family val="2"/>
      </rPr>
      <t>1</t>
    </r>
    <r>
      <rPr>
        <sz val="12"/>
        <color theme="1"/>
        <rFont val="Arial Narrow"/>
        <family val="2"/>
      </rPr>
      <t xml:space="preserve"> Sources: Yahoo Finance, Company Filings.</t>
    </r>
  </si>
  <si>
    <t>Source: Company filings</t>
  </si>
  <si>
    <t xml:space="preserve">US Unemployment Rate </t>
  </si>
  <si>
    <t>Base Case EBITDA</t>
  </si>
  <si>
    <t>Bull Case EBITDA</t>
  </si>
  <si>
    <t xml:space="preserve">Bear Case EBITDA </t>
  </si>
  <si>
    <t>EBITDA &amp; FCFF (Base Case)</t>
  </si>
  <si>
    <t>Base Case FCFF</t>
  </si>
  <si>
    <t>Bull Case FCFF</t>
  </si>
  <si>
    <t>Bear Case  FCFF</t>
  </si>
  <si>
    <t>Net Earnings</t>
  </si>
  <si>
    <t>Base Case Net Earnings</t>
  </si>
  <si>
    <t>Bull Case Net Earnings</t>
  </si>
  <si>
    <t>Bear Case  Net Earnings</t>
  </si>
  <si>
    <t>Revenue Breakdown (2020A vs. 2031E)</t>
  </si>
  <si>
    <t>Effective Date</t>
  </si>
  <si>
    <t>Action</t>
  </si>
  <si>
    <t>2/3/2021</t>
  </si>
  <si>
    <t>Stifel Nicolaus</t>
  </si>
  <si>
    <t>Boost Price Target</t>
  </si>
  <si>
    <t>Truist</t>
  </si>
  <si>
    <t>Susquehanna Bancshares</t>
  </si>
  <si>
    <t>Positive</t>
  </si>
  <si>
    <t>The Goldman Sachs Group</t>
  </si>
  <si>
    <t>Guggenheim</t>
  </si>
  <si>
    <t>Oppenheimer</t>
  </si>
  <si>
    <t>Outperform</t>
  </si>
  <si>
    <t>MKM Partners</t>
  </si>
  <si>
    <t>Credit Suisse Group</t>
  </si>
  <si>
    <t>Monness Crespi &amp; Hardt</t>
  </si>
  <si>
    <t>KeyCorp</t>
  </si>
  <si>
    <t>Overweight</t>
  </si>
  <si>
    <t>Wedbush</t>
  </si>
  <si>
    <t>Reiterated Rating</t>
  </si>
  <si>
    <t>Raymond James</t>
  </si>
  <si>
    <t>Jefferies Financial Group</t>
  </si>
  <si>
    <t>Cowen</t>
  </si>
  <si>
    <t>Canaccord Genuity</t>
  </si>
  <si>
    <t>Susquehanna</t>
  </si>
  <si>
    <t>Deutsche Bank Aktiengesellschaft</t>
  </si>
  <si>
    <t>Barclays</t>
  </si>
  <si>
    <t>Buy ➝ Overweight</t>
  </si>
  <si>
    <t>Benchmark</t>
  </si>
  <si>
    <t>UBS Group</t>
  </si>
  <si>
    <t>Outperform ➝ Buy</t>
  </si>
  <si>
    <t>Pivotal Research</t>
  </si>
  <si>
    <t>1/27/2021</t>
  </si>
  <si>
    <t>JPMorgan Chase &amp; Co.</t>
  </si>
  <si>
    <t>1/21/2021</t>
  </si>
  <si>
    <t>Bank of America</t>
  </si>
  <si>
    <t>1/15/2021</t>
  </si>
  <si>
    <t>Morgan Stanley</t>
  </si>
  <si>
    <t xml:space="preserve">Amazon.com, Inc. </t>
  </si>
  <si>
    <t>Depreciation on Existing ROU Assets</t>
  </si>
  <si>
    <t>Additional Capital - Common Equity</t>
  </si>
  <si>
    <t>Net Earnings (Base Case)</t>
  </si>
  <si>
    <t xml:space="preserve">Base (+) 25%. </t>
  </si>
  <si>
    <t xml:space="preserve">Base (-) 25%. </t>
  </si>
  <si>
    <t xml:space="preserve">Please ensure iterative calculations are enabled for the functionality of this workbook.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</si>
</sst>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5">
    <numFmt numFmtId="43" formatCode="_-* #,##0.00_-;\-* #,##0.00_-;_-* &quot;-&quot;??_-;_-@_-"/>
    <numFmt numFmtId="164" formatCode="&quot;$&quot;#,##0;\-&quot;$&quot;#,##0"/>
    <numFmt numFmtId="165" formatCode="&quot;$&quot;#,##0.00;\-&quot;$&quot;#,##0.00"/>
    <numFmt numFmtId="166" formatCode="_-&quot;$&quot;* #,##0.00_-;\-&quot;$&quot;* #,##0.00_-;_-&quot;$&quot;* &quot;-&quot;??_-;_-@_-"/>
    <numFmt numFmtId="167" formatCode="&quot;$&quot;#,##0_);\(&quot;$&quot;#,##0\)"/>
    <numFmt numFmtId="168" formatCode="_(&quot;$&quot;* #,##0.00_);_(&quot;$&quot;* \(#,##0.00\);_(&quot;$&quot;* &quot;-&quot;??_);_(@_)"/>
    <numFmt numFmtId="169" formatCode="_(* #,##0.00_);_(* \(#,##0.00\);_(* &quot;-&quot;??_);_(@_)"/>
    <numFmt numFmtId="170" formatCode="_-* #,##0_-;\(#,##0\)_-;_-* &quot;-&quot;_-;_-@_-"/>
    <numFmt numFmtId="171" formatCode="0&quot;A&quot;"/>
    <numFmt numFmtId="172" formatCode="0&quot;E&quot;"/>
    <numFmt numFmtId="173" formatCode="0.0%"/>
    <numFmt numFmtId="174" formatCode="_(* #,##0_);_(* \(#,##0\);_(* &quot;-&quot;??_);_(@_)"/>
    <numFmt numFmtId="175" formatCode="_(* #,##0_);_(* \(#,##0\);_(* &quot;0&quot;_);_(@_)"/>
    <numFmt numFmtId="176" formatCode="#,##0.000_);\(#,##0.000\)"/>
    <numFmt numFmtId="177" formatCode="0.0\x"/>
    <numFmt numFmtId="178" formatCode="_(* #,##0_);_(* \(#,##0\);_(* &quot;-&quot;??_);_(@_)\ &quot;/&quot;"/>
    <numFmt numFmtId="179" formatCode="&quot;/&quot;_(* #,##0_);_(* \(#,##0\);_(* &quot;-&quot;??_);_(@_)"/>
    <numFmt numFmtId="180" formatCode="[$-409]mmm\-dd\-yyyy;@"/>
    <numFmt numFmtId="181" formatCode="&quot;$&quot;#,##0.00_);\(&quot;$&quot;#,##0.00\)"/>
    <numFmt numFmtId="182" formatCode="yyyy/mm/dd;@"/>
    <numFmt numFmtId="183" formatCode="_(&quot;$&quot;* #,##0_);_(&quot;$&quot;* \(#,##0\);_(&quot;$&quot;* &quot;-&quot;??_);_(@_)"/>
    <numFmt numFmtId="184" formatCode="#,##0.00_);\(#,##0.00\)"/>
    <numFmt numFmtId="185" formatCode="&quot;$&quot;#,##0;\(&quot;$&quot;#,##0\)"/>
    <numFmt numFmtId="186" formatCode="#,##0_ ;\-#,##0\ "/>
    <numFmt numFmtId="187" formatCode="#,##0.0_ ;\-#,##0.0\ "/>
    <numFmt numFmtId="188" formatCode="0&quot; years&quot;"/>
    <numFmt numFmtId="189" formatCode="#,##0.0_)_%;\(#,##0.0\)_%;#,##0.0_)_%;@_)_%"/>
    <numFmt numFmtId="190" formatCode="&quot;$&quot;#,##0"/>
    <numFmt numFmtId="191" formatCode="#,##0.0000;\-#,##0.0000"/>
    <numFmt numFmtId="192" formatCode="0.0&quot; years&quot;"/>
    <numFmt numFmtId="193" formatCode="0.0"/>
    <numFmt numFmtId="194" formatCode="#,##0.0;\-#,##0.0"/>
    <numFmt numFmtId="195" formatCode="&quot;$&quot;#,##0_);\(&quot;$&quot;#,##0\);&quot;-&quot;"/>
    <numFmt numFmtId="196" formatCode="#,##0_);\(#,##0\)"/>
    <numFmt numFmtId="197" formatCode="&quot;$&quot;#,##0.00"/>
  </numFmts>
  <fonts count="73" x14ac:knownFonts="1">
    <font>
      <sz val="11"/>
      <color theme="1"/>
      <name val="Arial Narrow"/>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Arial Narrow"/>
      <family val="2"/>
    </font>
    <font>
      <b/>
      <sz val="11"/>
      <color theme="0"/>
      <name val="Arial Narrow"/>
      <family val="2"/>
    </font>
    <font>
      <b/>
      <sz val="11"/>
      <color theme="1"/>
      <name val="Arial Narrow"/>
      <family val="2"/>
    </font>
    <font>
      <sz val="8"/>
      <color theme="0"/>
      <name val="Arial Narrow"/>
      <family val="2"/>
    </font>
    <font>
      <b/>
      <sz val="14"/>
      <color theme="0"/>
      <name val="Arial Narrow"/>
      <family val="2"/>
    </font>
    <font>
      <i/>
      <sz val="11"/>
      <color theme="0"/>
      <name val="Arial Narrow"/>
      <family val="2"/>
    </font>
    <font>
      <sz val="11"/>
      <color rgb="FF0000FF"/>
      <name val="Arial Narrow"/>
      <family val="2"/>
    </font>
    <font>
      <sz val="11"/>
      <name val="Arial Narrow"/>
      <family val="2"/>
    </font>
    <font>
      <i/>
      <sz val="11"/>
      <color theme="1"/>
      <name val="Arial Narrow"/>
      <family val="2"/>
    </font>
    <font>
      <sz val="11"/>
      <color theme="0"/>
      <name val="Arial Narrow"/>
      <family val="2"/>
    </font>
    <font>
      <b/>
      <sz val="11"/>
      <name val="Arial Narrow"/>
      <family val="2"/>
    </font>
    <font>
      <sz val="11"/>
      <color rgb="FF00B050"/>
      <name val="Arial Narrow"/>
      <family val="2"/>
    </font>
    <font>
      <sz val="10"/>
      <name val="Times New Roman"/>
      <family val="1"/>
    </font>
    <font>
      <sz val="10"/>
      <name val="Arial"/>
      <family val="2"/>
    </font>
    <font>
      <i/>
      <sz val="10"/>
      <color theme="0"/>
      <name val="Arial Narrow"/>
      <family val="2"/>
    </font>
    <font>
      <sz val="12"/>
      <color theme="1"/>
      <name val="Calibri"/>
      <family val="2"/>
      <scheme val="minor"/>
    </font>
    <font>
      <sz val="1"/>
      <color indexed="9"/>
      <name val="Symbol"/>
      <family val="1"/>
      <charset val="2"/>
    </font>
    <font>
      <sz val="11"/>
      <color theme="1"/>
      <name val="Calibri"/>
      <family val="2"/>
      <scheme val="minor"/>
    </font>
    <font>
      <b/>
      <sz val="22"/>
      <color theme="1"/>
      <name val="Arial Narrow"/>
      <family val="2"/>
    </font>
    <font>
      <u/>
      <sz val="10"/>
      <color theme="10"/>
      <name val="Arial"/>
      <family val="2"/>
    </font>
    <font>
      <u/>
      <sz val="10"/>
      <color rgb="FF132E57"/>
      <name val="Arial"/>
      <family val="2"/>
    </font>
    <font>
      <u/>
      <sz val="10"/>
      <color theme="1"/>
      <name val="Arial"/>
      <family val="2"/>
    </font>
    <font>
      <sz val="12"/>
      <color theme="0"/>
      <name val="Arial Narrow"/>
      <family val="2"/>
    </font>
    <font>
      <sz val="12"/>
      <color theme="1"/>
      <name val="Arial Narrow"/>
      <family val="2"/>
    </font>
    <font>
      <b/>
      <sz val="14"/>
      <color rgb="FFFFFFFF"/>
      <name val="Arial Narrow"/>
      <family val="2"/>
    </font>
    <font>
      <i/>
      <sz val="12"/>
      <color theme="0"/>
      <name val="Arial Narrow"/>
      <family val="2"/>
    </font>
    <font>
      <b/>
      <u val="singleAccounting"/>
      <sz val="11"/>
      <name val="Arial Narrow"/>
      <family val="2"/>
    </font>
    <font>
      <b/>
      <u val="singleAccounting"/>
      <vertAlign val="superscript"/>
      <sz val="11"/>
      <name val="Arial Narrow"/>
      <family val="2"/>
    </font>
    <font>
      <sz val="8"/>
      <name val="Arial Narrow"/>
      <family val="2"/>
    </font>
    <font>
      <i/>
      <sz val="8"/>
      <name val="Arial Narrow"/>
      <family val="2"/>
    </font>
    <font>
      <b/>
      <sz val="8"/>
      <name val="Arial Narrow"/>
      <family val="2"/>
    </font>
    <font>
      <b/>
      <sz val="12"/>
      <color theme="0"/>
      <name val="Arial Narrow"/>
      <family val="2"/>
    </font>
    <font>
      <b/>
      <sz val="12"/>
      <color theme="1"/>
      <name val="Arial Narrow"/>
      <family val="2"/>
    </font>
    <font>
      <sz val="12"/>
      <color rgb="FF0000FF"/>
      <name val="Arial Narrow"/>
      <family val="2"/>
    </font>
    <font>
      <b/>
      <sz val="12"/>
      <name val="Arial Narrow"/>
      <family val="2"/>
    </font>
    <font>
      <sz val="12"/>
      <name val="Arial Narrow"/>
      <family val="2"/>
    </font>
    <font>
      <b/>
      <u/>
      <sz val="12"/>
      <name val="Arial Narrow"/>
      <family val="2"/>
    </font>
    <font>
      <i/>
      <sz val="12"/>
      <color theme="1"/>
      <name val="Arial Narrow"/>
      <family val="2"/>
    </font>
    <font>
      <b/>
      <sz val="12"/>
      <color rgb="FFFFFFFF"/>
      <name val="Arial Narrow"/>
      <family val="2"/>
    </font>
    <font>
      <sz val="12"/>
      <color theme="0" tint="-0.499984740745262"/>
      <name val="Arial Narrow"/>
      <family val="2"/>
    </font>
    <font>
      <sz val="12"/>
      <color theme="1" tint="0.499984740745262"/>
      <name val="Arial Narrow"/>
      <family val="2"/>
    </font>
    <font>
      <b/>
      <u/>
      <sz val="12"/>
      <color theme="1"/>
      <name val="Arial Narrow"/>
      <family val="2"/>
    </font>
    <font>
      <b/>
      <i/>
      <sz val="11"/>
      <color theme="1"/>
      <name val="Arial Narrow"/>
      <family val="2"/>
    </font>
    <font>
      <u/>
      <sz val="11"/>
      <color theme="10"/>
      <name val="Arial Narrow"/>
      <family val="2"/>
    </font>
    <font>
      <sz val="11"/>
      <color rgb="FFFF0000"/>
      <name val="Arial Narrow"/>
      <family val="2"/>
    </font>
    <font>
      <u/>
      <sz val="11"/>
      <color theme="10"/>
      <name val="Calibri"/>
      <family val="2"/>
      <scheme val="minor"/>
    </font>
    <font>
      <b/>
      <sz val="11"/>
      <color rgb="FF0000FF"/>
      <name val="Arial Narrow"/>
      <family val="2"/>
    </font>
    <font>
      <sz val="10"/>
      <color theme="1"/>
      <name val="Arial Narrow"/>
      <family val="2"/>
    </font>
    <font>
      <sz val="11"/>
      <color theme="1"/>
      <name val="Calibri"/>
      <family val="2"/>
    </font>
    <font>
      <b/>
      <sz val="12"/>
      <color rgb="FF0000FF"/>
      <name val="Arial Narrow"/>
      <family val="2"/>
    </font>
    <font>
      <sz val="11"/>
      <color indexed="8"/>
      <name val="Arial Narrow"/>
      <family val="2"/>
    </font>
    <font>
      <b/>
      <i/>
      <sz val="11"/>
      <color theme="0"/>
      <name val="Arial Narrow"/>
      <family val="2"/>
    </font>
    <font>
      <b/>
      <sz val="10"/>
      <color theme="0"/>
      <name val="Arial Narrow"/>
      <family val="2"/>
    </font>
    <font>
      <b/>
      <sz val="10"/>
      <name val="Arial Narrow"/>
      <family val="2"/>
    </font>
    <font>
      <sz val="10"/>
      <name val="Arial Narrow"/>
      <family val="2"/>
    </font>
    <font>
      <sz val="10"/>
      <color rgb="FF0000FF"/>
      <name val="Arial Narrow"/>
      <family val="2"/>
    </font>
    <font>
      <sz val="11"/>
      <color rgb="FF808080"/>
      <name val="Arial Narrow"/>
      <family val="2"/>
    </font>
    <font>
      <sz val="12"/>
      <color rgb="FF1F995B"/>
      <name val="Arial Narrow"/>
      <family val="2"/>
    </font>
    <font>
      <sz val="11"/>
      <color rgb="FF1F995B"/>
      <name val="Arial Narrow"/>
      <family val="2"/>
    </font>
    <font>
      <b/>
      <sz val="11"/>
      <color rgb="FF1F995B"/>
      <name val="Arial Narrow"/>
      <family val="2"/>
    </font>
    <font>
      <i/>
      <sz val="12"/>
      <color rgb="FF0000FF"/>
      <name val="Arial Narrow"/>
      <family val="2"/>
    </font>
    <font>
      <i/>
      <sz val="10"/>
      <color theme="1"/>
      <name val="Arial Narrow"/>
      <family val="2"/>
    </font>
    <font>
      <i/>
      <sz val="10"/>
      <name val="Arial Narrow"/>
      <family val="2"/>
    </font>
    <font>
      <b/>
      <u/>
      <sz val="12"/>
      <color rgb="FF132E57"/>
      <name val="Arial"/>
      <family val="2"/>
    </font>
    <font>
      <b/>
      <vertAlign val="superscript"/>
      <sz val="12"/>
      <name val="Arial Narrow"/>
      <family val="2"/>
    </font>
    <font>
      <vertAlign val="superscript"/>
      <sz val="12"/>
      <color theme="1"/>
      <name val="Arial Narrow"/>
      <family val="2"/>
    </font>
  </fonts>
  <fills count="15">
    <fill>
      <patternFill patternType="none"/>
    </fill>
    <fill>
      <patternFill patternType="gray125"/>
    </fill>
    <fill>
      <patternFill patternType="solid">
        <fgColor rgb="FF132E57"/>
        <bgColor indexed="64"/>
      </patternFill>
    </fill>
    <fill>
      <patternFill patternType="solid">
        <fgColor theme="5"/>
        <bgColor indexed="64"/>
      </patternFill>
    </fill>
    <fill>
      <patternFill patternType="solid">
        <fgColor rgb="FF1E8496"/>
        <bgColor indexed="64"/>
      </patternFill>
    </fill>
    <fill>
      <patternFill patternType="solid">
        <fgColor rgb="FFED942D"/>
        <bgColor indexed="64"/>
      </patternFill>
    </fill>
    <fill>
      <patternFill patternType="solid">
        <fgColor theme="0" tint="-4.9989318521683403E-2"/>
        <bgColor indexed="64"/>
      </patternFill>
    </fill>
    <fill>
      <patternFill patternType="solid">
        <fgColor rgb="FFFA621C"/>
        <bgColor indexed="64"/>
      </patternFill>
    </fill>
    <fill>
      <patternFill patternType="solid">
        <fgColor theme="0" tint="-0.14999847407452621"/>
        <bgColor indexed="64"/>
      </patternFill>
    </fill>
    <fill>
      <patternFill patternType="solid">
        <fgColor theme="0"/>
        <bgColor indexed="64"/>
      </patternFill>
    </fill>
    <fill>
      <patternFill patternType="solid">
        <fgColor theme="1" tint="0.499984740745262"/>
        <bgColor indexed="64"/>
      </patternFill>
    </fill>
    <fill>
      <patternFill patternType="solid">
        <fgColor rgb="FFF2F2F2"/>
        <bgColor indexed="64"/>
      </patternFill>
    </fill>
    <fill>
      <patternFill patternType="solid">
        <fgColor rgb="FFFCFCFC"/>
        <bgColor indexed="64"/>
      </patternFill>
    </fill>
    <fill>
      <patternFill patternType="solid">
        <fgColor theme="2"/>
        <bgColor indexed="64"/>
      </patternFill>
    </fill>
    <fill>
      <patternFill patternType="solid">
        <fgColor theme="0" tint="-0.249977111117893"/>
        <bgColor indexed="64"/>
      </patternFill>
    </fill>
  </fills>
  <borders count="34">
    <border>
      <left/>
      <right/>
      <top/>
      <bottom/>
      <diagonal/>
    </border>
    <border>
      <left/>
      <right/>
      <top style="thin">
        <color indexed="64"/>
      </top>
      <bottom/>
      <diagonal/>
    </border>
    <border>
      <left/>
      <right/>
      <top style="thin">
        <color indexed="64"/>
      </top>
      <bottom style="double">
        <color indexed="64"/>
      </bottom>
      <diagonal/>
    </border>
    <border>
      <left/>
      <right/>
      <top style="double">
        <color indexed="64"/>
      </top>
      <bottom style="double">
        <color indexed="64"/>
      </bottom>
      <diagonal/>
    </border>
    <border>
      <left style="dashed">
        <color auto="1"/>
      </left>
      <right style="dashed">
        <color auto="1"/>
      </right>
      <top style="dashed">
        <color auto="1"/>
      </top>
      <bottom style="dashed">
        <color auto="1"/>
      </bottom>
      <diagonal/>
    </border>
    <border>
      <left/>
      <right/>
      <top style="thin">
        <color indexed="64"/>
      </top>
      <bottom style="thin">
        <color indexed="64"/>
      </bottom>
      <diagonal/>
    </border>
    <border>
      <left/>
      <right/>
      <top/>
      <bottom style="thin">
        <color auto="1"/>
      </bottom>
      <diagonal/>
    </border>
    <border>
      <left style="thick">
        <color theme="2"/>
      </left>
      <right/>
      <top style="thick">
        <color theme="2"/>
      </top>
      <bottom/>
      <diagonal/>
    </border>
    <border>
      <left/>
      <right/>
      <top style="thick">
        <color theme="2"/>
      </top>
      <bottom/>
      <diagonal/>
    </border>
    <border>
      <left/>
      <right style="thick">
        <color theme="2"/>
      </right>
      <top style="thick">
        <color theme="2"/>
      </top>
      <bottom/>
      <diagonal/>
    </border>
    <border>
      <left style="thick">
        <color theme="2"/>
      </left>
      <right/>
      <top/>
      <bottom/>
      <diagonal/>
    </border>
    <border>
      <left/>
      <right style="thick">
        <color theme="2"/>
      </right>
      <top/>
      <bottom/>
      <diagonal/>
    </border>
    <border>
      <left style="thick">
        <color theme="2"/>
      </left>
      <right/>
      <top/>
      <bottom style="thick">
        <color theme="2"/>
      </bottom>
      <diagonal/>
    </border>
    <border>
      <left/>
      <right/>
      <top/>
      <bottom style="thick">
        <color theme="2"/>
      </bottom>
      <diagonal/>
    </border>
    <border>
      <left style="dashed">
        <color auto="1"/>
      </left>
      <right style="dotted">
        <color indexed="64"/>
      </right>
      <top style="dashed">
        <color auto="1"/>
      </top>
      <bottom style="dashed">
        <color auto="1"/>
      </bottom>
      <diagonal/>
    </border>
    <border>
      <left style="dotted">
        <color indexed="64"/>
      </left>
      <right style="dotted">
        <color indexed="64"/>
      </right>
      <top style="dotted">
        <color indexed="64"/>
      </top>
      <bottom style="dotted">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dashed">
        <color auto="1"/>
      </left>
      <right/>
      <top style="dashed">
        <color auto="1"/>
      </top>
      <bottom style="dashed">
        <color auto="1"/>
      </bottom>
      <diagonal/>
    </border>
    <border>
      <left style="dashed">
        <color auto="1"/>
      </left>
      <right style="dashed">
        <color auto="1"/>
      </right>
      <top/>
      <bottom style="dashed">
        <color auto="1"/>
      </bottom>
      <diagonal/>
    </border>
    <border>
      <left/>
      <right style="dashed">
        <color auto="1"/>
      </right>
      <top style="dashed">
        <color auto="1"/>
      </top>
      <bottom style="dashed">
        <color auto="1"/>
      </bottom>
      <diagonal/>
    </border>
    <border>
      <left/>
      <right/>
      <top/>
      <bottom style="medium">
        <color indexed="64"/>
      </bottom>
      <diagonal/>
    </border>
    <border>
      <left/>
      <right style="thin">
        <color indexed="64"/>
      </right>
      <top/>
      <bottom/>
      <diagonal/>
    </border>
    <border>
      <left style="thin">
        <color indexed="64"/>
      </left>
      <right/>
      <top style="thin">
        <color indexed="64"/>
      </top>
      <bottom/>
      <diagonal/>
    </border>
    <border>
      <left/>
      <right/>
      <top style="dotted">
        <color indexed="64"/>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style="dotted">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1E8496"/>
      </left>
      <right/>
      <top style="thin">
        <color rgb="FF1E8496"/>
      </top>
      <bottom style="thin">
        <color rgb="FF1E8496"/>
      </bottom>
      <diagonal/>
    </border>
    <border>
      <left/>
      <right/>
      <top style="thin">
        <color rgb="FF1E8496"/>
      </top>
      <bottom style="thin">
        <color rgb="FF1E8496"/>
      </bottom>
      <diagonal/>
    </border>
    <border>
      <left/>
      <right style="thin">
        <color rgb="FF1E8496"/>
      </right>
      <top style="thin">
        <color rgb="FF1E8496"/>
      </top>
      <bottom style="thin">
        <color rgb="FF1E8496"/>
      </bottom>
      <diagonal/>
    </border>
  </borders>
  <cellStyleXfs count="42">
    <xf numFmtId="0" fontId="0" fillId="0" borderId="0"/>
    <xf numFmtId="169" fontId="7" fillId="0" borderId="0" applyFont="0" applyFill="0" applyBorder="0" applyAlignment="0" applyProtection="0"/>
    <xf numFmtId="9" fontId="7" fillId="0" borderId="0" applyFont="0" applyFill="0" applyBorder="0" applyAlignment="0" applyProtection="0"/>
    <xf numFmtId="168" fontId="7" fillId="0" borderId="0" applyFont="0" applyFill="0" applyBorder="0" applyAlignment="0" applyProtection="0"/>
    <xf numFmtId="0" fontId="19" fillId="0" borderId="0"/>
    <xf numFmtId="9" fontId="19" fillId="0" borderId="0" applyFont="0" applyFill="0" applyBorder="0" applyAlignment="0" applyProtection="0"/>
    <xf numFmtId="169" fontId="19" fillId="0" borderId="0" applyFont="0" applyFill="0" applyBorder="0" applyAlignment="0" applyProtection="0"/>
    <xf numFmtId="0" fontId="22" fillId="0" borderId="0"/>
    <xf numFmtId="0" fontId="23" fillId="0" borderId="0" applyAlignment="0"/>
    <xf numFmtId="0" fontId="20" fillId="0" borderId="0">
      <alignment vertical="center"/>
    </xf>
    <xf numFmtId="0" fontId="24" fillId="0" borderId="0"/>
    <xf numFmtId="0" fontId="26" fillId="0" borderId="0" applyNumberFormat="0" applyFill="0" applyBorder="0" applyAlignment="0" applyProtection="0"/>
    <xf numFmtId="0" fontId="6" fillId="0" borderId="0"/>
    <xf numFmtId="0" fontId="5" fillId="0" borderId="0"/>
    <xf numFmtId="0" fontId="5" fillId="0" borderId="0"/>
    <xf numFmtId="0" fontId="20" fillId="0" borderId="0"/>
    <xf numFmtId="9" fontId="5" fillId="0" borderId="0" applyFont="0" applyFill="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9" fontId="4" fillId="0" borderId="0" applyFont="0" applyFill="0" applyBorder="0" applyAlignment="0" applyProtection="0"/>
    <xf numFmtId="43" fontId="7" fillId="0" borderId="0" applyFont="0" applyFill="0" applyBorder="0" applyAlignment="0" applyProtection="0"/>
    <xf numFmtId="166" fontId="7" fillId="0" borderId="0" applyFont="0" applyFill="0" applyBorder="0" applyAlignment="0" applyProtection="0"/>
    <xf numFmtId="43" fontId="19" fillId="0" borderId="0" applyFont="0" applyFill="0" applyBorder="0" applyAlignment="0" applyProtection="0"/>
    <xf numFmtId="0" fontId="3" fillId="0" borderId="0"/>
    <xf numFmtId="0" fontId="3" fillId="0" borderId="0"/>
    <xf numFmtId="0" fontId="50" fillId="0" borderId="0" applyNumberFormat="0" applyFill="0" applyBorder="0" applyAlignment="0" applyProtection="0"/>
    <xf numFmtId="0" fontId="2" fillId="0" borderId="0"/>
    <xf numFmtId="0" fontId="2" fillId="0" borderId="0"/>
    <xf numFmtId="0" fontId="26" fillId="0" borderId="0" applyNumberFormat="0" applyFill="0" applyBorder="0" applyAlignment="0" applyProtection="0"/>
    <xf numFmtId="189" fontId="20" fillId="0" borderId="0"/>
    <xf numFmtId="0" fontId="20" fillId="0" borderId="0"/>
    <xf numFmtId="0" fontId="52" fillId="0" borderId="0" applyNumberFormat="0" applyFill="0" applyBorder="0" applyAlignment="0" applyProtection="0"/>
    <xf numFmtId="9" fontId="2" fillId="0" borderId="0" applyFont="0" applyFill="0" applyBorder="0" applyAlignment="0" applyProtection="0"/>
    <xf numFmtId="0" fontId="55" fillId="0" borderId="0"/>
    <xf numFmtId="0" fontId="20" fillId="0" borderId="0"/>
    <xf numFmtId="0" fontId="20" fillId="0" borderId="0"/>
    <xf numFmtId="43" fontId="19" fillId="0" borderId="0" applyFont="0" applyFill="0" applyBorder="0" applyAlignment="0" applyProtection="0"/>
    <xf numFmtId="0" fontId="1" fillId="0" borderId="0"/>
    <xf numFmtId="0" fontId="1" fillId="0" borderId="0"/>
    <xf numFmtId="0" fontId="1" fillId="0" borderId="0"/>
  </cellStyleXfs>
  <cellXfs count="593">
    <xf numFmtId="0" fontId="0" fillId="0" borderId="0" xfId="0"/>
    <xf numFmtId="0" fontId="9" fillId="0" borderId="0" xfId="0" applyFont="1"/>
    <xf numFmtId="170" fontId="10" fillId="2" borderId="0" xfId="1" applyNumberFormat="1" applyFont="1" applyFill="1" applyProtection="1">
      <protection locked="0"/>
    </xf>
    <xf numFmtId="170" fontId="11" fillId="2" borderId="0" xfId="1" applyNumberFormat="1" applyFont="1" applyFill="1" applyProtection="1">
      <protection locked="0"/>
    </xf>
    <xf numFmtId="0" fontId="12" fillId="2" borderId="0" xfId="0" applyFont="1" applyFill="1"/>
    <xf numFmtId="9" fontId="0" fillId="0" borderId="0" xfId="2" applyFont="1"/>
    <xf numFmtId="173" fontId="0" fillId="0" borderId="0" xfId="2" applyNumberFormat="1" applyFont="1"/>
    <xf numFmtId="0" fontId="0" fillId="0" borderId="0" xfId="0" applyAlignment="1">
      <alignment horizontal="left"/>
    </xf>
    <xf numFmtId="0" fontId="0" fillId="0" borderId="0" xfId="0" applyAlignment="1">
      <alignment horizontal="left" indent="1"/>
    </xf>
    <xf numFmtId="3" fontId="9" fillId="0" borderId="1" xfId="0" applyNumberFormat="1" applyFont="1" applyBorder="1"/>
    <xf numFmtId="0" fontId="0" fillId="0" borderId="1" xfId="0" applyBorder="1" applyAlignment="1">
      <alignment horizontal="left" indent="2"/>
    </xf>
    <xf numFmtId="0" fontId="9" fillId="0" borderId="1" xfId="0" applyFont="1" applyBorder="1"/>
    <xf numFmtId="0" fontId="0" fillId="0" borderId="1" xfId="0" applyBorder="1" applyAlignment="1">
      <alignment horizontal="left" indent="1"/>
    </xf>
    <xf numFmtId="0" fontId="0" fillId="0" borderId="1" xfId="0" applyBorder="1"/>
    <xf numFmtId="0" fontId="9" fillId="0" borderId="2" xfId="0" applyFont="1" applyBorder="1"/>
    <xf numFmtId="0" fontId="0" fillId="0" borderId="3" xfId="0" applyBorder="1" applyAlignment="1">
      <alignment horizontal="left" indent="1"/>
    </xf>
    <xf numFmtId="0" fontId="0" fillId="0" borderId="0" xfId="0" applyAlignment="1">
      <alignment horizontal="left" wrapText="1" indent="1"/>
    </xf>
    <xf numFmtId="0" fontId="0" fillId="2" borderId="0" xfId="0" applyFill="1"/>
    <xf numFmtId="0" fontId="9" fillId="0" borderId="1" xfId="0" applyFont="1" applyBorder="1" applyAlignment="1">
      <alignment horizontal="left"/>
    </xf>
    <xf numFmtId="173" fontId="9" fillId="0" borderId="1" xfId="2" applyNumberFormat="1" applyFont="1" applyBorder="1"/>
    <xf numFmtId="174" fontId="0" fillId="0" borderId="0" xfId="1" applyNumberFormat="1" applyFont="1"/>
    <xf numFmtId="173" fontId="0" fillId="6" borderId="0" xfId="2" applyNumberFormat="1" applyFont="1" applyFill="1"/>
    <xf numFmtId="14" fontId="0" fillId="0" borderId="0" xfId="0" applyNumberFormat="1"/>
    <xf numFmtId="37" fontId="0" fillId="0" borderId="0" xfId="0" applyNumberFormat="1"/>
    <xf numFmtId="0" fontId="15" fillId="0" borderId="0" xfId="0" applyFont="1"/>
    <xf numFmtId="37" fontId="15" fillId="0" borderId="0" xfId="0" applyNumberFormat="1" applyFont="1"/>
    <xf numFmtId="37" fontId="13" fillId="0" borderId="0" xfId="0" applyNumberFormat="1" applyFont="1"/>
    <xf numFmtId="174" fontId="9" fillId="0" borderId="0" xfId="0" applyNumberFormat="1" applyFont="1"/>
    <xf numFmtId="3" fontId="9" fillId="0" borderId="0" xfId="0" applyNumberFormat="1" applyFont="1"/>
    <xf numFmtId="173" fontId="0" fillId="0" borderId="0" xfId="2" applyNumberFormat="1" applyFont="1" applyAlignment="1">
      <alignment horizontal="right"/>
    </xf>
    <xf numFmtId="0" fontId="15" fillId="0" borderId="0" xfId="0" applyFont="1" applyAlignment="1">
      <alignment horizontal="left" indent="1"/>
    </xf>
    <xf numFmtId="0" fontId="16" fillId="3" borderId="0" xfId="0" applyFont="1" applyFill="1"/>
    <xf numFmtId="0" fontId="16" fillId="2" borderId="0" xfId="0" applyFont="1" applyFill="1"/>
    <xf numFmtId="0" fontId="16" fillId="5" borderId="0" xfId="0" applyFont="1" applyFill="1"/>
    <xf numFmtId="0" fontId="16" fillId="4" borderId="0" xfId="0" applyFont="1" applyFill="1"/>
    <xf numFmtId="0" fontId="16" fillId="7" borderId="0" xfId="0" applyFont="1" applyFill="1"/>
    <xf numFmtId="173" fontId="13" fillId="6" borderId="0" xfId="2" applyNumberFormat="1" applyFont="1" applyFill="1"/>
    <xf numFmtId="173" fontId="9" fillId="0" borderId="1" xfId="2" applyNumberFormat="1" applyFont="1" applyBorder="1" applyAlignment="1">
      <alignment horizontal="right"/>
    </xf>
    <xf numFmtId="39" fontId="0" fillId="0" borderId="3" xfId="0" applyNumberFormat="1" applyBorder="1"/>
    <xf numFmtId="176" fontId="15" fillId="0" borderId="0" xfId="0" applyNumberFormat="1" applyFont="1"/>
    <xf numFmtId="37" fontId="14" fillId="0" borderId="0" xfId="0" applyNumberFormat="1" applyFont="1"/>
    <xf numFmtId="37" fontId="9" fillId="0" borderId="0" xfId="0" applyNumberFormat="1" applyFont="1"/>
    <xf numFmtId="37" fontId="0" fillId="0" borderId="0" xfId="2" applyNumberFormat="1" applyFont="1"/>
    <xf numFmtId="0" fontId="8" fillId="2" borderId="0" xfId="0" applyFont="1" applyFill="1" applyAlignment="1">
      <alignment horizontal="right"/>
    </xf>
    <xf numFmtId="167" fontId="16" fillId="2" borderId="0" xfId="0" applyNumberFormat="1" applyFont="1" applyFill="1" applyAlignment="1">
      <alignment horizontal="right"/>
    </xf>
    <xf numFmtId="0" fontId="7" fillId="0" borderId="0" xfId="0" applyFont="1"/>
    <xf numFmtId="0" fontId="11" fillId="2" borderId="0" xfId="0" applyFont="1" applyFill="1"/>
    <xf numFmtId="0" fontId="0" fillId="0" borderId="0" xfId="0" applyAlignment="1">
      <alignment horizontal="center"/>
    </xf>
    <xf numFmtId="0" fontId="7" fillId="5" borderId="0" xfId="10" applyFont="1" applyFill="1"/>
    <xf numFmtId="0" fontId="7" fillId="9" borderId="0" xfId="10" applyFont="1" applyFill="1"/>
    <xf numFmtId="0" fontId="27" fillId="9" borderId="0" xfId="11" applyFont="1" applyFill="1" applyProtection="1">
      <protection locked="0"/>
    </xf>
    <xf numFmtId="0" fontId="7" fillId="10" borderId="0" xfId="10" applyFont="1" applyFill="1"/>
    <xf numFmtId="0" fontId="7" fillId="5" borderId="0" xfId="12" applyFont="1" applyFill="1"/>
    <xf numFmtId="0" fontId="7" fillId="0" borderId="0" xfId="12" applyFont="1"/>
    <xf numFmtId="0" fontId="16" fillId="2" borderId="0" xfId="12" applyFont="1" applyFill="1"/>
    <xf numFmtId="0" fontId="7" fillId="2" borderId="0" xfId="12" applyFont="1" applyFill="1"/>
    <xf numFmtId="0" fontId="7" fillId="9" borderId="0" xfId="12" applyFont="1" applyFill="1"/>
    <xf numFmtId="0" fontId="12" fillId="0" borderId="0" xfId="0" applyFont="1"/>
    <xf numFmtId="171" fontId="8" fillId="0" borderId="0" xfId="0" applyNumberFormat="1" applyFont="1"/>
    <xf numFmtId="171" fontId="9" fillId="0" borderId="0" xfId="0" applyNumberFormat="1" applyFont="1"/>
    <xf numFmtId="172" fontId="9" fillId="0" borderId="0" xfId="0" applyNumberFormat="1" applyFont="1"/>
    <xf numFmtId="0" fontId="9" fillId="0" borderId="6" xfId="0" applyFont="1" applyBorder="1" applyAlignment="1">
      <alignment horizontal="centerContinuous"/>
    </xf>
    <xf numFmtId="0" fontId="9" fillId="0" borderId="0" xfId="0" applyFont="1" applyAlignment="1">
      <alignment horizontal="center"/>
    </xf>
    <xf numFmtId="0" fontId="9" fillId="0" borderId="6" xfId="0" applyFont="1" applyBorder="1" applyAlignment="1">
      <alignment horizontal="center"/>
    </xf>
    <xf numFmtId="172" fontId="9" fillId="0" borderId="6" xfId="0" applyNumberFormat="1" applyFont="1" applyBorder="1" applyAlignment="1">
      <alignment horizontal="center"/>
    </xf>
    <xf numFmtId="43" fontId="0" fillId="0" borderId="0" xfId="0" applyNumberFormat="1"/>
    <xf numFmtId="37" fontId="12" fillId="2" borderId="0" xfId="0" applyNumberFormat="1" applyFont="1" applyFill="1" applyAlignment="1">
      <alignment vertical="top"/>
    </xf>
    <xf numFmtId="37" fontId="10" fillId="2" borderId="0" xfId="0" applyNumberFormat="1" applyFont="1" applyFill="1" applyAlignment="1">
      <alignment vertical="top"/>
    </xf>
    <xf numFmtId="37" fontId="29" fillId="2" borderId="0" xfId="0" applyNumberFormat="1" applyFont="1" applyFill="1" applyAlignment="1">
      <alignment vertical="top"/>
    </xf>
    <xf numFmtId="0" fontId="30" fillId="0" borderId="0" xfId="0" applyFont="1"/>
    <xf numFmtId="0" fontId="31" fillId="2" borderId="0" xfId="0" applyFont="1" applyFill="1" applyAlignment="1">
      <alignment horizontal="left" vertical="center" readingOrder="1"/>
    </xf>
    <xf numFmtId="37" fontId="21" fillId="2" borderId="0" xfId="0" applyNumberFormat="1" applyFont="1" applyFill="1" applyAlignment="1">
      <alignment vertical="top"/>
    </xf>
    <xf numFmtId="37" fontId="32" fillId="2" borderId="0" xfId="0" applyNumberFormat="1" applyFont="1" applyFill="1" applyAlignment="1">
      <alignment vertical="top"/>
    </xf>
    <xf numFmtId="37" fontId="32" fillId="0" borderId="0" xfId="0" applyNumberFormat="1" applyFont="1" applyAlignment="1">
      <alignment vertical="top"/>
    </xf>
    <xf numFmtId="0" fontId="38" fillId="5" borderId="0" xfId="0" applyFont="1" applyFill="1"/>
    <xf numFmtId="37" fontId="39" fillId="0" borderId="6" xfId="0" applyNumberFormat="1" applyFont="1" applyBorder="1" applyAlignment="1">
      <alignment horizontal="center" vertical="top"/>
    </xf>
    <xf numFmtId="0" fontId="0" fillId="0" borderId="6" xfId="0" applyBorder="1"/>
    <xf numFmtId="171" fontId="8" fillId="0" borderId="6" xfId="0" applyNumberFormat="1" applyFont="1" applyBorder="1"/>
    <xf numFmtId="171" fontId="9" fillId="0" borderId="6" xfId="0" applyNumberFormat="1" applyFont="1" applyBorder="1"/>
    <xf numFmtId="172" fontId="9" fillId="0" borderId="6" xfId="0" applyNumberFormat="1" applyFont="1" applyBorder="1"/>
    <xf numFmtId="3" fontId="14" fillId="0" borderId="0" xfId="0" applyNumberFormat="1" applyFont="1"/>
    <xf numFmtId="9" fontId="0" fillId="0" borderId="0" xfId="2" applyFont="1" applyFill="1"/>
    <xf numFmtId="169" fontId="13" fillId="0" borderId="0" xfId="1" applyFont="1" applyFill="1"/>
    <xf numFmtId="169" fontId="0" fillId="0" borderId="0" xfId="1" applyFont="1" applyFill="1"/>
    <xf numFmtId="184" fontId="15" fillId="0" borderId="0" xfId="0" applyNumberFormat="1" applyFont="1"/>
    <xf numFmtId="173" fontId="17" fillId="0" borderId="0" xfId="2" applyNumberFormat="1" applyFont="1" applyFill="1" applyBorder="1" applyAlignment="1">
      <alignment horizontal="right"/>
    </xf>
    <xf numFmtId="173" fontId="17" fillId="0" borderId="0" xfId="2" applyNumberFormat="1" applyFont="1" applyFill="1" applyBorder="1"/>
    <xf numFmtId="173" fontId="0" fillId="0" borderId="0" xfId="2" applyNumberFormat="1" applyFont="1" applyFill="1"/>
    <xf numFmtId="173" fontId="14" fillId="0" borderId="0" xfId="2" applyNumberFormat="1" applyFont="1" applyFill="1" applyBorder="1"/>
    <xf numFmtId="0" fontId="14" fillId="0" borderId="0" xfId="0" applyFont="1"/>
    <xf numFmtId="174" fontId="14" fillId="0" borderId="0" xfId="1" applyNumberFormat="1" applyFont="1" applyFill="1" applyBorder="1"/>
    <xf numFmtId="0" fontId="14" fillId="0" borderId="0" xfId="0" applyFont="1" applyAlignment="1">
      <alignment horizontal="left"/>
    </xf>
    <xf numFmtId="172" fontId="17" fillId="0" borderId="0" xfId="0" applyNumberFormat="1" applyFont="1"/>
    <xf numFmtId="0" fontId="17" fillId="0" borderId="0" xfId="0" applyFont="1"/>
    <xf numFmtId="14" fontId="14" fillId="0" borderId="0" xfId="0" applyNumberFormat="1" applyFont="1"/>
    <xf numFmtId="173" fontId="14" fillId="0" borderId="0" xfId="2" applyNumberFormat="1" applyFont="1" applyFill="1" applyBorder="1" applyAlignment="1">
      <alignment horizontal="center"/>
    </xf>
    <xf numFmtId="0" fontId="0" fillId="0" borderId="0" xfId="0" quotePrefix="1"/>
    <xf numFmtId="173" fontId="0" fillId="6" borderId="0" xfId="2" applyNumberFormat="1" applyFont="1" applyFill="1" applyAlignment="1">
      <alignment horizontal="right"/>
    </xf>
    <xf numFmtId="0" fontId="41" fillId="0" borderId="0" xfId="0" applyFont="1"/>
    <xf numFmtId="0" fontId="42" fillId="0" borderId="0" xfId="0" applyFont="1"/>
    <xf numFmtId="0" fontId="40" fillId="0" borderId="4" xfId="0" applyFont="1" applyBorder="1" applyAlignment="1">
      <alignment horizontal="right"/>
    </xf>
    <xf numFmtId="37" fontId="11" fillId="2" borderId="0" xfId="0" applyNumberFormat="1" applyFont="1" applyFill="1" applyAlignment="1">
      <alignment horizontal="left" vertical="top"/>
    </xf>
    <xf numFmtId="37" fontId="38" fillId="2" borderId="0" xfId="0" applyNumberFormat="1" applyFont="1" applyFill="1" applyAlignment="1">
      <alignment horizontal="left" vertical="top"/>
    </xf>
    <xf numFmtId="0" fontId="43" fillId="0" borderId="0" xfId="0" applyFont="1"/>
    <xf numFmtId="0" fontId="42" fillId="0" borderId="0" xfId="0" applyFont="1" applyAlignment="1">
      <alignment vertical="center"/>
    </xf>
    <xf numFmtId="0" fontId="41" fillId="8" borderId="0" xfId="0" applyFont="1" applyFill="1"/>
    <xf numFmtId="0" fontId="30" fillId="8" borderId="0" xfId="0" applyFont="1" applyFill="1"/>
    <xf numFmtId="0" fontId="40" fillId="0" borderId="0" xfId="0" applyFont="1"/>
    <xf numFmtId="0" fontId="30" fillId="0" borderId="17" xfId="0" applyFont="1" applyBorder="1"/>
    <xf numFmtId="0" fontId="30" fillId="0" borderId="5" xfId="0" applyFont="1" applyBorder="1"/>
    <xf numFmtId="0" fontId="30" fillId="0" borderId="18" xfId="0" applyFont="1" applyBorder="1" applyAlignment="1">
      <alignment horizontal="right"/>
    </xf>
    <xf numFmtId="0" fontId="42" fillId="0" borderId="0" xfId="0" applyFont="1" applyAlignment="1">
      <alignment horizontal="right"/>
    </xf>
    <xf numFmtId="0" fontId="39" fillId="0" borderId="0" xfId="0" applyFont="1"/>
    <xf numFmtId="0" fontId="30" fillId="0" borderId="0" xfId="0" applyFont="1" applyAlignment="1">
      <alignment horizontal="center"/>
    </xf>
    <xf numFmtId="0" fontId="43" fillId="0" borderId="0" xfId="0" applyFont="1" applyAlignment="1">
      <alignment horizontal="right"/>
    </xf>
    <xf numFmtId="173" fontId="40" fillId="0" borderId="4" xfId="2" applyNumberFormat="1" applyFont="1" applyBorder="1"/>
    <xf numFmtId="0" fontId="45" fillId="2" borderId="0" xfId="0" applyFont="1" applyFill="1" applyAlignment="1">
      <alignment horizontal="left" vertical="center" readingOrder="1"/>
    </xf>
    <xf numFmtId="0" fontId="30" fillId="0" borderId="0" xfId="12" applyFont="1"/>
    <xf numFmtId="0" fontId="42" fillId="0" borderId="0" xfId="4" applyFont="1"/>
    <xf numFmtId="0" fontId="41" fillId="0" borderId="0" xfId="4" applyFont="1" applyAlignment="1">
      <alignment horizontal="center"/>
    </xf>
    <xf numFmtId="0" fontId="41" fillId="0" borderId="6" xfId="4" applyFont="1" applyBorder="1" applyAlignment="1">
      <alignment horizontal="left"/>
    </xf>
    <xf numFmtId="0" fontId="41" fillId="0" borderId="6" xfId="4" applyFont="1" applyBorder="1"/>
    <xf numFmtId="0" fontId="39" fillId="0" borderId="6" xfId="0" applyFont="1" applyBorder="1" applyAlignment="1">
      <alignment horizontal="center"/>
    </xf>
    <xf numFmtId="0" fontId="41" fillId="0" borderId="6" xfId="4" applyFont="1" applyBorder="1" applyAlignment="1">
      <alignment horizontal="center"/>
    </xf>
    <xf numFmtId="0" fontId="30" fillId="0" borderId="6" xfId="0" applyFont="1" applyBorder="1"/>
    <xf numFmtId="0" fontId="39" fillId="0" borderId="6" xfId="0" applyFont="1" applyBorder="1" applyAlignment="1">
      <alignment horizontal="right"/>
    </xf>
    <xf numFmtId="0" fontId="42" fillId="0" borderId="0" xfId="4" applyFont="1" applyAlignment="1">
      <alignment horizontal="left"/>
    </xf>
    <xf numFmtId="9" fontId="40" fillId="0" borderId="0" xfId="2" applyFont="1" applyBorder="1" applyAlignment="1">
      <alignment horizontal="right"/>
    </xf>
    <xf numFmtId="173" fontId="42" fillId="0" borderId="0" xfId="2" applyNumberFormat="1" applyFont="1" applyBorder="1" applyAlignment="1">
      <alignment horizontal="right"/>
    </xf>
    <xf numFmtId="2" fontId="40" fillId="0" borderId="0" xfId="4" applyNumberFormat="1" applyFont="1" applyAlignment="1">
      <alignment horizontal="right"/>
    </xf>
    <xf numFmtId="2" fontId="42" fillId="0" borderId="0" xfId="4" applyNumberFormat="1" applyFont="1" applyAlignment="1">
      <alignment horizontal="right"/>
    </xf>
    <xf numFmtId="173" fontId="30" fillId="0" borderId="0" xfId="4" applyNumberFormat="1" applyFont="1" applyAlignment="1">
      <alignment horizontal="right"/>
    </xf>
    <xf numFmtId="173" fontId="30" fillId="0" borderId="0" xfId="2" applyNumberFormat="1" applyFont="1"/>
    <xf numFmtId="173" fontId="39" fillId="0" borderId="0" xfId="2" applyNumberFormat="1" applyFont="1"/>
    <xf numFmtId="9" fontId="40" fillId="0" borderId="6" xfId="2" applyFont="1" applyBorder="1" applyAlignment="1">
      <alignment horizontal="right"/>
    </xf>
    <xf numFmtId="173" fontId="42" fillId="0" borderId="6" xfId="2" applyNumberFormat="1" applyFont="1" applyBorder="1" applyAlignment="1">
      <alignment horizontal="right"/>
    </xf>
    <xf numFmtId="2" fontId="40" fillId="0" borderId="6" xfId="4" applyNumberFormat="1" applyFont="1" applyBorder="1" applyAlignment="1">
      <alignment horizontal="right"/>
    </xf>
    <xf numFmtId="2" fontId="42" fillId="0" borderId="6" xfId="4" applyNumberFormat="1" applyFont="1" applyBorder="1" applyAlignment="1">
      <alignment horizontal="right"/>
    </xf>
    <xf numFmtId="0" fontId="41" fillId="0" borderId="0" xfId="4" applyFont="1"/>
    <xf numFmtId="0" fontId="41" fillId="0" borderId="0" xfId="4" applyFont="1" applyAlignment="1">
      <alignment horizontal="right"/>
    </xf>
    <xf numFmtId="173" fontId="41" fillId="0" borderId="0" xfId="4" applyNumberFormat="1" applyFont="1" applyAlignment="1">
      <alignment horizontal="right"/>
    </xf>
    <xf numFmtId="169" fontId="41" fillId="0" borderId="0" xfId="1" applyFont="1" applyBorder="1" applyAlignment="1">
      <alignment horizontal="right"/>
    </xf>
    <xf numFmtId="173" fontId="39" fillId="0" borderId="1" xfId="4" applyNumberFormat="1" applyFont="1" applyBorder="1" applyAlignment="1">
      <alignment horizontal="right"/>
    </xf>
    <xf numFmtId="0" fontId="39" fillId="0" borderId="6" xfId="0" applyFont="1" applyBorder="1"/>
    <xf numFmtId="3" fontId="30" fillId="0" borderId="0" xfId="0" applyNumberFormat="1" applyFont="1"/>
    <xf numFmtId="172" fontId="39" fillId="0" borderId="6" xfId="0" applyNumberFormat="1" applyFont="1" applyBorder="1"/>
    <xf numFmtId="37" fontId="30" fillId="0" borderId="0" xfId="0" applyNumberFormat="1" applyFont="1"/>
    <xf numFmtId="174" fontId="30" fillId="0" borderId="0" xfId="1" applyNumberFormat="1" applyFont="1" applyBorder="1"/>
    <xf numFmtId="167" fontId="39" fillId="0" borderId="0" xfId="0" applyNumberFormat="1" applyFont="1"/>
    <xf numFmtId="0" fontId="39" fillId="0" borderId="0" xfId="0" applyFont="1" applyAlignment="1">
      <alignment horizontal="centerContinuous"/>
    </xf>
    <xf numFmtId="14" fontId="30" fillId="0" borderId="0" xfId="0" applyNumberFormat="1" applyFont="1"/>
    <xf numFmtId="4" fontId="30" fillId="0" borderId="0" xfId="0" applyNumberFormat="1" applyFont="1"/>
    <xf numFmtId="164" fontId="30" fillId="0" borderId="0" xfId="0" applyNumberFormat="1" applyFont="1"/>
    <xf numFmtId="164" fontId="30" fillId="0" borderId="6" xfId="0" applyNumberFormat="1" applyFont="1" applyBorder="1"/>
    <xf numFmtId="177" fontId="40" fillId="0" borderId="20" xfId="2" applyNumberFormat="1" applyFont="1" applyBorder="1"/>
    <xf numFmtId="0" fontId="40" fillId="0" borderId="19" xfId="0" applyFont="1" applyBorder="1"/>
    <xf numFmtId="0" fontId="40" fillId="0" borderId="21" xfId="0" applyFont="1" applyBorder="1" applyAlignment="1">
      <alignment horizontal="right"/>
    </xf>
    <xf numFmtId="164" fontId="39" fillId="0" borderId="0" xfId="0" applyNumberFormat="1" applyFont="1"/>
    <xf numFmtId="9" fontId="30" fillId="0" borderId="0" xfId="0" applyNumberFormat="1" applyFont="1"/>
    <xf numFmtId="0" fontId="30" fillId="0" borderId="7" xfId="0" applyFont="1" applyBorder="1"/>
    <xf numFmtId="0" fontId="30" fillId="0" borderId="8" xfId="0" applyFont="1" applyBorder="1"/>
    <xf numFmtId="0" fontId="30" fillId="0" borderId="9" xfId="0" applyFont="1" applyBorder="1"/>
    <xf numFmtId="0" fontId="30" fillId="0" borderId="10" xfId="0" applyFont="1" applyBorder="1"/>
    <xf numFmtId="14" fontId="30" fillId="0" borderId="0" xfId="0" applyNumberFormat="1" applyFont="1" applyAlignment="1">
      <alignment horizontal="right"/>
    </xf>
    <xf numFmtId="0" fontId="30" fillId="0" borderId="11" xfId="0" applyFont="1" applyBorder="1"/>
    <xf numFmtId="0" fontId="38" fillId="2" borderId="0" xfId="0" applyFont="1" applyFill="1"/>
    <xf numFmtId="0" fontId="29" fillId="2" borderId="0" xfId="0" applyFont="1" applyFill="1"/>
    <xf numFmtId="0" fontId="38" fillId="2" borderId="0" xfId="0" applyFont="1" applyFill="1" applyAlignment="1">
      <alignment horizontal="left"/>
    </xf>
    <xf numFmtId="0" fontId="39" fillId="0" borderId="0" xfId="0" applyFont="1" applyAlignment="1">
      <alignment horizontal="right"/>
    </xf>
    <xf numFmtId="3" fontId="30" fillId="0" borderId="0" xfId="0" applyNumberFormat="1" applyFont="1" applyAlignment="1">
      <alignment horizontal="left"/>
    </xf>
    <xf numFmtId="167" fontId="30" fillId="0" borderId="0" xfId="1" applyNumberFormat="1" applyFont="1" applyBorder="1" applyAlignment="1">
      <alignment horizontal="right"/>
    </xf>
    <xf numFmtId="0" fontId="30" fillId="0" borderId="0" xfId="0" applyFont="1" applyAlignment="1">
      <alignment horizontal="left"/>
    </xf>
    <xf numFmtId="174" fontId="30" fillId="0" borderId="0" xfId="1" applyNumberFormat="1" applyFont="1" applyBorder="1" applyAlignment="1">
      <alignment horizontal="right"/>
    </xf>
    <xf numFmtId="2" fontId="30" fillId="0" borderId="0" xfId="0" applyNumberFormat="1" applyFont="1"/>
    <xf numFmtId="173" fontId="30" fillId="0" borderId="0" xfId="2" applyNumberFormat="1" applyFont="1" applyBorder="1" applyAlignment="1">
      <alignment horizontal="right"/>
    </xf>
    <xf numFmtId="178" fontId="30" fillId="0" borderId="0" xfId="0" applyNumberFormat="1" applyFont="1"/>
    <xf numFmtId="179" fontId="30" fillId="0" borderId="0" xfId="0" applyNumberFormat="1" applyFont="1"/>
    <xf numFmtId="37" fontId="30" fillId="0" borderId="0" xfId="0" applyNumberFormat="1" applyFont="1" applyAlignment="1">
      <alignment vertical="top"/>
    </xf>
    <xf numFmtId="10" fontId="30" fillId="0" borderId="0" xfId="2" applyNumberFormat="1" applyFont="1" applyAlignment="1">
      <alignment horizontal="right"/>
    </xf>
    <xf numFmtId="16" fontId="30" fillId="0" borderId="0" xfId="0" applyNumberFormat="1" applyFont="1" applyAlignment="1">
      <alignment horizontal="left"/>
    </xf>
    <xf numFmtId="16" fontId="30" fillId="0" borderId="0" xfId="0" applyNumberFormat="1" applyFont="1" applyAlignment="1">
      <alignment horizontal="right"/>
    </xf>
    <xf numFmtId="0" fontId="46" fillId="0" borderId="0" xfId="0" applyFont="1" applyAlignment="1">
      <alignment horizontal="right"/>
    </xf>
    <xf numFmtId="174" fontId="47" fillId="0" borderId="0" xfId="0" applyNumberFormat="1" applyFont="1"/>
    <xf numFmtId="174" fontId="30" fillId="0" borderId="0" xfId="0" applyNumberFormat="1" applyFont="1"/>
    <xf numFmtId="0" fontId="30" fillId="2" borderId="0" xfId="0" applyFont="1" applyFill="1" applyAlignment="1">
      <alignment horizontal="centerContinuous"/>
    </xf>
    <xf numFmtId="0" fontId="30" fillId="0" borderId="0" xfId="0" applyFont="1" applyAlignment="1">
      <alignment horizontal="centerContinuous"/>
    </xf>
    <xf numFmtId="0" fontId="46" fillId="0" borderId="0" xfId="0" applyFont="1"/>
    <xf numFmtId="174" fontId="46" fillId="0" borderId="0" xfId="1" applyNumberFormat="1" applyFont="1"/>
    <xf numFmtId="0" fontId="30" fillId="0" borderId="13" xfId="0" applyFont="1" applyBorder="1"/>
    <xf numFmtId="0" fontId="30" fillId="0" borderId="12" xfId="0" applyFont="1" applyBorder="1"/>
    <xf numFmtId="0" fontId="48" fillId="0" borderId="0" xfId="0" applyFont="1" applyAlignment="1">
      <alignment horizontal="right"/>
    </xf>
    <xf numFmtId="177" fontId="30" fillId="0" borderId="0" xfId="0" applyNumberFormat="1" applyFont="1"/>
    <xf numFmtId="167" fontId="39" fillId="0" borderId="0" xfId="0" applyNumberFormat="1" applyFont="1" applyAlignment="1">
      <alignment horizontal="right"/>
    </xf>
    <xf numFmtId="0" fontId="9" fillId="0" borderId="0" xfId="12" applyFont="1"/>
    <xf numFmtId="0" fontId="14" fillId="0" borderId="0" xfId="12" applyFont="1" applyAlignment="1">
      <alignment horizontal="center"/>
    </xf>
    <xf numFmtId="0" fontId="14" fillId="0" borderId="0" xfId="12" applyFont="1" applyAlignment="1">
      <alignment horizontal="center" vertical="center"/>
    </xf>
    <xf numFmtId="0" fontId="17" fillId="0" borderId="0" xfId="12" applyFont="1" applyAlignment="1">
      <alignment horizontal="center" vertical="center"/>
    </xf>
    <xf numFmtId="0" fontId="17" fillId="0" borderId="0" xfId="12" applyFont="1" applyAlignment="1">
      <alignment horizontal="centerContinuous" vertical="center"/>
    </xf>
    <xf numFmtId="0" fontId="35" fillId="0" borderId="0" xfId="12" applyFont="1" applyAlignment="1">
      <alignment horizontal="center"/>
    </xf>
    <xf numFmtId="0" fontId="37" fillId="0" borderId="0" xfId="12" applyFont="1" applyAlignment="1">
      <alignment horizontal="center" vertical="center"/>
    </xf>
    <xf numFmtId="0" fontId="36" fillId="0" borderId="0" xfId="12" applyFont="1" applyAlignment="1">
      <alignment horizontal="center" vertical="center"/>
    </xf>
    <xf numFmtId="0" fontId="36" fillId="0" borderId="0" xfId="12" quotePrefix="1" applyFont="1" applyAlignment="1">
      <alignment horizontal="center" vertical="center"/>
    </xf>
    <xf numFmtId="0" fontId="35" fillId="0" borderId="0" xfId="12" applyFont="1" applyAlignment="1">
      <alignment horizontal="center" vertical="center"/>
    </xf>
    <xf numFmtId="0" fontId="14" fillId="0" borderId="0" xfId="12" applyFont="1"/>
    <xf numFmtId="37" fontId="14" fillId="0" borderId="0" xfId="12" applyNumberFormat="1" applyFont="1" applyAlignment="1">
      <alignment vertical="center"/>
    </xf>
    <xf numFmtId="167" fontId="14" fillId="0" borderId="0" xfId="12" applyNumberFormat="1" applyFont="1" applyAlignment="1">
      <alignment vertical="center"/>
    </xf>
    <xf numFmtId="181" fontId="14" fillId="0" borderId="0" xfId="12" applyNumberFormat="1" applyFont="1" applyAlignment="1">
      <alignment vertical="center"/>
    </xf>
    <xf numFmtId="0" fontId="14" fillId="0" borderId="0" xfId="12" applyFont="1" applyAlignment="1">
      <alignment vertical="center"/>
    </xf>
    <xf numFmtId="177" fontId="14" fillId="0" borderId="0" xfId="12" applyNumberFormat="1" applyFont="1" applyAlignment="1">
      <alignment vertical="center"/>
    </xf>
    <xf numFmtId="177" fontId="14" fillId="0" borderId="0" xfId="12" applyNumberFormat="1" applyFont="1" applyAlignment="1">
      <alignment horizontal="right" vertical="center"/>
    </xf>
    <xf numFmtId="173" fontId="14" fillId="0" borderId="0" xfId="2" applyNumberFormat="1" applyFont="1" applyAlignment="1">
      <alignment horizontal="right"/>
    </xf>
    <xf numFmtId="167" fontId="7" fillId="0" borderId="0" xfId="12" applyNumberFormat="1" applyFont="1" applyAlignment="1">
      <alignment vertical="center"/>
    </xf>
    <xf numFmtId="181" fontId="7" fillId="0" borderId="0" xfId="12" applyNumberFormat="1" applyFont="1"/>
    <xf numFmtId="37" fontId="13" fillId="0" borderId="0" xfId="12" applyNumberFormat="1" applyFont="1" applyAlignment="1">
      <alignment vertical="center"/>
    </xf>
    <xf numFmtId="167" fontId="13" fillId="0" borderId="0" xfId="12" applyNumberFormat="1" applyFont="1" applyAlignment="1">
      <alignment vertical="center"/>
    </xf>
    <xf numFmtId="0" fontId="7" fillId="0" borderId="0" xfId="12" applyFont="1" applyAlignment="1">
      <alignment vertical="center"/>
    </xf>
    <xf numFmtId="177" fontId="7" fillId="0" borderId="0" xfId="12" applyNumberFormat="1" applyFont="1" applyAlignment="1">
      <alignment vertical="center"/>
    </xf>
    <xf numFmtId="181" fontId="14" fillId="0" borderId="0" xfId="12" applyNumberFormat="1" applyFont="1"/>
    <xf numFmtId="167" fontId="14" fillId="0" borderId="0" xfId="12" applyNumberFormat="1" applyFont="1"/>
    <xf numFmtId="0" fontId="8" fillId="5" borderId="0" xfId="0" applyFont="1" applyFill="1"/>
    <xf numFmtId="0" fontId="8" fillId="5" borderId="0" xfId="0" applyFont="1" applyFill="1" applyAlignment="1">
      <alignment horizontal="center"/>
    </xf>
    <xf numFmtId="164" fontId="0" fillId="0" borderId="0" xfId="0" applyNumberFormat="1" applyAlignment="1">
      <alignment horizontal="right"/>
    </xf>
    <xf numFmtId="164" fontId="8" fillId="5" borderId="0" xfId="0" applyNumberFormat="1" applyFont="1" applyFill="1" applyAlignment="1">
      <alignment horizontal="right"/>
    </xf>
    <xf numFmtId="0" fontId="0" fillId="0" borderId="0" xfId="0" applyAlignment="1">
      <alignment horizontal="right"/>
    </xf>
    <xf numFmtId="0" fontId="8" fillId="5" borderId="0" xfId="0" applyFont="1" applyFill="1" applyAlignment="1">
      <alignment horizontal="right"/>
    </xf>
    <xf numFmtId="164" fontId="9" fillId="0" borderId="0" xfId="0" applyNumberFormat="1" applyFont="1" applyAlignment="1">
      <alignment horizontal="right"/>
    </xf>
    <xf numFmtId="177" fontId="9" fillId="0" borderId="0" xfId="0" applyNumberFormat="1" applyFont="1" applyAlignment="1">
      <alignment horizontal="right"/>
    </xf>
    <xf numFmtId="187" fontId="0" fillId="0" borderId="6" xfId="0" applyNumberFormat="1" applyBorder="1" applyAlignment="1">
      <alignment horizontal="right"/>
    </xf>
    <xf numFmtId="0" fontId="9" fillId="8" borderId="0" xfId="0" applyFont="1" applyFill="1"/>
    <xf numFmtId="164" fontId="9" fillId="8" borderId="0" xfId="0" applyNumberFormat="1" applyFont="1" applyFill="1" applyAlignment="1">
      <alignment horizontal="right"/>
    </xf>
    <xf numFmtId="177" fontId="9" fillId="8" borderId="0" xfId="0" applyNumberFormat="1" applyFont="1" applyFill="1" applyAlignment="1">
      <alignment horizontal="right"/>
    </xf>
    <xf numFmtId="9" fontId="30" fillId="0" borderId="0" xfId="2" applyFont="1"/>
    <xf numFmtId="37" fontId="42" fillId="0" borderId="0" xfId="4" applyNumberFormat="1" applyFont="1" applyAlignment="1">
      <alignment horizontal="left"/>
    </xf>
    <xf numFmtId="173" fontId="41" fillId="0" borderId="1" xfId="4" applyNumberFormat="1" applyFont="1" applyBorder="1" applyAlignment="1">
      <alignment horizontal="right"/>
    </xf>
    <xf numFmtId="0" fontId="50" fillId="0" borderId="0" xfId="27"/>
    <xf numFmtId="0" fontId="39" fillId="0" borderId="22" xfId="0" applyFont="1" applyBorder="1"/>
    <xf numFmtId="173" fontId="39" fillId="0" borderId="22" xfId="4" applyNumberFormat="1" applyFont="1" applyBorder="1" applyAlignment="1">
      <alignment horizontal="right"/>
    </xf>
    <xf numFmtId="173" fontId="39" fillId="0" borderId="6" xfId="4" applyNumberFormat="1" applyFont="1" applyBorder="1" applyAlignment="1">
      <alignment horizontal="right"/>
    </xf>
    <xf numFmtId="173" fontId="7" fillId="6" borderId="0" xfId="2" applyNumberFormat="1" applyFont="1" applyFill="1"/>
    <xf numFmtId="0" fontId="39" fillId="0" borderId="0" xfId="0" applyFont="1" applyAlignment="1">
      <alignment horizontal="center"/>
    </xf>
    <xf numFmtId="173" fontId="40" fillId="0" borderId="0" xfId="2" applyNumberFormat="1" applyFont="1" applyFill="1" applyBorder="1"/>
    <xf numFmtId="173" fontId="40" fillId="0" borderId="15" xfId="2" applyNumberFormat="1" applyFont="1" applyBorder="1"/>
    <xf numFmtId="9" fontId="13" fillId="0" borderId="0" xfId="2" applyFont="1" applyFill="1" applyBorder="1"/>
    <xf numFmtId="3" fontId="14" fillId="0" borderId="6" xfId="0" applyNumberFormat="1" applyFont="1" applyBorder="1"/>
    <xf numFmtId="39" fontId="0" fillId="0" borderId="0" xfId="0" applyNumberFormat="1"/>
    <xf numFmtId="37" fontId="0" fillId="0" borderId="0" xfId="0" applyNumberFormat="1" applyAlignment="1">
      <alignment horizontal="right"/>
    </xf>
    <xf numFmtId="174" fontId="0" fillId="0" borderId="0" xfId="1" applyNumberFormat="1" applyFont="1" applyFill="1" applyBorder="1"/>
    <xf numFmtId="0" fontId="17" fillId="0" borderId="0" xfId="0" applyFont="1" applyAlignment="1">
      <alignment horizontal="center"/>
    </xf>
    <xf numFmtId="169" fontId="0" fillId="0" borderId="0" xfId="1" applyFont="1" applyAlignment="1">
      <alignment horizontal="right"/>
    </xf>
    <xf numFmtId="188" fontId="13" fillId="0" borderId="15" xfId="1" applyNumberFormat="1" applyFont="1" applyFill="1" applyBorder="1"/>
    <xf numFmtId="0" fontId="2" fillId="0" borderId="0" xfId="29"/>
    <xf numFmtId="37" fontId="29" fillId="2" borderId="0" xfId="29" applyNumberFormat="1" applyFont="1" applyFill="1" applyAlignment="1">
      <alignment vertical="top"/>
    </xf>
    <xf numFmtId="0" fontId="31" fillId="2" borderId="0" xfId="29" applyFont="1" applyFill="1" applyAlignment="1">
      <alignment horizontal="left" vertical="center" readingOrder="1"/>
    </xf>
    <xf numFmtId="37" fontId="32" fillId="2" borderId="0" xfId="29" applyNumberFormat="1" applyFont="1" applyFill="1" applyAlignment="1">
      <alignment vertical="top"/>
    </xf>
    <xf numFmtId="37" fontId="21" fillId="2" borderId="0" xfId="29" applyNumberFormat="1" applyFont="1" applyFill="1" applyAlignment="1">
      <alignment vertical="top"/>
    </xf>
    <xf numFmtId="0" fontId="7" fillId="0" borderId="0" xfId="29" applyFont="1"/>
    <xf numFmtId="0" fontId="9" fillId="0" borderId="0" xfId="29" applyFont="1"/>
    <xf numFmtId="0" fontId="33" fillId="0" borderId="0" xfId="15" applyFont="1" applyAlignment="1">
      <alignment horizontal="centerContinuous"/>
    </xf>
    <xf numFmtId="0" fontId="14" fillId="0" borderId="0" xfId="29" applyFont="1" applyAlignment="1">
      <alignment horizontal="center"/>
    </xf>
    <xf numFmtId="0" fontId="17" fillId="0" borderId="0" xfId="29" applyFont="1" applyAlignment="1">
      <alignment horizontal="center" vertical="center"/>
    </xf>
    <xf numFmtId="0" fontId="33" fillId="0" borderId="0" xfId="15" applyFont="1" applyAlignment="1">
      <alignment horizontal="left"/>
    </xf>
    <xf numFmtId="0" fontId="33" fillId="0" borderId="0" xfId="15" applyFont="1" applyAlignment="1">
      <alignment horizontal="center"/>
    </xf>
    <xf numFmtId="0" fontId="35" fillId="0" borderId="0" xfId="29" applyFont="1" applyAlignment="1">
      <alignment horizontal="center"/>
    </xf>
    <xf numFmtId="0" fontId="36" fillId="0" borderId="0" xfId="29" applyFont="1" applyAlignment="1">
      <alignment horizontal="center" vertical="center"/>
    </xf>
    <xf numFmtId="0" fontId="14" fillId="0" borderId="0" xfId="29" applyFont="1" applyAlignment="1">
      <alignment vertical="center"/>
    </xf>
    <xf numFmtId="164" fontId="14" fillId="0" borderId="0" xfId="29" applyNumberFormat="1" applyFont="1" applyAlignment="1">
      <alignment vertical="center"/>
    </xf>
    <xf numFmtId="177" fontId="14" fillId="0" borderId="0" xfId="29" applyNumberFormat="1" applyFont="1" applyAlignment="1">
      <alignment vertical="center"/>
    </xf>
    <xf numFmtId="37" fontId="10" fillId="2" borderId="0" xfId="29" applyNumberFormat="1" applyFont="1" applyFill="1" applyAlignment="1">
      <alignment vertical="top"/>
    </xf>
    <xf numFmtId="37" fontId="12" fillId="2" borderId="0" xfId="29" applyNumberFormat="1" applyFont="1" applyFill="1" applyAlignment="1">
      <alignment vertical="top"/>
    </xf>
    <xf numFmtId="0" fontId="17" fillId="0" borderId="0" xfId="15" applyFont="1" applyAlignment="1">
      <alignment horizontal="center"/>
    </xf>
    <xf numFmtId="0" fontId="9" fillId="0" borderId="0" xfId="29" applyFont="1" applyAlignment="1">
      <alignment horizontal="center"/>
    </xf>
    <xf numFmtId="0" fontId="17" fillId="0" borderId="0" xfId="29" applyFont="1" applyAlignment="1">
      <alignment horizontal="left" vertical="center"/>
    </xf>
    <xf numFmtId="0" fontId="14" fillId="0" borderId="0" xfId="29" applyFont="1" applyAlignment="1">
      <alignment horizontal="center" vertical="center"/>
    </xf>
    <xf numFmtId="15" fontId="14" fillId="0" borderId="0" xfId="29" applyNumberFormat="1" applyFont="1" applyAlignment="1">
      <alignment horizontal="left" vertical="center"/>
    </xf>
    <xf numFmtId="0" fontId="14" fillId="0" borderId="0" xfId="29" applyFont="1" applyAlignment="1">
      <alignment horizontal="left"/>
    </xf>
    <xf numFmtId="0" fontId="13" fillId="0" borderId="0" xfId="29" applyFont="1" applyAlignment="1">
      <alignment horizontal="left"/>
    </xf>
    <xf numFmtId="177" fontId="30" fillId="0" borderId="0" xfId="2" applyNumberFormat="1" applyFont="1" applyBorder="1"/>
    <xf numFmtId="9" fontId="53" fillId="0" borderId="23" xfId="2" applyFont="1" applyBorder="1"/>
    <xf numFmtId="173" fontId="14" fillId="0" borderId="0" xfId="0" applyNumberFormat="1" applyFont="1" applyAlignment="1">
      <alignment horizontal="right"/>
    </xf>
    <xf numFmtId="0" fontId="7" fillId="0" borderId="0" xfId="0" applyFont="1" applyAlignment="1">
      <alignment vertical="center"/>
    </xf>
    <xf numFmtId="174" fontId="14" fillId="0" borderId="24" xfId="1" applyNumberFormat="1" applyFont="1" applyBorder="1"/>
    <xf numFmtId="174" fontId="14" fillId="0" borderId="1" xfId="1" applyNumberFormat="1" applyFont="1" applyBorder="1"/>
    <xf numFmtId="0" fontId="11" fillId="2" borderId="0" xfId="1" applyNumberFormat="1" applyFont="1" applyFill="1" applyProtection="1">
      <protection locked="0"/>
    </xf>
    <xf numFmtId="172" fontId="8" fillId="5" borderId="0" xfId="0" applyNumberFormat="1" applyFont="1" applyFill="1"/>
    <xf numFmtId="172" fontId="8" fillId="2" borderId="0" xfId="0" applyNumberFormat="1" applyFont="1" applyFill="1"/>
    <xf numFmtId="173" fontId="13" fillId="0" borderId="0" xfId="2" applyNumberFormat="1" applyFont="1"/>
    <xf numFmtId="9" fontId="7" fillId="0" borderId="0" xfId="2"/>
    <xf numFmtId="37" fontId="13" fillId="0" borderId="4" xfId="0" applyNumberFormat="1" applyFont="1" applyBorder="1"/>
    <xf numFmtId="0" fontId="54" fillId="0" borderId="0" xfId="0" applyFont="1"/>
    <xf numFmtId="191" fontId="54" fillId="0" borderId="0" xfId="0" applyNumberFormat="1" applyFont="1"/>
    <xf numFmtId="0" fontId="8" fillId="0" borderId="0" xfId="0" applyFont="1" applyAlignment="1">
      <alignment horizontal="center"/>
    </xf>
    <xf numFmtId="193" fontId="55" fillId="0" borderId="0" xfId="35" applyNumberFormat="1"/>
    <xf numFmtId="0" fontId="38" fillId="2" borderId="0" xfId="0" applyFont="1" applyFill="1" applyAlignment="1">
      <alignment horizontal="centerContinuous"/>
    </xf>
    <xf numFmtId="0" fontId="8" fillId="0" borderId="0" xfId="0" applyFont="1"/>
    <xf numFmtId="0" fontId="0" fillId="0" borderId="0" xfId="0" applyAlignment="1">
      <alignment horizontal="left" indent="4"/>
    </xf>
    <xf numFmtId="172" fontId="8" fillId="2" borderId="0" xfId="0" applyNumberFormat="1" applyFont="1" applyFill="1" applyAlignment="1">
      <alignment horizontal="right"/>
    </xf>
    <xf numFmtId="194" fontId="0" fillId="0" borderId="0" xfId="0" applyNumberFormat="1"/>
    <xf numFmtId="173" fontId="13" fillId="0" borderId="0" xfId="2" applyNumberFormat="1" applyFont="1" applyFill="1"/>
    <xf numFmtId="9" fontId="7" fillId="0" borderId="6" xfId="2" applyBorder="1"/>
    <xf numFmtId="177" fontId="0" fillId="0" borderId="0" xfId="0" applyNumberFormat="1" applyAlignment="1">
      <alignment horizontal="center"/>
    </xf>
    <xf numFmtId="177" fontId="0" fillId="0" borderId="0" xfId="0" applyNumberFormat="1" applyAlignment="1">
      <alignment horizontal="right"/>
    </xf>
    <xf numFmtId="0" fontId="38" fillId="0" borderId="0" xfId="0" applyFont="1"/>
    <xf numFmtId="173" fontId="40" fillId="0" borderId="0" xfId="2" applyNumberFormat="1" applyFont="1" applyBorder="1" applyAlignment="1">
      <alignment horizontal="right"/>
    </xf>
    <xf numFmtId="173" fontId="40" fillId="0" borderId="6" xfId="2" applyNumberFormat="1" applyFont="1" applyBorder="1" applyAlignment="1">
      <alignment horizontal="right"/>
    </xf>
    <xf numFmtId="183" fontId="0" fillId="0" borderId="0" xfId="3" applyNumberFormat="1" applyFont="1" applyBorder="1" applyAlignment="1"/>
    <xf numFmtId="177" fontId="56" fillId="0" borderId="25" xfId="2" applyNumberFormat="1" applyFont="1" applyBorder="1"/>
    <xf numFmtId="173" fontId="56" fillId="0" borderId="25" xfId="2" applyNumberFormat="1" applyFont="1" applyBorder="1"/>
    <xf numFmtId="0" fontId="0" fillId="0" borderId="0" xfId="0" applyAlignment="1">
      <alignment vertical="center"/>
    </xf>
    <xf numFmtId="0" fontId="38" fillId="0" borderId="0" xfId="0" applyFont="1" applyAlignment="1">
      <alignment horizontal="left"/>
    </xf>
    <xf numFmtId="0" fontId="30" fillId="0" borderId="1" xfId="0" applyFont="1" applyBorder="1"/>
    <xf numFmtId="0" fontId="39" fillId="0" borderId="5" xfId="0" applyFont="1" applyBorder="1"/>
    <xf numFmtId="171" fontId="9" fillId="0" borderId="6" xfId="0" applyNumberFormat="1" applyFont="1" applyBorder="1" applyAlignment="1">
      <alignment horizontal="center"/>
    </xf>
    <xf numFmtId="0" fontId="0" fillId="0" borderId="27" xfId="0" applyBorder="1"/>
    <xf numFmtId="0" fontId="0" fillId="0" borderId="23" xfId="0" applyBorder="1"/>
    <xf numFmtId="173" fontId="16" fillId="0" borderId="0" xfId="0" applyNumberFormat="1" applyFont="1"/>
    <xf numFmtId="174" fontId="14" fillId="0" borderId="26" xfId="1" applyNumberFormat="1" applyFont="1" applyBorder="1"/>
    <xf numFmtId="174" fontId="0" fillId="0" borderId="0" xfId="1" applyNumberFormat="1" applyFont="1" applyBorder="1"/>
    <xf numFmtId="174" fontId="0" fillId="6" borderId="0" xfId="1" applyNumberFormat="1" applyFont="1" applyFill="1" applyBorder="1"/>
    <xf numFmtId="174" fontId="0" fillId="0" borderId="23" xfId="1" applyNumberFormat="1" applyFont="1" applyBorder="1"/>
    <xf numFmtId="174" fontId="0" fillId="8" borderId="0" xfId="1" applyNumberFormat="1" applyFont="1" applyFill="1" applyBorder="1"/>
    <xf numFmtId="0" fontId="30" fillId="0" borderId="27" xfId="0" applyFont="1" applyBorder="1"/>
    <xf numFmtId="0" fontId="30" fillId="0" borderId="23" xfId="0" applyFont="1" applyBorder="1"/>
    <xf numFmtId="173" fontId="56" fillId="0" borderId="28" xfId="2" applyNumberFormat="1" applyFont="1" applyBorder="1"/>
    <xf numFmtId="0" fontId="30" fillId="0" borderId="29" xfId="0" applyFont="1" applyBorder="1"/>
    <xf numFmtId="0" fontId="30" fillId="0" borderId="30" xfId="0" applyFont="1" applyBorder="1"/>
    <xf numFmtId="0" fontId="9" fillId="6" borderId="0" xfId="0" applyFont="1" applyFill="1" applyAlignment="1">
      <alignment horizontal="centerContinuous"/>
    </xf>
    <xf numFmtId="0" fontId="0" fillId="6" borderId="0" xfId="0" applyFill="1" applyAlignment="1">
      <alignment horizontal="centerContinuous"/>
    </xf>
    <xf numFmtId="0" fontId="0" fillId="6" borderId="23" xfId="0" applyFill="1" applyBorder="1" applyAlignment="1">
      <alignment horizontal="centerContinuous"/>
    </xf>
    <xf numFmtId="0" fontId="39" fillId="0" borderId="1" xfId="0" applyFont="1" applyBorder="1"/>
    <xf numFmtId="0" fontId="8" fillId="0" borderId="0" xfId="0" applyFont="1" applyAlignment="1">
      <alignment horizontal="center" wrapText="1"/>
    </xf>
    <xf numFmtId="192" fontId="14" fillId="0" borderId="0" xfId="1" applyNumberFormat="1" applyFont="1" applyFill="1" applyBorder="1"/>
    <xf numFmtId="0" fontId="39" fillId="11" borderId="0" xfId="0" applyFont="1" applyFill="1"/>
    <xf numFmtId="174" fontId="0" fillId="0" borderId="0" xfId="0" applyNumberFormat="1" applyAlignment="1">
      <alignment horizontal="right"/>
    </xf>
    <xf numFmtId="174" fontId="14" fillId="0" borderId="0" xfId="1" applyNumberFormat="1" applyFont="1" applyFill="1" applyAlignment="1">
      <alignment horizontal="center"/>
    </xf>
    <xf numFmtId="0" fontId="14" fillId="0" borderId="0" xfId="0" applyFont="1" applyAlignment="1">
      <alignment horizontal="right"/>
    </xf>
    <xf numFmtId="174" fontId="14" fillId="0" borderId="0" xfId="1" applyNumberFormat="1" applyFont="1"/>
    <xf numFmtId="0" fontId="8" fillId="2" borderId="0" xfId="0" applyFont="1" applyFill="1" applyAlignment="1">
      <alignment horizontal="centerContinuous" vertical="center"/>
    </xf>
    <xf numFmtId="0" fontId="8" fillId="2" borderId="0" xfId="0" applyFont="1" applyFill="1" applyAlignment="1">
      <alignment horizontal="left" vertical="center"/>
    </xf>
    <xf numFmtId="0" fontId="7" fillId="0" borderId="6" xfId="0" applyFont="1" applyBorder="1" applyAlignment="1">
      <alignment horizontal="centerContinuous" vertical="center"/>
    </xf>
    <xf numFmtId="0" fontId="30" fillId="0" borderId="6" xfId="0" applyFont="1" applyBorder="1" applyAlignment="1">
      <alignment horizontal="centerContinuous"/>
    </xf>
    <xf numFmtId="164" fontId="9" fillId="0" borderId="1" xfId="0" applyNumberFormat="1" applyFont="1" applyBorder="1" applyAlignment="1">
      <alignment horizontal="right"/>
    </xf>
    <xf numFmtId="0" fontId="0" fillId="12" borderId="0" xfId="0" applyFill="1"/>
    <xf numFmtId="164" fontId="0" fillId="12" borderId="0" xfId="0" applyNumberFormat="1" applyFill="1" applyAlignment="1">
      <alignment horizontal="right"/>
    </xf>
    <xf numFmtId="177" fontId="0" fillId="12" borderId="0" xfId="0" applyNumberFormat="1" applyFill="1" applyAlignment="1">
      <alignment horizontal="right"/>
    </xf>
    <xf numFmtId="0" fontId="9" fillId="8" borderId="1" xfId="0" applyFont="1" applyFill="1" applyBorder="1"/>
    <xf numFmtId="164" fontId="9" fillId="8" borderId="1" xfId="0" applyNumberFormat="1" applyFont="1" applyFill="1" applyBorder="1" applyAlignment="1">
      <alignment horizontal="right"/>
    </xf>
    <xf numFmtId="177" fontId="9" fillId="8" borderId="1" xfId="0" applyNumberFormat="1" applyFont="1" applyFill="1" applyBorder="1" applyAlignment="1">
      <alignment horizontal="right"/>
    </xf>
    <xf numFmtId="173" fontId="30" fillId="0" borderId="0" xfId="2" applyNumberFormat="1" applyFont="1" applyFill="1"/>
    <xf numFmtId="173" fontId="30" fillId="0" borderId="0" xfId="2" applyNumberFormat="1" applyFont="1" applyFill="1" applyAlignment="1">
      <alignment horizontal="right"/>
    </xf>
    <xf numFmtId="173" fontId="18" fillId="0" borderId="0" xfId="2" applyNumberFormat="1" applyFont="1" applyFill="1"/>
    <xf numFmtId="0" fontId="9" fillId="13" borderId="0" xfId="0" applyFont="1" applyFill="1"/>
    <xf numFmtId="37" fontId="0" fillId="13" borderId="0" xfId="0" applyNumberFormat="1" applyFill="1"/>
    <xf numFmtId="0" fontId="17" fillId="0" borderId="0" xfId="12" applyFont="1"/>
    <xf numFmtId="0" fontId="14" fillId="0" borderId="0" xfId="12" applyFont="1" applyAlignment="1">
      <alignment horizontal="left"/>
    </xf>
    <xf numFmtId="0" fontId="14" fillId="0" borderId="1" xfId="12" applyFont="1" applyBorder="1" applyAlignment="1">
      <alignment horizontal="left"/>
    </xf>
    <xf numFmtId="195" fontId="14" fillId="0" borderId="0" xfId="1" applyNumberFormat="1" applyFont="1" applyFill="1" applyBorder="1" applyAlignment="1">
      <alignment horizontal="right"/>
    </xf>
    <xf numFmtId="0" fontId="9" fillId="6" borderId="0" xfId="12" applyFont="1" applyFill="1"/>
    <xf numFmtId="0" fontId="7" fillId="6" borderId="0" xfId="12" applyFont="1" applyFill="1"/>
    <xf numFmtId="195" fontId="7" fillId="0" borderId="0" xfId="12" applyNumberFormat="1" applyFont="1"/>
    <xf numFmtId="174" fontId="14" fillId="0" borderId="0" xfId="1" applyNumberFormat="1" applyFont="1" applyFill="1" applyBorder="1" applyAlignment="1">
      <alignment horizontal="right"/>
    </xf>
    <xf numFmtId="195" fontId="7" fillId="0" borderId="1" xfId="12" applyNumberFormat="1" applyFont="1" applyBorder="1"/>
    <xf numFmtId="0" fontId="8" fillId="4" borderId="31" xfId="0" applyFont="1" applyFill="1" applyBorder="1"/>
    <xf numFmtId="0" fontId="0" fillId="4" borderId="32" xfId="0" applyFill="1" applyBorder="1"/>
    <xf numFmtId="0" fontId="0" fillId="4" borderId="33" xfId="0" applyFill="1" applyBorder="1"/>
    <xf numFmtId="195" fontId="9" fillId="0" borderId="0" xfId="12" applyNumberFormat="1" applyFont="1"/>
    <xf numFmtId="195" fontId="9" fillId="0" borderId="1" xfId="12" applyNumberFormat="1" applyFont="1" applyBorder="1"/>
    <xf numFmtId="195" fontId="17" fillId="0" borderId="6" xfId="12" applyNumberFormat="1" applyFont="1" applyBorder="1"/>
    <xf numFmtId="195" fontId="7" fillId="0" borderId="6" xfId="12" applyNumberFormat="1" applyFont="1" applyBorder="1"/>
    <xf numFmtId="0" fontId="17" fillId="0" borderId="0" xfId="12" applyFont="1" applyAlignment="1">
      <alignment horizontal="left"/>
    </xf>
    <xf numFmtId="3" fontId="17" fillId="0" borderId="0" xfId="0" applyNumberFormat="1" applyFont="1"/>
    <xf numFmtId="37" fontId="9" fillId="13" borderId="0" xfId="0" applyNumberFormat="1" applyFont="1" applyFill="1"/>
    <xf numFmtId="195" fontId="0" fillId="0" borderId="0" xfId="12" applyNumberFormat="1" applyFont="1"/>
    <xf numFmtId="0" fontId="17" fillId="0" borderId="1" xfId="12" applyFont="1" applyBorder="1"/>
    <xf numFmtId="173" fontId="39" fillId="0" borderId="25" xfId="2" applyNumberFormat="1" applyFont="1" applyBorder="1"/>
    <xf numFmtId="177" fontId="39" fillId="0" borderId="25" xfId="2" applyNumberFormat="1" applyFont="1" applyBorder="1"/>
    <xf numFmtId="9" fontId="9" fillId="0" borderId="23" xfId="2" applyFont="1" applyBorder="1"/>
    <xf numFmtId="195" fontId="17" fillId="0" borderId="0" xfId="12" applyNumberFormat="1" applyFont="1"/>
    <xf numFmtId="10" fontId="14" fillId="0" borderId="0" xfId="2" applyNumberFormat="1" applyFont="1" applyFill="1" applyBorder="1" applyAlignment="1">
      <alignment horizontal="right"/>
    </xf>
    <xf numFmtId="174" fontId="46" fillId="0" borderId="0" xfId="1" applyNumberFormat="1" applyFont="1" applyFill="1"/>
    <xf numFmtId="0" fontId="46" fillId="0" borderId="0" xfId="0" quotePrefix="1" applyFont="1"/>
    <xf numFmtId="164" fontId="0" fillId="0" borderId="0" xfId="0" applyNumberFormat="1"/>
    <xf numFmtId="1" fontId="9" fillId="0" borderId="0" xfId="0" applyNumberFormat="1" applyFont="1" applyAlignment="1">
      <alignment horizontal="right"/>
    </xf>
    <xf numFmtId="1" fontId="0" fillId="0" borderId="0" xfId="0" applyNumberFormat="1"/>
    <xf numFmtId="177" fontId="56" fillId="0" borderId="28" xfId="2" applyNumberFormat="1" applyFont="1" applyBorder="1"/>
    <xf numFmtId="0" fontId="9" fillId="0" borderId="0" xfId="0" applyFont="1" applyAlignment="1">
      <alignment horizontal="centerContinuous"/>
    </xf>
    <xf numFmtId="167" fontId="30" fillId="0" borderId="0" xfId="0" applyNumberFormat="1" applyFont="1"/>
    <xf numFmtId="14" fontId="9" fillId="0" borderId="0" xfId="0" applyNumberFormat="1" applyFont="1" applyAlignment="1">
      <alignment horizontal="right"/>
    </xf>
    <xf numFmtId="195" fontId="14" fillId="0" borderId="0" xfId="1" applyNumberFormat="1" applyFont="1" applyFill="1" applyBorder="1"/>
    <xf numFmtId="195" fontId="14" fillId="0" borderId="1" xfId="1" applyNumberFormat="1" applyFont="1" applyFill="1" applyBorder="1"/>
    <xf numFmtId="195" fontId="14" fillId="0" borderId="5" xfId="1" applyNumberFormat="1" applyFont="1" applyFill="1" applyBorder="1"/>
    <xf numFmtId="195" fontId="17" fillId="0" borderId="0" xfId="1" applyNumberFormat="1" applyFont="1" applyFill="1" applyBorder="1"/>
    <xf numFmtId="195" fontId="17" fillId="0" borderId="1" xfId="1" applyNumberFormat="1" applyFont="1" applyFill="1" applyBorder="1"/>
    <xf numFmtId="164" fontId="39" fillId="0" borderId="1" xfId="0" applyNumberFormat="1" applyFont="1" applyBorder="1"/>
    <xf numFmtId="195" fontId="17" fillId="0" borderId="2" xfId="1" applyNumberFormat="1" applyFont="1" applyFill="1" applyBorder="1"/>
    <xf numFmtId="169" fontId="9" fillId="0" borderId="1" xfId="1" applyFont="1" applyFill="1" applyBorder="1"/>
    <xf numFmtId="195" fontId="14" fillId="0" borderId="6" xfId="1" applyNumberFormat="1" applyFont="1" applyFill="1" applyBorder="1"/>
    <xf numFmtId="0" fontId="41" fillId="0" borderId="1" xfId="4" applyFont="1" applyBorder="1"/>
    <xf numFmtId="0" fontId="59" fillId="2" borderId="0" xfId="9" applyFont="1" applyFill="1" applyAlignment="1">
      <alignment horizontal="center"/>
    </xf>
    <xf numFmtId="0" fontId="59" fillId="2" borderId="0" xfId="9" applyFont="1" applyFill="1" applyAlignment="1">
      <alignment horizontal="center" wrapText="1"/>
    </xf>
    <xf numFmtId="0" fontId="17" fillId="8" borderId="0" xfId="0" applyFont="1" applyFill="1"/>
    <xf numFmtId="167" fontId="17" fillId="8" borderId="0" xfId="1" applyNumberFormat="1" applyFont="1" applyFill="1" applyBorder="1" applyAlignment="1">
      <alignment wrapText="1"/>
    </xf>
    <xf numFmtId="167" fontId="17" fillId="0" borderId="0" xfId="1" applyNumberFormat="1" applyFont="1" applyFill="1" applyBorder="1" applyAlignment="1">
      <alignment wrapText="1"/>
    </xf>
    <xf numFmtId="0" fontId="60" fillId="0" borderId="0" xfId="9" applyFont="1" applyAlignment="1">
      <alignment horizontal="centerContinuous" vertical="center"/>
    </xf>
    <xf numFmtId="0" fontId="17" fillId="0" borderId="0" xfId="9" applyFont="1">
      <alignment vertical="center"/>
    </xf>
    <xf numFmtId="0" fontId="61" fillId="2" borderId="0" xfId="9" applyFont="1" applyFill="1">
      <alignment vertical="center"/>
    </xf>
    <xf numFmtId="0" fontId="61" fillId="0" borderId="0" xfId="9" applyFont="1">
      <alignment vertical="center"/>
    </xf>
    <xf numFmtId="0" fontId="61" fillId="0" borderId="0" xfId="9" applyFont="1" applyAlignment="1">
      <alignment horizontal="centerContinuous" vertical="center"/>
    </xf>
    <xf numFmtId="0" fontId="60" fillId="0" borderId="0" xfId="9" applyFont="1" applyAlignment="1">
      <alignment horizontal="center" vertical="center"/>
    </xf>
    <xf numFmtId="0" fontId="61" fillId="0" borderId="0" xfId="9" applyFont="1" applyAlignment="1">
      <alignment horizontal="center" vertical="center"/>
    </xf>
    <xf numFmtId="174" fontId="62" fillId="0" borderId="0" xfId="1" applyNumberFormat="1" applyFont="1" applyFill="1" applyAlignment="1">
      <alignment vertical="center"/>
    </xf>
    <xf numFmtId="174" fontId="61" fillId="0" borderId="0" xfId="1" applyNumberFormat="1" applyFont="1" applyFill="1" applyAlignment="1">
      <alignment vertical="center"/>
    </xf>
    <xf numFmtId="174" fontId="61" fillId="0" borderId="0" xfId="1" applyNumberFormat="1" applyFont="1" applyAlignment="1">
      <alignment vertical="center"/>
    </xf>
    <xf numFmtId="180" fontId="14" fillId="0" borderId="0" xfId="9" applyNumberFormat="1" applyFont="1" applyAlignment="1">
      <alignment horizontal="left" vertical="center"/>
    </xf>
    <xf numFmtId="183" fontId="13" fillId="0" borderId="0" xfId="3" applyNumberFormat="1" applyFont="1" applyAlignment="1">
      <alignment horizontal="left" vertical="center"/>
    </xf>
    <xf numFmtId="180" fontId="14" fillId="0" borderId="0" xfId="36" applyNumberFormat="1" applyFont="1" applyAlignment="1">
      <alignment horizontal="left"/>
    </xf>
    <xf numFmtId="0" fontId="7" fillId="2" borderId="23" xfId="12" applyFont="1" applyFill="1" applyBorder="1"/>
    <xf numFmtId="0" fontId="16" fillId="2" borderId="23" xfId="12" applyFont="1" applyFill="1" applyBorder="1"/>
    <xf numFmtId="195" fontId="30" fillId="0" borderId="0" xfId="1" applyNumberFormat="1" applyFont="1" applyFill="1" applyBorder="1"/>
    <xf numFmtId="169" fontId="30" fillId="0" borderId="0" xfId="1" applyFont="1"/>
    <xf numFmtId="174" fontId="30" fillId="0" borderId="0" xfId="1" applyNumberFormat="1" applyFont="1"/>
    <xf numFmtId="174" fontId="63" fillId="0" borderId="0" xfId="1" applyNumberFormat="1" applyFont="1"/>
    <xf numFmtId="0" fontId="44" fillId="0" borderId="6" xfId="0" applyFont="1" applyBorder="1" applyAlignment="1">
      <alignment horizontal="centerContinuous" vertical="top"/>
    </xf>
    <xf numFmtId="0" fontId="39" fillId="0" borderId="6" xfId="0" applyFont="1" applyBorder="1" applyAlignment="1">
      <alignment horizontal="centerContinuous" vertical="top"/>
    </xf>
    <xf numFmtId="0" fontId="9" fillId="0" borderId="5" xfId="0" applyFont="1" applyBorder="1"/>
    <xf numFmtId="164" fontId="9" fillId="0" borderId="5" xfId="0" applyNumberFormat="1" applyFont="1" applyBorder="1" applyAlignment="1">
      <alignment horizontal="right"/>
    </xf>
    <xf numFmtId="164" fontId="0" fillId="0" borderId="1" xfId="0" applyNumberFormat="1" applyBorder="1" applyAlignment="1">
      <alignment horizontal="right"/>
    </xf>
    <xf numFmtId="174" fontId="0" fillId="0" borderId="0" xfId="1" applyNumberFormat="1" applyFont="1" applyFill="1" applyAlignment="1">
      <alignment horizontal="right"/>
    </xf>
    <xf numFmtId="10" fontId="30" fillId="0" borderId="0" xfId="0" applyNumberFormat="1" applyFont="1"/>
    <xf numFmtId="173" fontId="30" fillId="0" borderId="0" xfId="0" applyNumberFormat="1" applyFont="1"/>
    <xf numFmtId="173" fontId="65" fillId="0" borderId="0" xfId="2" applyNumberFormat="1" applyFont="1" applyAlignment="1">
      <alignment horizontal="right"/>
    </xf>
    <xf numFmtId="195" fontId="65" fillId="0" borderId="0" xfId="1" applyNumberFormat="1" applyFont="1" applyFill="1" applyBorder="1"/>
    <xf numFmtId="37" fontId="65" fillId="0" borderId="0" xfId="0" applyNumberFormat="1" applyFont="1"/>
    <xf numFmtId="195" fontId="66" fillId="0" borderId="1" xfId="1" applyNumberFormat="1" applyFont="1" applyFill="1" applyBorder="1"/>
    <xf numFmtId="195" fontId="65" fillId="0" borderId="1" xfId="1" applyNumberFormat="1" applyFont="1" applyFill="1" applyBorder="1"/>
    <xf numFmtId="195" fontId="66" fillId="0" borderId="0" xfId="1" applyNumberFormat="1" applyFont="1" applyFill="1" applyBorder="1"/>
    <xf numFmtId="173" fontId="9" fillId="0" borderId="0" xfId="2" applyNumberFormat="1" applyFont="1" applyBorder="1"/>
    <xf numFmtId="14" fontId="65" fillId="0" borderId="0" xfId="0" applyNumberFormat="1" applyFont="1"/>
    <xf numFmtId="173" fontId="65" fillId="6" borderId="16" xfId="2" applyNumberFormat="1" applyFont="1" applyFill="1" applyBorder="1" applyAlignment="1">
      <alignment horizontal="center"/>
    </xf>
    <xf numFmtId="173" fontId="65" fillId="6" borderId="0" xfId="2" applyNumberFormat="1" applyFont="1" applyFill="1"/>
    <xf numFmtId="173" fontId="64" fillId="0" borderId="0" xfId="4" applyNumberFormat="1" applyFont="1" applyAlignment="1">
      <alignment horizontal="right"/>
    </xf>
    <xf numFmtId="173" fontId="64" fillId="0" borderId="6" xfId="4" applyNumberFormat="1" applyFont="1" applyBorder="1" applyAlignment="1">
      <alignment horizontal="right"/>
    </xf>
    <xf numFmtId="185" fontId="64" fillId="0" borderId="0" xfId="1" applyNumberFormat="1" applyFont="1" applyFill="1"/>
    <xf numFmtId="185" fontId="64" fillId="0" borderId="0" xfId="1" applyNumberFormat="1" applyFont="1"/>
    <xf numFmtId="167" fontId="65" fillId="0" borderId="0" xfId="12" applyNumberFormat="1" applyFont="1" applyAlignment="1">
      <alignment vertical="center"/>
    </xf>
    <xf numFmtId="167" fontId="65" fillId="0" borderId="6" xfId="12" applyNumberFormat="1" applyFont="1" applyBorder="1" applyAlignment="1">
      <alignment vertical="center"/>
    </xf>
    <xf numFmtId="164" fontId="65" fillId="0" borderId="0" xfId="0" applyNumberFormat="1" applyFont="1" applyAlignment="1">
      <alignment horizontal="right"/>
    </xf>
    <xf numFmtId="177" fontId="66" fillId="0" borderId="0" xfId="0" applyNumberFormat="1" applyFont="1" applyAlignment="1">
      <alignment horizontal="right"/>
    </xf>
    <xf numFmtId="187" fontId="65" fillId="0" borderId="6" xfId="0" applyNumberFormat="1" applyFont="1" applyBorder="1" applyAlignment="1">
      <alignment horizontal="right"/>
    </xf>
    <xf numFmtId="164" fontId="66" fillId="0" borderId="0" xfId="0" applyNumberFormat="1" applyFont="1" applyAlignment="1">
      <alignment horizontal="right"/>
    </xf>
    <xf numFmtId="195" fontId="65" fillId="0" borderId="6" xfId="1" applyNumberFormat="1" applyFont="1" applyFill="1" applyBorder="1"/>
    <xf numFmtId="14" fontId="64" fillId="0" borderId="0" xfId="0" applyNumberFormat="1" applyFont="1"/>
    <xf numFmtId="164" fontId="64" fillId="0" borderId="0" xfId="0" applyNumberFormat="1" applyFont="1"/>
    <xf numFmtId="195" fontId="64" fillId="0" borderId="0" xfId="1" applyNumberFormat="1" applyFont="1" applyFill="1" applyBorder="1"/>
    <xf numFmtId="186" fontId="64" fillId="0" borderId="6" xfId="0" applyNumberFormat="1" applyFont="1" applyBorder="1"/>
    <xf numFmtId="195" fontId="13" fillId="0" borderId="0" xfId="1" applyNumberFormat="1" applyFont="1" applyFill="1" applyBorder="1"/>
    <xf numFmtId="3" fontId="40" fillId="0" borderId="0" xfId="0" applyNumberFormat="1" applyFont="1"/>
    <xf numFmtId="173" fontId="13" fillId="0" borderId="0" xfId="2" applyNumberFormat="1" applyFont="1" applyFill="1" applyBorder="1"/>
    <xf numFmtId="192" fontId="13" fillId="0" borderId="0" xfId="1" applyNumberFormat="1" applyFont="1" applyFill="1" applyBorder="1"/>
    <xf numFmtId="174" fontId="13" fillId="0" borderId="0" xfId="1" applyNumberFormat="1" applyFont="1"/>
    <xf numFmtId="169" fontId="13" fillId="0" borderId="0" xfId="1" applyFont="1" applyFill="1" applyAlignment="1">
      <alignment horizontal="right"/>
    </xf>
    <xf numFmtId="174" fontId="13" fillId="0" borderId="0" xfId="0" applyNumberFormat="1" applyFont="1" applyAlignment="1">
      <alignment horizontal="right"/>
    </xf>
    <xf numFmtId="0" fontId="0" fillId="0" borderId="6" xfId="0" applyBorder="1" applyAlignment="1">
      <alignment horizontal="centerContinuous"/>
    </xf>
    <xf numFmtId="187" fontId="14" fillId="0" borderId="6" xfId="0" applyNumberFormat="1" applyFont="1" applyBorder="1" applyAlignment="1">
      <alignment horizontal="right"/>
    </xf>
    <xf numFmtId="169" fontId="0" fillId="0" borderId="0" xfId="1" applyFont="1"/>
    <xf numFmtId="0" fontId="44" fillId="0" borderId="0" xfId="0" applyFont="1"/>
    <xf numFmtId="174" fontId="67" fillId="0" borderId="0" xfId="1" applyNumberFormat="1" applyFont="1"/>
    <xf numFmtId="0" fontId="38" fillId="0" borderId="0" xfId="0" applyFont="1" applyAlignment="1">
      <alignment horizontal="centerContinuous"/>
    </xf>
    <xf numFmtId="0" fontId="46" fillId="0" borderId="0" xfId="0" applyFont="1" applyAlignment="1">
      <alignment horizontal="center"/>
    </xf>
    <xf numFmtId="43" fontId="39" fillId="0" borderId="0" xfId="0" applyNumberFormat="1" applyFont="1"/>
    <xf numFmtId="164" fontId="30" fillId="0" borderId="5" xfId="0" applyNumberFormat="1" applyFont="1" applyBorder="1"/>
    <xf numFmtId="173" fontId="64" fillId="0" borderId="0" xfId="2" applyNumberFormat="1" applyFont="1" applyBorder="1"/>
    <xf numFmtId="175" fontId="65" fillId="0" borderId="0" xfId="1" applyNumberFormat="1" applyFont="1" applyFill="1" applyBorder="1"/>
    <xf numFmtId="173" fontId="65" fillId="0" borderId="0" xfId="2" applyNumberFormat="1" applyFont="1" applyFill="1" applyBorder="1"/>
    <xf numFmtId="192" fontId="65" fillId="0" borderId="0" xfId="1" applyNumberFormat="1" applyFont="1" applyFill="1" applyBorder="1"/>
    <xf numFmtId="0" fontId="68" fillId="0" borderId="0" xfId="0" applyFont="1" applyAlignment="1">
      <alignment horizontal="right"/>
    </xf>
    <xf numFmtId="0" fontId="69" fillId="0" borderId="0" xfId="0" applyFont="1" applyAlignment="1">
      <alignment horizontal="right"/>
    </xf>
    <xf numFmtId="37" fontId="68" fillId="0" borderId="0" xfId="0" applyNumberFormat="1" applyFont="1" applyAlignment="1">
      <alignment horizontal="right"/>
    </xf>
    <xf numFmtId="0" fontId="68" fillId="0" borderId="0" xfId="0" applyFont="1"/>
    <xf numFmtId="192" fontId="13" fillId="0" borderId="15" xfId="1" applyNumberFormat="1" applyFont="1" applyFill="1" applyBorder="1"/>
    <xf numFmtId="173" fontId="7" fillId="0" borderId="0" xfId="2" applyNumberFormat="1" applyFont="1" applyFill="1" applyBorder="1"/>
    <xf numFmtId="37" fontId="9" fillId="0" borderId="6" xfId="0" applyNumberFormat="1" applyFont="1" applyBorder="1" applyAlignment="1">
      <alignment horizontal="center" vertical="top"/>
    </xf>
    <xf numFmtId="173" fontId="0" fillId="14" borderId="0" xfId="2" applyNumberFormat="1" applyFont="1" applyFill="1" applyAlignment="1">
      <alignment horizontal="right"/>
    </xf>
    <xf numFmtId="37" fontId="0" fillId="14" borderId="0" xfId="0" applyNumberFormat="1" applyFill="1"/>
    <xf numFmtId="196" fontId="15" fillId="0" borderId="0" xfId="0" applyNumberFormat="1" applyFont="1"/>
    <xf numFmtId="37" fontId="51" fillId="14" borderId="0" xfId="0" applyNumberFormat="1" applyFont="1" applyFill="1"/>
    <xf numFmtId="37" fontId="13" fillId="14" borderId="0" xfId="0" applyNumberFormat="1" applyFont="1" applyFill="1"/>
    <xf numFmtId="195" fontId="14" fillId="14" borderId="0" xfId="1" applyNumberFormat="1" applyFont="1" applyFill="1" applyBorder="1" applyAlignment="1">
      <alignment horizontal="right"/>
    </xf>
    <xf numFmtId="37" fontId="0" fillId="14" borderId="1" xfId="0" applyNumberFormat="1" applyFill="1" applyBorder="1"/>
    <xf numFmtId="3" fontId="14" fillId="14" borderId="0" xfId="0" applyNumberFormat="1" applyFont="1" applyFill="1"/>
    <xf numFmtId="37" fontId="0" fillId="14" borderId="6" xfId="0" applyNumberFormat="1" applyFill="1" applyBorder="1"/>
    <xf numFmtId="37" fontId="9" fillId="14" borderId="6" xfId="0" applyNumberFormat="1" applyFont="1" applyFill="1" applyBorder="1"/>
    <xf numFmtId="3" fontId="17" fillId="14" borderId="0" xfId="0" applyNumberFormat="1" applyFont="1" applyFill="1"/>
    <xf numFmtId="195" fontId="66" fillId="14" borderId="0" xfId="1" applyNumberFormat="1" applyFont="1" applyFill="1" applyBorder="1"/>
    <xf numFmtId="37" fontId="9" fillId="14" borderId="1" xfId="0" applyNumberFormat="1" applyFont="1" applyFill="1" applyBorder="1"/>
    <xf numFmtId="2" fontId="0" fillId="14" borderId="0" xfId="1" applyNumberFormat="1" applyFont="1" applyFill="1" applyAlignment="1">
      <alignment horizontal="right"/>
    </xf>
    <xf numFmtId="37" fontId="15" fillId="14" borderId="0" xfId="0" applyNumberFormat="1" applyFont="1" applyFill="1"/>
    <xf numFmtId="173" fontId="0" fillId="14" borderId="0" xfId="2" applyNumberFormat="1" applyFont="1" applyFill="1"/>
    <xf numFmtId="0" fontId="41" fillId="9" borderId="0" xfId="0" applyFont="1" applyFill="1" applyAlignment="1">
      <alignment horizontal="centerContinuous"/>
    </xf>
    <xf numFmtId="0" fontId="41" fillId="9" borderId="6" xfId="0" applyFont="1" applyFill="1" applyBorder="1" applyAlignment="1">
      <alignment horizontal="left"/>
    </xf>
    <xf numFmtId="173" fontId="14" fillId="0" borderId="0" xfId="2" applyNumberFormat="1" applyFont="1" applyFill="1"/>
    <xf numFmtId="0" fontId="9" fillId="0" borderId="6" xfId="0" applyFont="1" applyBorder="1" applyAlignment="1">
      <alignment horizontal="left" vertical="center"/>
    </xf>
    <xf numFmtId="0" fontId="41" fillId="8" borderId="0" xfId="4" applyFont="1" applyFill="1" applyAlignment="1">
      <alignment horizontal="left"/>
    </xf>
    <xf numFmtId="0" fontId="39" fillId="8" borderId="0" xfId="0" applyFont="1" applyFill="1"/>
    <xf numFmtId="37" fontId="17" fillId="8" borderId="0" xfId="12" applyNumberFormat="1" applyFont="1" applyFill="1" applyAlignment="1">
      <alignment vertical="center"/>
    </xf>
    <xf numFmtId="167" fontId="17" fillId="8" borderId="0" xfId="12" applyNumberFormat="1" applyFont="1" applyFill="1" applyAlignment="1">
      <alignment vertical="center"/>
    </xf>
    <xf numFmtId="181" fontId="17" fillId="8" borderId="0" xfId="12" applyNumberFormat="1" applyFont="1" applyFill="1" applyAlignment="1">
      <alignment vertical="center"/>
    </xf>
    <xf numFmtId="0" fontId="17" fillId="8" borderId="0" xfId="12" applyFont="1" applyFill="1" applyAlignment="1">
      <alignment vertical="center"/>
    </xf>
    <xf numFmtId="177" fontId="17" fillId="8" borderId="0" xfId="12" applyNumberFormat="1" applyFont="1" applyFill="1" applyAlignment="1">
      <alignment vertical="center"/>
    </xf>
    <xf numFmtId="177" fontId="17" fillId="8" borderId="0" xfId="12" applyNumberFormat="1" applyFont="1" applyFill="1" applyAlignment="1">
      <alignment horizontal="right" vertical="center"/>
    </xf>
    <xf numFmtId="173" fontId="17" fillId="8" borderId="0" xfId="2" applyNumberFormat="1" applyFont="1" applyFill="1" applyAlignment="1">
      <alignment horizontal="right"/>
    </xf>
    <xf numFmtId="0" fontId="9" fillId="9" borderId="0" xfId="12" applyFont="1" applyFill="1" applyAlignment="1">
      <alignment vertical="center"/>
    </xf>
    <xf numFmtId="177" fontId="9" fillId="9" borderId="0" xfId="12" applyNumberFormat="1" applyFont="1" applyFill="1" applyAlignment="1">
      <alignment vertical="center"/>
    </xf>
    <xf numFmtId="173" fontId="9" fillId="9" borderId="0" xfId="2" applyNumberFormat="1" applyFont="1" applyFill="1" applyAlignment="1">
      <alignment vertical="center"/>
    </xf>
    <xf numFmtId="37" fontId="14" fillId="0" borderId="6" xfId="12" applyNumberFormat="1" applyFont="1" applyBorder="1" applyAlignment="1">
      <alignment vertical="center"/>
    </xf>
    <xf numFmtId="167" fontId="14" fillId="0" borderId="6" xfId="12" applyNumberFormat="1" applyFont="1" applyBorder="1" applyAlignment="1">
      <alignment vertical="center"/>
    </xf>
    <xf numFmtId="0" fontId="14" fillId="0" borderId="6" xfId="12" applyFont="1" applyBorder="1" applyAlignment="1">
      <alignment vertical="center"/>
    </xf>
    <xf numFmtId="177" fontId="14" fillId="0" borderId="6" xfId="12" applyNumberFormat="1" applyFont="1" applyBorder="1" applyAlignment="1">
      <alignment vertical="center"/>
    </xf>
    <xf numFmtId="177" fontId="14" fillId="0" borderId="6" xfId="12" applyNumberFormat="1" applyFont="1" applyBorder="1" applyAlignment="1">
      <alignment horizontal="right" vertical="center"/>
    </xf>
    <xf numFmtId="173" fontId="14" fillId="0" borderId="6" xfId="2" applyNumberFormat="1" applyFont="1" applyBorder="1" applyAlignment="1">
      <alignment horizontal="right"/>
    </xf>
    <xf numFmtId="0" fontId="9" fillId="9" borderId="0" xfId="29" applyFont="1" applyFill="1" applyAlignment="1">
      <alignment vertical="center"/>
    </xf>
    <xf numFmtId="190" fontId="9" fillId="9" borderId="0" xfId="29" applyNumberFormat="1" applyFont="1" applyFill="1" applyAlignment="1">
      <alignment vertical="center"/>
    </xf>
    <xf numFmtId="177" fontId="9" fillId="9" borderId="0" xfId="29" applyNumberFormat="1" applyFont="1" applyFill="1" applyAlignment="1">
      <alignment horizontal="right" vertical="center"/>
    </xf>
    <xf numFmtId="0" fontId="9" fillId="9" borderId="0" xfId="29" applyFont="1" applyFill="1" applyAlignment="1">
      <alignment horizontal="right" vertical="center"/>
    </xf>
    <xf numFmtId="15" fontId="14" fillId="0" borderId="6" xfId="29" applyNumberFormat="1" applyFont="1" applyBorder="1" applyAlignment="1">
      <alignment horizontal="left" vertical="center"/>
    </xf>
    <xf numFmtId="0" fontId="14" fillId="0" borderId="6" xfId="29" applyFont="1" applyBorder="1" applyAlignment="1">
      <alignment vertical="center"/>
    </xf>
    <xf numFmtId="0" fontId="14" fillId="0" borderId="6" xfId="29" applyFont="1" applyBorder="1" applyAlignment="1">
      <alignment horizontal="center" vertical="center"/>
    </xf>
    <xf numFmtId="164" fontId="14" fillId="0" borderId="6" xfId="29" applyNumberFormat="1" applyFont="1" applyBorder="1" applyAlignment="1">
      <alignment vertical="center"/>
    </xf>
    <xf numFmtId="0" fontId="14" fillId="0" borderId="6" xfId="29" applyFont="1" applyBorder="1" applyAlignment="1">
      <alignment horizontal="center"/>
    </xf>
    <xf numFmtId="171" fontId="17" fillId="9" borderId="6" xfId="0" applyNumberFormat="1" applyFont="1" applyFill="1" applyBorder="1"/>
    <xf numFmtId="172" fontId="17" fillId="9" borderId="6" xfId="0" applyNumberFormat="1" applyFont="1" applyFill="1" applyBorder="1"/>
    <xf numFmtId="171" fontId="8" fillId="5" borderId="0" xfId="0" applyNumberFormat="1" applyFont="1" applyFill="1"/>
    <xf numFmtId="172" fontId="17" fillId="9" borderId="6" xfId="0" applyNumberFormat="1" applyFont="1" applyFill="1" applyBorder="1" applyAlignment="1">
      <alignment horizontal="right"/>
    </xf>
    <xf numFmtId="164" fontId="57" fillId="0" borderId="0" xfId="3" applyNumberFormat="1" applyFont="1" applyFill="1" applyAlignment="1">
      <alignment horizontal="right" vertical="top" wrapText="1"/>
    </xf>
    <xf numFmtId="164" fontId="57" fillId="0" borderId="0" xfId="3" applyNumberFormat="1" applyFont="1" applyFill="1" applyBorder="1" applyAlignment="1">
      <alignment horizontal="right" vertical="top" wrapText="1"/>
    </xf>
    <xf numFmtId="164" fontId="17" fillId="8" borderId="0" xfId="1" applyNumberFormat="1" applyFont="1" applyFill="1" applyBorder="1" applyAlignment="1">
      <alignment horizontal="right" wrapText="1"/>
    </xf>
    <xf numFmtId="164" fontId="17" fillId="0" borderId="0" xfId="1" applyNumberFormat="1" applyFont="1" applyBorder="1" applyAlignment="1">
      <alignment horizontal="right" wrapText="1"/>
    </xf>
    <xf numFmtId="0" fontId="17" fillId="9" borderId="6" xfId="0" applyFont="1" applyFill="1" applyBorder="1" applyAlignment="1">
      <alignment horizontal="left"/>
    </xf>
    <xf numFmtId="0" fontId="17" fillId="9" borderId="6" xfId="0" applyFont="1" applyFill="1" applyBorder="1" applyAlignment="1">
      <alignment horizontal="right"/>
    </xf>
    <xf numFmtId="0" fontId="25" fillId="9" borderId="0" xfId="10" applyFont="1" applyFill="1" applyProtection="1">
      <protection locked="0"/>
    </xf>
    <xf numFmtId="0" fontId="0" fillId="9" borderId="0" xfId="0" applyFill="1"/>
    <xf numFmtId="0" fontId="9" fillId="9" borderId="0" xfId="10" applyFont="1" applyFill="1" applyAlignment="1">
      <alignment horizontal="right"/>
    </xf>
    <xf numFmtId="0" fontId="50" fillId="9" borderId="0" xfId="27" quotePrefix="1" applyFill="1" applyProtection="1">
      <protection locked="0"/>
    </xf>
    <xf numFmtId="0" fontId="0" fillId="9" borderId="1" xfId="10" applyFont="1" applyFill="1" applyBorder="1"/>
    <xf numFmtId="0" fontId="7" fillId="9" borderId="1" xfId="10" applyFont="1" applyFill="1" applyBorder="1"/>
    <xf numFmtId="0" fontId="0" fillId="9" borderId="0" xfId="10" applyFont="1" applyFill="1"/>
    <xf numFmtId="0" fontId="28" fillId="9" borderId="0" xfId="11" applyFont="1" applyFill="1"/>
    <xf numFmtId="0" fontId="70" fillId="9" borderId="0" xfId="11" applyFont="1" applyFill="1" applyAlignment="1" applyProtection="1">
      <alignment horizontal="left"/>
      <protection locked="0"/>
    </xf>
    <xf numFmtId="0" fontId="48" fillId="9" borderId="0" xfId="10" applyFont="1" applyFill="1" applyAlignment="1">
      <alignment horizontal="left"/>
    </xf>
    <xf numFmtId="164" fontId="46" fillId="0" borderId="0" xfId="1" applyNumberFormat="1" applyFont="1"/>
    <xf numFmtId="164" fontId="40" fillId="0" borderId="0" xfId="1" applyNumberFormat="1" applyFont="1"/>
    <xf numFmtId="164" fontId="30" fillId="6" borderId="0" xfId="0" applyNumberFormat="1" applyFont="1" applyFill="1"/>
    <xf numFmtId="164" fontId="46" fillId="6" borderId="0" xfId="0" applyNumberFormat="1" applyFont="1" applyFill="1" applyAlignment="1">
      <alignment horizontal="right"/>
    </xf>
    <xf numFmtId="164" fontId="46" fillId="6" borderId="0" xfId="1" applyNumberFormat="1" applyFont="1" applyFill="1"/>
    <xf numFmtId="181" fontId="9" fillId="9" borderId="0" xfId="12" applyNumberFormat="1" applyFont="1" applyFill="1" applyAlignment="1">
      <alignment vertical="center"/>
    </xf>
    <xf numFmtId="197" fontId="9" fillId="9" borderId="0" xfId="12" applyNumberFormat="1" applyFont="1" applyFill="1" applyAlignment="1">
      <alignment vertical="center"/>
    </xf>
    <xf numFmtId="193" fontId="7" fillId="0" borderId="0" xfId="12" applyNumberFormat="1" applyFont="1"/>
    <xf numFmtId="177" fontId="9" fillId="9" borderId="1" xfId="29" applyNumberFormat="1" applyFont="1" applyFill="1" applyBorder="1" applyAlignment="1">
      <alignment horizontal="right" vertical="center"/>
    </xf>
    <xf numFmtId="37" fontId="32" fillId="2" borderId="6" xfId="0" applyNumberFormat="1" applyFont="1" applyFill="1" applyBorder="1" applyAlignment="1">
      <alignment vertical="top"/>
    </xf>
    <xf numFmtId="169" fontId="9" fillId="0" borderId="0" xfId="1" applyFont="1" applyBorder="1"/>
    <xf numFmtId="0" fontId="13" fillId="0" borderId="0" xfId="0" applyFont="1"/>
    <xf numFmtId="173" fontId="0" fillId="0" borderId="0" xfId="2" applyNumberFormat="1" applyFont="1" applyFill="1" applyBorder="1"/>
    <xf numFmtId="195" fontId="40" fillId="0" borderId="0" xfId="1" applyNumberFormat="1" applyFont="1" applyFill="1" applyBorder="1"/>
    <xf numFmtId="0" fontId="0" fillId="0" borderId="24" xfId="0" applyBorder="1"/>
    <xf numFmtId="0" fontId="0" fillId="0" borderId="26" xfId="0" applyBorder="1"/>
    <xf numFmtId="0" fontId="0" fillId="0" borderId="29" xfId="0" applyBorder="1"/>
    <xf numFmtId="0" fontId="0" fillId="0" borderId="30" xfId="0" applyBorder="1"/>
    <xf numFmtId="0" fontId="54" fillId="0" borderId="1" xfId="0" applyFont="1" applyBorder="1"/>
    <xf numFmtId="0" fontId="17" fillId="0" borderId="0" xfId="27" applyFont="1"/>
    <xf numFmtId="164" fontId="40" fillId="0" borderId="0" xfId="0" applyNumberFormat="1" applyFont="1"/>
    <xf numFmtId="9" fontId="61" fillId="0" borderId="0" xfId="2" applyFont="1" applyAlignment="1">
      <alignment vertical="center"/>
    </xf>
    <xf numFmtId="173" fontId="0" fillId="6" borderId="0" xfId="2" applyNumberFormat="1" applyFont="1" applyFill="1" applyBorder="1" applyAlignment="1">
      <alignment horizontal="right"/>
    </xf>
    <xf numFmtId="0" fontId="57" fillId="0" borderId="0" xfId="0" applyFont="1" applyAlignment="1">
      <alignment vertical="top" wrapText="1"/>
    </xf>
    <xf numFmtId="0" fontId="57" fillId="0" borderId="0" xfId="0" applyFont="1" applyAlignment="1">
      <alignment horizontal="right" vertical="top" wrapText="1"/>
    </xf>
    <xf numFmtId="0" fontId="17" fillId="8" borderId="0" xfId="0" applyFont="1" applyFill="1" applyAlignment="1">
      <alignment wrapText="1"/>
    </xf>
    <xf numFmtId="164" fontId="17" fillId="0" borderId="0" xfId="1" applyNumberFormat="1" applyFont="1" applyFill="1" applyBorder="1" applyAlignment="1">
      <alignment horizontal="right" wrapText="1"/>
    </xf>
    <xf numFmtId="173" fontId="40" fillId="0" borderId="14" xfId="0" applyNumberFormat="1" applyFont="1" applyBorder="1" applyAlignment="1">
      <alignment horizontal="right"/>
    </xf>
    <xf numFmtId="182" fontId="40" fillId="0" borderId="14" xfId="0" applyNumberFormat="1" applyFont="1" applyBorder="1" applyAlignment="1">
      <alignment horizontal="right"/>
    </xf>
    <xf numFmtId="182" fontId="40" fillId="0" borderId="0" xfId="0" applyNumberFormat="1" applyFont="1" applyAlignment="1">
      <alignment horizontal="right"/>
    </xf>
    <xf numFmtId="0" fontId="30" fillId="0" borderId="0" xfId="0" applyFont="1" applyAlignment="1">
      <alignment horizontal="right"/>
    </xf>
    <xf numFmtId="174" fontId="40" fillId="0" borderId="4" xfId="1" applyNumberFormat="1" applyFont="1" applyBorder="1" applyAlignment="1">
      <alignment horizontal="right"/>
    </xf>
    <xf numFmtId="195" fontId="0" fillId="0" borderId="0" xfId="0" applyNumberFormat="1"/>
    <xf numFmtId="197" fontId="39" fillId="0" borderId="0" xfId="0" applyNumberFormat="1" applyFont="1"/>
    <xf numFmtId="165" fontId="30" fillId="0" borderId="0" xfId="0" applyNumberFormat="1" applyFont="1"/>
    <xf numFmtId="177" fontId="30" fillId="0" borderId="0" xfId="2" applyNumberFormat="1" applyFont="1" applyFill="1" applyBorder="1"/>
    <xf numFmtId="2" fontId="42" fillId="0" borderId="0" xfId="4" applyNumberFormat="1" applyFont="1"/>
    <xf numFmtId="164" fontId="40" fillId="0" borderId="0" xfId="1" applyNumberFormat="1" applyFont="1" applyFill="1"/>
    <xf numFmtId="9" fontId="13" fillId="6" borderId="0" xfId="34" applyFont="1" applyFill="1" applyBorder="1" applyAlignment="1">
      <alignment vertical="center"/>
    </xf>
    <xf numFmtId="177" fontId="13" fillId="6" borderId="0" xfId="34" applyNumberFormat="1" applyFont="1" applyFill="1" applyAlignment="1">
      <alignment vertical="center"/>
    </xf>
    <xf numFmtId="9" fontId="13" fillId="6" borderId="0" xfId="2" applyFont="1" applyFill="1" applyAlignment="1">
      <alignment vertical="center"/>
    </xf>
    <xf numFmtId="0" fontId="16" fillId="10" borderId="0" xfId="10" applyFont="1" applyFill="1" applyAlignment="1">
      <alignment vertical="top" wrapText="1"/>
    </xf>
    <xf numFmtId="0" fontId="16" fillId="10" borderId="0" xfId="0" applyFont="1" applyFill="1" applyAlignment="1">
      <alignment vertical="top" wrapText="1"/>
    </xf>
    <xf numFmtId="0" fontId="17" fillId="0" borderId="27" xfId="0" applyFont="1" applyBorder="1" applyAlignment="1">
      <alignment horizontal="center" vertical="center"/>
    </xf>
    <xf numFmtId="0" fontId="17" fillId="0" borderId="27" xfId="0" applyFont="1" applyBorder="1" applyAlignment="1">
      <alignment horizontal="center" vertical="center" wrapText="1"/>
    </xf>
  </cellXfs>
  <cellStyles count="42">
    <cellStyle name="=C:\WINNT\SYSTEM32\COMMAND.COM 2" xfId="32" xr:uid="{359FFB32-2F00-4332-A67E-C8DE001CBFBE}"/>
    <cellStyle name="Comma 2" xfId="6" xr:uid="{5BC26CCE-15DF-49A3-8753-E171713ADC31}"/>
    <cellStyle name="Comma 2 2" xfId="24" xr:uid="{6EC2B824-96DD-4CA8-8ADA-35F9108D4CA1}"/>
    <cellStyle name="Comma 2_Implied Value Summary" xfId="38" xr:uid="{5A8C5CA6-1A3A-49BA-AA46-BFE3D46CC701}"/>
    <cellStyle name="Comma 3" xfId="20" xr:uid="{68D72872-94CA-4572-B6F3-3D62ABDD977B}"/>
    <cellStyle name="Comma 4" xfId="22" xr:uid="{A3347ECA-657B-4880-96A5-2BCDD38595D8}"/>
    <cellStyle name="Currency 2" xfId="23" xr:uid="{AC02C7B0-001E-4AC7-BBC4-1087C4186614}"/>
    <cellStyle name="Hiperlink" xfId="27" builtinId="8"/>
    <cellStyle name="Hyperlink 2" xfId="11" xr:uid="{D4B75A63-40EA-4ACC-99B9-3E0B9F1F40D1}"/>
    <cellStyle name="Hyperlink 2 2" xfId="30" xr:uid="{E1893A77-744C-4F4A-9679-1677AF838218}"/>
    <cellStyle name="Hyperlink 3" xfId="33" xr:uid="{C8698C2C-AB69-41F2-8717-1931077EDEAA}"/>
    <cellStyle name="Invisible" xfId="8" xr:uid="{32A0E2A8-8733-4EE3-8082-7F7E31E3696A}"/>
    <cellStyle name="Moeda" xfId="3" builtinId="4"/>
    <cellStyle name="Normal" xfId="0" builtinId="0"/>
    <cellStyle name="Normal 10" xfId="37" xr:uid="{48BA635D-2D19-4EF2-A5F7-DEA1553772F6}"/>
    <cellStyle name="Normal 2" xfId="9" xr:uid="{DF4E9F82-AF06-45DD-A375-7E5AA1E122EB}"/>
    <cellStyle name="Normal 2 2" xfId="10" xr:uid="{32B574B0-FDA8-4E9E-B666-807ED1795D07}"/>
    <cellStyle name="Normal 2 2 2" xfId="12" xr:uid="{6E14347D-582E-4C37-B3A2-DBCBAD2E6F3C}"/>
    <cellStyle name="Normal 2 2 2 2" xfId="14" xr:uid="{FF500FFF-6AC1-4A0B-946A-FE2F72D956E0}"/>
    <cellStyle name="Normal 2 2 2 3" xfId="18" xr:uid="{080443AF-8644-40ED-A539-BDF9428F87B9}"/>
    <cellStyle name="Normal 2 2 2 4" xfId="26" xr:uid="{28E1F1B6-F94E-4714-8A55-EE2410083067}"/>
    <cellStyle name="Normal 2 2 2 5" xfId="29" xr:uid="{E1263161-9A20-4DD4-A19A-AB264E33A76E}"/>
    <cellStyle name="Normal 2 2 2_Implied Value Summary" xfId="40" xr:uid="{7CADED0E-1DC6-4E1E-B492-A7B13483F72C}"/>
    <cellStyle name="Normal 2 2 3" xfId="25" xr:uid="{E5C81381-C1B6-420B-B356-E8778396C0A2}"/>
    <cellStyle name="Normal 2 2_Implied Value Summary" xfId="39" xr:uid="{19099409-EA40-48FC-97F8-3C6FD82F3761}"/>
    <cellStyle name="Normal 3" xfId="7" xr:uid="{3675BD79-731B-4751-A825-F79EE8FC3B84}"/>
    <cellStyle name="Normal 4" xfId="13" xr:uid="{1723664B-D8D1-407D-B21F-44B3305DE900}"/>
    <cellStyle name="Normal 4 2" xfId="19" xr:uid="{D9CCB2B1-0E18-46A3-8A55-F717EF610EA4}"/>
    <cellStyle name="Normal 4_Implied Value Summary" xfId="41" xr:uid="{8E3BA4EF-1C18-47D7-8BFE-ABC003341A89}"/>
    <cellStyle name="Normal 5" xfId="4" xr:uid="{6A56A98F-9869-4BB4-AEE4-364015ADF980}"/>
    <cellStyle name="Normal 6" xfId="17" xr:uid="{6695D693-69C5-43D8-A1D7-31C21CE0E6A3}"/>
    <cellStyle name="Normal 7" xfId="28" xr:uid="{C918BDDA-083F-483F-A2B2-5BA7AC48FB6B}"/>
    <cellStyle name="Normal 8" xfId="35" xr:uid="{28C5F133-48E9-4A22-A29E-867912E69077}"/>
    <cellStyle name="Normal 9" xfId="36" xr:uid="{50DB7412-941B-43C8-AE21-6453A62910F5}"/>
    <cellStyle name="Normal_Master Junior Database v2" xfId="15" xr:uid="{59664CF7-E8C5-4475-A1EE-692E4C18F0F9}"/>
    <cellStyle name="Number 2" xfId="31" xr:uid="{499BBCFA-73CD-46BD-BC79-2DDC9D7C0BAD}"/>
    <cellStyle name="Percent 2" xfId="5" xr:uid="{8811A0EB-371D-4ED9-9ADE-0D6980F0DEA6}"/>
    <cellStyle name="Percent 3" xfId="16" xr:uid="{24BCA7B9-89BD-43A1-A9D6-376F0A5CED6E}"/>
    <cellStyle name="Percent 4" xfId="21" xr:uid="{0ACCCFE2-A154-49CC-B03B-049E6EC3DF63}"/>
    <cellStyle name="Percent 5" xfId="34" xr:uid="{7A4DABFA-3118-48F7-9749-B7A5EDEA7A2B}"/>
    <cellStyle name="Porcentagem" xfId="2" builtinId="5"/>
    <cellStyle name="Vírgula" xfId="1" builtinId="3"/>
  </cellStyles>
  <dxfs count="3">
    <dxf>
      <font>
        <b val="0"/>
        <i val="0"/>
        <strike val="0"/>
        <condense val="0"/>
        <extend val="0"/>
        <outline val="0"/>
        <shadow val="0"/>
        <u val="none"/>
        <vertAlign val="baseline"/>
        <sz val="11"/>
        <color rgb="FF0000FF"/>
        <name val="Arial Narrow"/>
        <family val="2"/>
        <scheme val="none"/>
      </font>
      <numFmt numFmtId="183" formatCode="_(&quot;$&quot;* #,##0_);_(&quot;$&quot;* \(#,##0\);_(&quot;$&quot;* &quot;-&quot;??_);_(@_)"/>
      <alignment horizontal="left" vertical="center" textRotation="0" wrapText="0" indent="0" justifyLastLine="0" shrinkToFit="0" readingOrder="0"/>
    </dxf>
    <dxf>
      <font>
        <strike val="0"/>
        <outline val="0"/>
        <shadow val="0"/>
        <u val="none"/>
        <vertAlign val="baseline"/>
        <sz val="11"/>
        <color auto="1"/>
        <name val="Arial Narrow"/>
        <family val="2"/>
        <scheme val="none"/>
      </font>
      <numFmt numFmtId="180" formatCode="[$-409]mmm\-dd\-yyyy;@"/>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color theme="0"/>
        <name val="Arial Narrow"/>
        <family val="2"/>
        <scheme val="none"/>
      </font>
      <fill>
        <patternFill patternType="solid">
          <fgColor indexed="64"/>
          <bgColor rgb="FF132E57"/>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75913371791093"/>
          <c:y val="6.3465195099814117E-2"/>
          <c:w val="0.8058354737743344"/>
          <c:h val="0.8265955914802684"/>
        </c:manualLayout>
      </c:layout>
      <c:lineChart>
        <c:grouping val="standard"/>
        <c:varyColors val="0"/>
        <c:ser>
          <c:idx val="3"/>
          <c:order val="0"/>
          <c:tx>
            <c:strRef>
              <c:f>'Share Price'!$C$10</c:f>
              <c:strCache>
                <c:ptCount val="1"/>
                <c:pt idx="0">
                  <c:v>Amazon.com, Inc. (NasdaqGS:AMZN) - Share Pricing</c:v>
                </c:pt>
              </c:strCache>
            </c:strRef>
          </c:tx>
          <c:spPr>
            <a:ln w="15875" cap="rnd">
              <a:solidFill>
                <a:srgbClr val="132E57"/>
              </a:solidFill>
              <a:round/>
            </a:ln>
            <a:effectLst/>
          </c:spPr>
          <c:marker>
            <c:symbol val="none"/>
          </c:marker>
          <c:cat>
            <c:numRef>
              <c:f>'Share Price'!$B$11:$B$1374</c:f>
              <c:numCache>
                <c:formatCode>[$-409]mmm\-dd\-yyyy;@</c:formatCode>
                <c:ptCount val="1364"/>
                <c:pt idx="0">
                  <c:v>42307</c:v>
                </c:pt>
                <c:pt idx="1">
                  <c:v>42310</c:v>
                </c:pt>
                <c:pt idx="2">
                  <c:v>42311</c:v>
                </c:pt>
                <c:pt idx="3">
                  <c:v>42312</c:v>
                </c:pt>
                <c:pt idx="4">
                  <c:v>42313</c:v>
                </c:pt>
                <c:pt idx="5">
                  <c:v>42314</c:v>
                </c:pt>
                <c:pt idx="6">
                  <c:v>42317</c:v>
                </c:pt>
                <c:pt idx="7">
                  <c:v>42318</c:v>
                </c:pt>
                <c:pt idx="8">
                  <c:v>42319</c:v>
                </c:pt>
                <c:pt idx="9">
                  <c:v>42320</c:v>
                </c:pt>
                <c:pt idx="10">
                  <c:v>42321</c:v>
                </c:pt>
                <c:pt idx="11">
                  <c:v>42324</c:v>
                </c:pt>
                <c:pt idx="12">
                  <c:v>42325</c:v>
                </c:pt>
                <c:pt idx="13">
                  <c:v>42326</c:v>
                </c:pt>
                <c:pt idx="14">
                  <c:v>42327</c:v>
                </c:pt>
                <c:pt idx="15">
                  <c:v>42328</c:v>
                </c:pt>
                <c:pt idx="16">
                  <c:v>42331</c:v>
                </c:pt>
                <c:pt idx="17">
                  <c:v>42332</c:v>
                </c:pt>
                <c:pt idx="18">
                  <c:v>42333</c:v>
                </c:pt>
                <c:pt idx="19">
                  <c:v>42335</c:v>
                </c:pt>
                <c:pt idx="20">
                  <c:v>42338</c:v>
                </c:pt>
                <c:pt idx="21">
                  <c:v>42339</c:v>
                </c:pt>
                <c:pt idx="22">
                  <c:v>42340</c:v>
                </c:pt>
                <c:pt idx="23">
                  <c:v>42341</c:v>
                </c:pt>
                <c:pt idx="24">
                  <c:v>42342</c:v>
                </c:pt>
                <c:pt idx="25">
                  <c:v>42345</c:v>
                </c:pt>
                <c:pt idx="26">
                  <c:v>42346</c:v>
                </c:pt>
                <c:pt idx="27">
                  <c:v>42347</c:v>
                </c:pt>
                <c:pt idx="28">
                  <c:v>42348</c:v>
                </c:pt>
                <c:pt idx="29">
                  <c:v>42349</c:v>
                </c:pt>
                <c:pt idx="30">
                  <c:v>42352</c:v>
                </c:pt>
                <c:pt idx="31">
                  <c:v>42353</c:v>
                </c:pt>
                <c:pt idx="32">
                  <c:v>42354</c:v>
                </c:pt>
                <c:pt idx="33">
                  <c:v>42355</c:v>
                </c:pt>
                <c:pt idx="34">
                  <c:v>42356</c:v>
                </c:pt>
                <c:pt idx="35">
                  <c:v>42359</c:v>
                </c:pt>
                <c:pt idx="36">
                  <c:v>42360</c:v>
                </c:pt>
                <c:pt idx="37">
                  <c:v>42361</c:v>
                </c:pt>
                <c:pt idx="38">
                  <c:v>42362</c:v>
                </c:pt>
                <c:pt idx="39">
                  <c:v>42366</c:v>
                </c:pt>
                <c:pt idx="40">
                  <c:v>42367</c:v>
                </c:pt>
                <c:pt idx="41">
                  <c:v>42368</c:v>
                </c:pt>
                <c:pt idx="42">
                  <c:v>42369</c:v>
                </c:pt>
                <c:pt idx="43">
                  <c:v>42373</c:v>
                </c:pt>
                <c:pt idx="44">
                  <c:v>42374</c:v>
                </c:pt>
                <c:pt idx="45">
                  <c:v>42375</c:v>
                </c:pt>
                <c:pt idx="46">
                  <c:v>42376</c:v>
                </c:pt>
                <c:pt idx="47">
                  <c:v>42377</c:v>
                </c:pt>
                <c:pt idx="48">
                  <c:v>42380</c:v>
                </c:pt>
                <c:pt idx="49">
                  <c:v>42381</c:v>
                </c:pt>
                <c:pt idx="50">
                  <c:v>42382</c:v>
                </c:pt>
                <c:pt idx="51">
                  <c:v>42383</c:v>
                </c:pt>
                <c:pt idx="52">
                  <c:v>42384</c:v>
                </c:pt>
                <c:pt idx="53">
                  <c:v>42388</c:v>
                </c:pt>
                <c:pt idx="54">
                  <c:v>42389</c:v>
                </c:pt>
                <c:pt idx="55">
                  <c:v>42390</c:v>
                </c:pt>
                <c:pt idx="56">
                  <c:v>42391</c:v>
                </c:pt>
                <c:pt idx="57">
                  <c:v>42394</c:v>
                </c:pt>
                <c:pt idx="58">
                  <c:v>42395</c:v>
                </c:pt>
                <c:pt idx="59">
                  <c:v>42396</c:v>
                </c:pt>
                <c:pt idx="60">
                  <c:v>42397</c:v>
                </c:pt>
                <c:pt idx="61">
                  <c:v>42398</c:v>
                </c:pt>
                <c:pt idx="62">
                  <c:v>42401</c:v>
                </c:pt>
                <c:pt idx="63">
                  <c:v>42402</c:v>
                </c:pt>
                <c:pt idx="64">
                  <c:v>42403</c:v>
                </c:pt>
                <c:pt idx="65">
                  <c:v>42404</c:v>
                </c:pt>
                <c:pt idx="66">
                  <c:v>42405</c:v>
                </c:pt>
                <c:pt idx="67">
                  <c:v>42408</c:v>
                </c:pt>
                <c:pt idx="68">
                  <c:v>42409</c:v>
                </c:pt>
                <c:pt idx="69">
                  <c:v>42410</c:v>
                </c:pt>
                <c:pt idx="70">
                  <c:v>42411</c:v>
                </c:pt>
                <c:pt idx="71">
                  <c:v>42412</c:v>
                </c:pt>
                <c:pt idx="72">
                  <c:v>42416</c:v>
                </c:pt>
                <c:pt idx="73">
                  <c:v>42417</c:v>
                </c:pt>
                <c:pt idx="74">
                  <c:v>42418</c:v>
                </c:pt>
                <c:pt idx="75">
                  <c:v>42419</c:v>
                </c:pt>
                <c:pt idx="76">
                  <c:v>42422</c:v>
                </c:pt>
                <c:pt idx="77">
                  <c:v>42423</c:v>
                </c:pt>
                <c:pt idx="78">
                  <c:v>42424</c:v>
                </c:pt>
                <c:pt idx="79">
                  <c:v>42425</c:v>
                </c:pt>
                <c:pt idx="80">
                  <c:v>42426</c:v>
                </c:pt>
                <c:pt idx="81">
                  <c:v>42429</c:v>
                </c:pt>
                <c:pt idx="82">
                  <c:v>42430</c:v>
                </c:pt>
                <c:pt idx="83">
                  <c:v>42431</c:v>
                </c:pt>
                <c:pt idx="84">
                  <c:v>42432</c:v>
                </c:pt>
                <c:pt idx="85">
                  <c:v>42433</c:v>
                </c:pt>
                <c:pt idx="86">
                  <c:v>42436</c:v>
                </c:pt>
                <c:pt idx="87">
                  <c:v>42437</c:v>
                </c:pt>
                <c:pt idx="88">
                  <c:v>42438</c:v>
                </c:pt>
                <c:pt idx="89">
                  <c:v>42439</c:v>
                </c:pt>
                <c:pt idx="90">
                  <c:v>42440</c:v>
                </c:pt>
                <c:pt idx="91">
                  <c:v>42443</c:v>
                </c:pt>
                <c:pt idx="92">
                  <c:v>42444</c:v>
                </c:pt>
                <c:pt idx="93">
                  <c:v>42445</c:v>
                </c:pt>
                <c:pt idx="94">
                  <c:v>42446</c:v>
                </c:pt>
                <c:pt idx="95">
                  <c:v>42447</c:v>
                </c:pt>
                <c:pt idx="96">
                  <c:v>42450</c:v>
                </c:pt>
                <c:pt idx="97">
                  <c:v>42451</c:v>
                </c:pt>
                <c:pt idx="98">
                  <c:v>42452</c:v>
                </c:pt>
                <c:pt idx="99">
                  <c:v>42453</c:v>
                </c:pt>
                <c:pt idx="100">
                  <c:v>42457</c:v>
                </c:pt>
                <c:pt idx="101">
                  <c:v>42458</c:v>
                </c:pt>
                <c:pt idx="102">
                  <c:v>42459</c:v>
                </c:pt>
                <c:pt idx="103">
                  <c:v>42460</c:v>
                </c:pt>
                <c:pt idx="104">
                  <c:v>42461</c:v>
                </c:pt>
                <c:pt idx="105">
                  <c:v>42464</c:v>
                </c:pt>
                <c:pt idx="106">
                  <c:v>42465</c:v>
                </c:pt>
                <c:pt idx="107">
                  <c:v>42466</c:v>
                </c:pt>
                <c:pt idx="108">
                  <c:v>42467</c:v>
                </c:pt>
                <c:pt idx="109">
                  <c:v>42468</c:v>
                </c:pt>
                <c:pt idx="110">
                  <c:v>42471</c:v>
                </c:pt>
                <c:pt idx="111">
                  <c:v>42472</c:v>
                </c:pt>
                <c:pt idx="112">
                  <c:v>42473</c:v>
                </c:pt>
                <c:pt idx="113">
                  <c:v>42474</c:v>
                </c:pt>
                <c:pt idx="114">
                  <c:v>42475</c:v>
                </c:pt>
                <c:pt idx="115">
                  <c:v>42478</c:v>
                </c:pt>
                <c:pt idx="116">
                  <c:v>42479</c:v>
                </c:pt>
                <c:pt idx="117">
                  <c:v>42480</c:v>
                </c:pt>
                <c:pt idx="118">
                  <c:v>42481</c:v>
                </c:pt>
                <c:pt idx="119">
                  <c:v>42482</c:v>
                </c:pt>
                <c:pt idx="120">
                  <c:v>42485</c:v>
                </c:pt>
                <c:pt idx="121">
                  <c:v>42486</c:v>
                </c:pt>
                <c:pt idx="122">
                  <c:v>42487</c:v>
                </c:pt>
                <c:pt idx="123">
                  <c:v>42488</c:v>
                </c:pt>
                <c:pt idx="124">
                  <c:v>42489</c:v>
                </c:pt>
                <c:pt idx="125">
                  <c:v>42492</c:v>
                </c:pt>
                <c:pt idx="126">
                  <c:v>42493</c:v>
                </c:pt>
                <c:pt idx="127">
                  <c:v>42494</c:v>
                </c:pt>
                <c:pt idx="128">
                  <c:v>42495</c:v>
                </c:pt>
                <c:pt idx="129">
                  <c:v>42496</c:v>
                </c:pt>
                <c:pt idx="130">
                  <c:v>42499</c:v>
                </c:pt>
                <c:pt idx="131">
                  <c:v>42500</c:v>
                </c:pt>
                <c:pt idx="132">
                  <c:v>42501</c:v>
                </c:pt>
                <c:pt idx="133">
                  <c:v>42502</c:v>
                </c:pt>
                <c:pt idx="134">
                  <c:v>42503</c:v>
                </c:pt>
                <c:pt idx="135">
                  <c:v>42506</c:v>
                </c:pt>
                <c:pt idx="136">
                  <c:v>42507</c:v>
                </c:pt>
                <c:pt idx="137">
                  <c:v>42508</c:v>
                </c:pt>
                <c:pt idx="138">
                  <c:v>42509</c:v>
                </c:pt>
                <c:pt idx="139">
                  <c:v>42510</c:v>
                </c:pt>
                <c:pt idx="140">
                  <c:v>42513</c:v>
                </c:pt>
                <c:pt idx="141">
                  <c:v>42514</c:v>
                </c:pt>
                <c:pt idx="142">
                  <c:v>42515</c:v>
                </c:pt>
                <c:pt idx="143">
                  <c:v>42516</c:v>
                </c:pt>
                <c:pt idx="144">
                  <c:v>42517</c:v>
                </c:pt>
                <c:pt idx="145">
                  <c:v>42521</c:v>
                </c:pt>
                <c:pt idx="146">
                  <c:v>42522</c:v>
                </c:pt>
                <c:pt idx="147">
                  <c:v>42523</c:v>
                </c:pt>
                <c:pt idx="148">
                  <c:v>42524</c:v>
                </c:pt>
                <c:pt idx="149">
                  <c:v>42527</c:v>
                </c:pt>
                <c:pt idx="150">
                  <c:v>42528</c:v>
                </c:pt>
                <c:pt idx="151">
                  <c:v>42529</c:v>
                </c:pt>
                <c:pt idx="152">
                  <c:v>42530</c:v>
                </c:pt>
                <c:pt idx="153">
                  <c:v>42531</c:v>
                </c:pt>
                <c:pt idx="154">
                  <c:v>42534</c:v>
                </c:pt>
                <c:pt idx="155">
                  <c:v>42535</c:v>
                </c:pt>
                <c:pt idx="156">
                  <c:v>42536</c:v>
                </c:pt>
                <c:pt idx="157">
                  <c:v>42537</c:v>
                </c:pt>
                <c:pt idx="158">
                  <c:v>42538</c:v>
                </c:pt>
                <c:pt idx="159">
                  <c:v>42541</c:v>
                </c:pt>
                <c:pt idx="160">
                  <c:v>42542</c:v>
                </c:pt>
                <c:pt idx="161">
                  <c:v>42543</c:v>
                </c:pt>
                <c:pt idx="162">
                  <c:v>42544</c:v>
                </c:pt>
                <c:pt idx="163">
                  <c:v>42545</c:v>
                </c:pt>
                <c:pt idx="164">
                  <c:v>42548</c:v>
                </c:pt>
                <c:pt idx="165">
                  <c:v>42549</c:v>
                </c:pt>
                <c:pt idx="166">
                  <c:v>42550</c:v>
                </c:pt>
                <c:pt idx="167">
                  <c:v>42551</c:v>
                </c:pt>
                <c:pt idx="168">
                  <c:v>42552</c:v>
                </c:pt>
                <c:pt idx="169">
                  <c:v>42556</c:v>
                </c:pt>
                <c:pt idx="170">
                  <c:v>42557</c:v>
                </c:pt>
                <c:pt idx="171">
                  <c:v>42558</c:v>
                </c:pt>
                <c:pt idx="172">
                  <c:v>42559</c:v>
                </c:pt>
                <c:pt idx="173">
                  <c:v>42562</c:v>
                </c:pt>
                <c:pt idx="174">
                  <c:v>42563</c:v>
                </c:pt>
                <c:pt idx="175">
                  <c:v>42564</c:v>
                </c:pt>
                <c:pt idx="176">
                  <c:v>42565</c:v>
                </c:pt>
                <c:pt idx="177">
                  <c:v>42566</c:v>
                </c:pt>
                <c:pt idx="178">
                  <c:v>42569</c:v>
                </c:pt>
                <c:pt idx="179">
                  <c:v>42570</c:v>
                </c:pt>
                <c:pt idx="180">
                  <c:v>42571</c:v>
                </c:pt>
                <c:pt idx="181">
                  <c:v>42572</c:v>
                </c:pt>
                <c:pt idx="182">
                  <c:v>42573</c:v>
                </c:pt>
                <c:pt idx="183">
                  <c:v>42576</c:v>
                </c:pt>
                <c:pt idx="184">
                  <c:v>42577</c:v>
                </c:pt>
                <c:pt idx="185">
                  <c:v>42578</c:v>
                </c:pt>
                <c:pt idx="186">
                  <c:v>42579</c:v>
                </c:pt>
                <c:pt idx="187">
                  <c:v>42580</c:v>
                </c:pt>
                <c:pt idx="188">
                  <c:v>42583</c:v>
                </c:pt>
                <c:pt idx="189">
                  <c:v>42584</c:v>
                </c:pt>
                <c:pt idx="190">
                  <c:v>42585</c:v>
                </c:pt>
                <c:pt idx="191">
                  <c:v>42586</c:v>
                </c:pt>
                <c:pt idx="192">
                  <c:v>42587</c:v>
                </c:pt>
                <c:pt idx="193">
                  <c:v>42590</c:v>
                </c:pt>
                <c:pt idx="194">
                  <c:v>42591</c:v>
                </c:pt>
                <c:pt idx="195">
                  <c:v>42592</c:v>
                </c:pt>
                <c:pt idx="196">
                  <c:v>42593</c:v>
                </c:pt>
                <c:pt idx="197">
                  <c:v>42594</c:v>
                </c:pt>
                <c:pt idx="198">
                  <c:v>42597</c:v>
                </c:pt>
                <c:pt idx="199">
                  <c:v>42598</c:v>
                </c:pt>
                <c:pt idx="200">
                  <c:v>42599</c:v>
                </c:pt>
                <c:pt idx="201">
                  <c:v>42600</c:v>
                </c:pt>
                <c:pt idx="202">
                  <c:v>42601</c:v>
                </c:pt>
                <c:pt idx="203">
                  <c:v>42604</c:v>
                </c:pt>
                <c:pt idx="204">
                  <c:v>42605</c:v>
                </c:pt>
                <c:pt idx="205">
                  <c:v>42606</c:v>
                </c:pt>
                <c:pt idx="206">
                  <c:v>42607</c:v>
                </c:pt>
                <c:pt idx="207">
                  <c:v>42608</c:v>
                </c:pt>
                <c:pt idx="208">
                  <c:v>42611</c:v>
                </c:pt>
                <c:pt idx="209">
                  <c:v>42612</c:v>
                </c:pt>
                <c:pt idx="210">
                  <c:v>42613</c:v>
                </c:pt>
                <c:pt idx="211">
                  <c:v>42614</c:v>
                </c:pt>
                <c:pt idx="212">
                  <c:v>42615</c:v>
                </c:pt>
                <c:pt idx="213">
                  <c:v>42619</c:v>
                </c:pt>
                <c:pt idx="214">
                  <c:v>42620</c:v>
                </c:pt>
                <c:pt idx="215">
                  <c:v>42621</c:v>
                </c:pt>
                <c:pt idx="216">
                  <c:v>42622</c:v>
                </c:pt>
                <c:pt idx="217">
                  <c:v>42625</c:v>
                </c:pt>
                <c:pt idx="218">
                  <c:v>42626</c:v>
                </c:pt>
                <c:pt idx="219">
                  <c:v>42627</c:v>
                </c:pt>
                <c:pt idx="220">
                  <c:v>42628</c:v>
                </c:pt>
                <c:pt idx="221">
                  <c:v>42629</c:v>
                </c:pt>
                <c:pt idx="222">
                  <c:v>42632</c:v>
                </c:pt>
                <c:pt idx="223">
                  <c:v>42633</c:v>
                </c:pt>
                <c:pt idx="224">
                  <c:v>42634</c:v>
                </c:pt>
                <c:pt idx="225">
                  <c:v>42635</c:v>
                </c:pt>
                <c:pt idx="226">
                  <c:v>42636</c:v>
                </c:pt>
                <c:pt idx="227">
                  <c:v>42639</c:v>
                </c:pt>
                <c:pt idx="228">
                  <c:v>42640</c:v>
                </c:pt>
                <c:pt idx="229">
                  <c:v>42641</c:v>
                </c:pt>
                <c:pt idx="230">
                  <c:v>42642</c:v>
                </c:pt>
                <c:pt idx="231">
                  <c:v>42643</c:v>
                </c:pt>
                <c:pt idx="232">
                  <c:v>42646</c:v>
                </c:pt>
                <c:pt idx="233">
                  <c:v>42647</c:v>
                </c:pt>
                <c:pt idx="234">
                  <c:v>42648</c:v>
                </c:pt>
                <c:pt idx="235">
                  <c:v>42649</c:v>
                </c:pt>
                <c:pt idx="236">
                  <c:v>42650</c:v>
                </c:pt>
                <c:pt idx="237">
                  <c:v>42653</c:v>
                </c:pt>
                <c:pt idx="238">
                  <c:v>42654</c:v>
                </c:pt>
                <c:pt idx="239">
                  <c:v>42655</c:v>
                </c:pt>
                <c:pt idx="240">
                  <c:v>42656</c:v>
                </c:pt>
                <c:pt idx="241">
                  <c:v>42657</c:v>
                </c:pt>
                <c:pt idx="242">
                  <c:v>42660</c:v>
                </c:pt>
                <c:pt idx="243">
                  <c:v>42661</c:v>
                </c:pt>
                <c:pt idx="244">
                  <c:v>42662</c:v>
                </c:pt>
                <c:pt idx="245">
                  <c:v>42663</c:v>
                </c:pt>
                <c:pt idx="246">
                  <c:v>42664</c:v>
                </c:pt>
                <c:pt idx="247">
                  <c:v>42667</c:v>
                </c:pt>
                <c:pt idx="248">
                  <c:v>42668</c:v>
                </c:pt>
                <c:pt idx="249">
                  <c:v>42669</c:v>
                </c:pt>
                <c:pt idx="250">
                  <c:v>42670</c:v>
                </c:pt>
                <c:pt idx="251">
                  <c:v>42671</c:v>
                </c:pt>
                <c:pt idx="252">
                  <c:v>42674</c:v>
                </c:pt>
                <c:pt idx="253">
                  <c:v>42675</c:v>
                </c:pt>
                <c:pt idx="254">
                  <c:v>42676</c:v>
                </c:pt>
                <c:pt idx="255">
                  <c:v>42677</c:v>
                </c:pt>
                <c:pt idx="256">
                  <c:v>42678</c:v>
                </c:pt>
                <c:pt idx="257">
                  <c:v>42681</c:v>
                </c:pt>
                <c:pt idx="258">
                  <c:v>42682</c:v>
                </c:pt>
                <c:pt idx="259">
                  <c:v>42683</c:v>
                </c:pt>
                <c:pt idx="260">
                  <c:v>42684</c:v>
                </c:pt>
                <c:pt idx="261">
                  <c:v>42685</c:v>
                </c:pt>
                <c:pt idx="262">
                  <c:v>42688</c:v>
                </c:pt>
                <c:pt idx="263">
                  <c:v>42689</c:v>
                </c:pt>
                <c:pt idx="264">
                  <c:v>42690</c:v>
                </c:pt>
                <c:pt idx="265">
                  <c:v>42691</c:v>
                </c:pt>
                <c:pt idx="266">
                  <c:v>42692</c:v>
                </c:pt>
                <c:pt idx="267">
                  <c:v>42695</c:v>
                </c:pt>
                <c:pt idx="268">
                  <c:v>42696</c:v>
                </c:pt>
                <c:pt idx="269">
                  <c:v>42697</c:v>
                </c:pt>
                <c:pt idx="270">
                  <c:v>42699</c:v>
                </c:pt>
                <c:pt idx="271">
                  <c:v>42702</c:v>
                </c:pt>
                <c:pt idx="272">
                  <c:v>42703</c:v>
                </c:pt>
                <c:pt idx="273">
                  <c:v>42704</c:v>
                </c:pt>
                <c:pt idx="274">
                  <c:v>42705</c:v>
                </c:pt>
                <c:pt idx="275">
                  <c:v>42706</c:v>
                </c:pt>
                <c:pt idx="276">
                  <c:v>42709</c:v>
                </c:pt>
                <c:pt idx="277">
                  <c:v>42710</c:v>
                </c:pt>
                <c:pt idx="278">
                  <c:v>42711</c:v>
                </c:pt>
                <c:pt idx="279">
                  <c:v>42712</c:v>
                </c:pt>
                <c:pt idx="280">
                  <c:v>42713</c:v>
                </c:pt>
                <c:pt idx="281">
                  <c:v>42716</c:v>
                </c:pt>
                <c:pt idx="282">
                  <c:v>42717</c:v>
                </c:pt>
                <c:pt idx="283">
                  <c:v>42718</c:v>
                </c:pt>
                <c:pt idx="284">
                  <c:v>42719</c:v>
                </c:pt>
                <c:pt idx="285">
                  <c:v>42720</c:v>
                </c:pt>
                <c:pt idx="286">
                  <c:v>42723</c:v>
                </c:pt>
                <c:pt idx="287">
                  <c:v>42724</c:v>
                </c:pt>
                <c:pt idx="288">
                  <c:v>42725</c:v>
                </c:pt>
                <c:pt idx="289">
                  <c:v>42726</c:v>
                </c:pt>
                <c:pt idx="290">
                  <c:v>42727</c:v>
                </c:pt>
                <c:pt idx="291">
                  <c:v>42731</c:v>
                </c:pt>
                <c:pt idx="292">
                  <c:v>42732</c:v>
                </c:pt>
                <c:pt idx="293">
                  <c:v>42733</c:v>
                </c:pt>
                <c:pt idx="294">
                  <c:v>42734</c:v>
                </c:pt>
                <c:pt idx="295">
                  <c:v>42738</c:v>
                </c:pt>
                <c:pt idx="296">
                  <c:v>42739</c:v>
                </c:pt>
                <c:pt idx="297">
                  <c:v>42740</c:v>
                </c:pt>
                <c:pt idx="298">
                  <c:v>42741</c:v>
                </c:pt>
                <c:pt idx="299">
                  <c:v>42744</c:v>
                </c:pt>
                <c:pt idx="300">
                  <c:v>42745</c:v>
                </c:pt>
                <c:pt idx="301">
                  <c:v>42746</c:v>
                </c:pt>
                <c:pt idx="302">
                  <c:v>42747</c:v>
                </c:pt>
                <c:pt idx="303">
                  <c:v>42748</c:v>
                </c:pt>
                <c:pt idx="304">
                  <c:v>42752</c:v>
                </c:pt>
                <c:pt idx="305">
                  <c:v>42753</c:v>
                </c:pt>
                <c:pt idx="306">
                  <c:v>42754</c:v>
                </c:pt>
                <c:pt idx="307">
                  <c:v>42755</c:v>
                </c:pt>
                <c:pt idx="308">
                  <c:v>42758</c:v>
                </c:pt>
                <c:pt idx="309">
                  <c:v>42759</c:v>
                </c:pt>
                <c:pt idx="310">
                  <c:v>42760</c:v>
                </c:pt>
                <c:pt idx="311">
                  <c:v>42761</c:v>
                </c:pt>
                <c:pt idx="312">
                  <c:v>42762</c:v>
                </c:pt>
                <c:pt idx="313">
                  <c:v>42765</c:v>
                </c:pt>
                <c:pt idx="314">
                  <c:v>42766</c:v>
                </c:pt>
                <c:pt idx="315">
                  <c:v>42767</c:v>
                </c:pt>
                <c:pt idx="316">
                  <c:v>42768</c:v>
                </c:pt>
                <c:pt idx="317">
                  <c:v>42769</c:v>
                </c:pt>
                <c:pt idx="318">
                  <c:v>42772</c:v>
                </c:pt>
                <c:pt idx="319">
                  <c:v>42773</c:v>
                </c:pt>
                <c:pt idx="320">
                  <c:v>42774</c:v>
                </c:pt>
                <c:pt idx="321">
                  <c:v>42775</c:v>
                </c:pt>
                <c:pt idx="322">
                  <c:v>42776</c:v>
                </c:pt>
                <c:pt idx="323">
                  <c:v>42779</c:v>
                </c:pt>
                <c:pt idx="324">
                  <c:v>42780</c:v>
                </c:pt>
                <c:pt idx="325">
                  <c:v>42781</c:v>
                </c:pt>
                <c:pt idx="326">
                  <c:v>42782</c:v>
                </c:pt>
                <c:pt idx="327">
                  <c:v>42783</c:v>
                </c:pt>
                <c:pt idx="328">
                  <c:v>42787</c:v>
                </c:pt>
                <c:pt idx="329">
                  <c:v>42788</c:v>
                </c:pt>
                <c:pt idx="330">
                  <c:v>42789</c:v>
                </c:pt>
                <c:pt idx="331">
                  <c:v>42790</c:v>
                </c:pt>
                <c:pt idx="332">
                  <c:v>42793</c:v>
                </c:pt>
                <c:pt idx="333">
                  <c:v>42794</c:v>
                </c:pt>
                <c:pt idx="334">
                  <c:v>42795</c:v>
                </c:pt>
                <c:pt idx="335">
                  <c:v>42796</c:v>
                </c:pt>
                <c:pt idx="336">
                  <c:v>42797</c:v>
                </c:pt>
                <c:pt idx="337">
                  <c:v>42800</c:v>
                </c:pt>
                <c:pt idx="338">
                  <c:v>42801</c:v>
                </c:pt>
                <c:pt idx="339">
                  <c:v>42802</c:v>
                </c:pt>
                <c:pt idx="340">
                  <c:v>42803</c:v>
                </c:pt>
                <c:pt idx="341">
                  <c:v>42804</c:v>
                </c:pt>
                <c:pt idx="342">
                  <c:v>42807</c:v>
                </c:pt>
                <c:pt idx="343">
                  <c:v>42808</c:v>
                </c:pt>
                <c:pt idx="344">
                  <c:v>42809</c:v>
                </c:pt>
                <c:pt idx="345">
                  <c:v>42810</c:v>
                </c:pt>
                <c:pt idx="346">
                  <c:v>42811</c:v>
                </c:pt>
                <c:pt idx="347">
                  <c:v>42814</c:v>
                </c:pt>
                <c:pt idx="348">
                  <c:v>42815</c:v>
                </c:pt>
                <c:pt idx="349">
                  <c:v>42816</c:v>
                </c:pt>
                <c:pt idx="350">
                  <c:v>42817</c:v>
                </c:pt>
                <c:pt idx="351">
                  <c:v>42818</c:v>
                </c:pt>
                <c:pt idx="352">
                  <c:v>42821</c:v>
                </c:pt>
                <c:pt idx="353">
                  <c:v>42822</c:v>
                </c:pt>
                <c:pt idx="354">
                  <c:v>42823</c:v>
                </c:pt>
                <c:pt idx="355">
                  <c:v>42824</c:v>
                </c:pt>
                <c:pt idx="356">
                  <c:v>42825</c:v>
                </c:pt>
                <c:pt idx="357">
                  <c:v>42828</c:v>
                </c:pt>
                <c:pt idx="358">
                  <c:v>42829</c:v>
                </c:pt>
                <c:pt idx="359">
                  <c:v>42830</c:v>
                </c:pt>
                <c:pt idx="360">
                  <c:v>42831</c:v>
                </c:pt>
                <c:pt idx="361">
                  <c:v>42832</c:v>
                </c:pt>
                <c:pt idx="362">
                  <c:v>42835</c:v>
                </c:pt>
                <c:pt idx="363">
                  <c:v>42836</c:v>
                </c:pt>
                <c:pt idx="364">
                  <c:v>42837</c:v>
                </c:pt>
                <c:pt idx="365">
                  <c:v>42838</c:v>
                </c:pt>
                <c:pt idx="366">
                  <c:v>42842</c:v>
                </c:pt>
                <c:pt idx="367">
                  <c:v>42843</c:v>
                </c:pt>
                <c:pt idx="368">
                  <c:v>42844</c:v>
                </c:pt>
                <c:pt idx="369">
                  <c:v>42845</c:v>
                </c:pt>
                <c:pt idx="370">
                  <c:v>42846</c:v>
                </c:pt>
                <c:pt idx="371">
                  <c:v>42849</c:v>
                </c:pt>
                <c:pt idx="372">
                  <c:v>42850</c:v>
                </c:pt>
                <c:pt idx="373">
                  <c:v>42851</c:v>
                </c:pt>
                <c:pt idx="374">
                  <c:v>42852</c:v>
                </c:pt>
                <c:pt idx="375">
                  <c:v>42853</c:v>
                </c:pt>
                <c:pt idx="376">
                  <c:v>42856</c:v>
                </c:pt>
                <c:pt idx="377">
                  <c:v>42857</c:v>
                </c:pt>
                <c:pt idx="378">
                  <c:v>42858</c:v>
                </c:pt>
                <c:pt idx="379">
                  <c:v>42859</c:v>
                </c:pt>
                <c:pt idx="380">
                  <c:v>42860</c:v>
                </c:pt>
                <c:pt idx="381">
                  <c:v>42863</c:v>
                </c:pt>
                <c:pt idx="382">
                  <c:v>42864</c:v>
                </c:pt>
                <c:pt idx="383">
                  <c:v>42865</c:v>
                </c:pt>
                <c:pt idx="384">
                  <c:v>42866</c:v>
                </c:pt>
                <c:pt idx="385">
                  <c:v>42867</c:v>
                </c:pt>
                <c:pt idx="386">
                  <c:v>42870</c:v>
                </c:pt>
                <c:pt idx="387">
                  <c:v>42871</c:v>
                </c:pt>
                <c:pt idx="388">
                  <c:v>42872</c:v>
                </c:pt>
                <c:pt idx="389">
                  <c:v>42873</c:v>
                </c:pt>
                <c:pt idx="390">
                  <c:v>42874</c:v>
                </c:pt>
                <c:pt idx="391">
                  <c:v>42877</c:v>
                </c:pt>
                <c:pt idx="392">
                  <c:v>42878</c:v>
                </c:pt>
                <c:pt idx="393">
                  <c:v>42879</c:v>
                </c:pt>
                <c:pt idx="394">
                  <c:v>42880</c:v>
                </c:pt>
                <c:pt idx="395">
                  <c:v>42881</c:v>
                </c:pt>
                <c:pt idx="396">
                  <c:v>42885</c:v>
                </c:pt>
                <c:pt idx="397">
                  <c:v>42886</c:v>
                </c:pt>
                <c:pt idx="398">
                  <c:v>42887</c:v>
                </c:pt>
                <c:pt idx="399">
                  <c:v>42888</c:v>
                </c:pt>
                <c:pt idx="400">
                  <c:v>42891</c:v>
                </c:pt>
                <c:pt idx="401">
                  <c:v>42892</c:v>
                </c:pt>
                <c:pt idx="402">
                  <c:v>42893</c:v>
                </c:pt>
                <c:pt idx="403">
                  <c:v>42894</c:v>
                </c:pt>
                <c:pt idx="404">
                  <c:v>42895</c:v>
                </c:pt>
                <c:pt idx="405">
                  <c:v>42898</c:v>
                </c:pt>
                <c:pt idx="406">
                  <c:v>42899</c:v>
                </c:pt>
                <c:pt idx="407">
                  <c:v>42900</c:v>
                </c:pt>
                <c:pt idx="408">
                  <c:v>42901</c:v>
                </c:pt>
                <c:pt idx="409">
                  <c:v>42902</c:v>
                </c:pt>
                <c:pt idx="410">
                  <c:v>42905</c:v>
                </c:pt>
                <c:pt idx="411">
                  <c:v>42906</c:v>
                </c:pt>
                <c:pt idx="412">
                  <c:v>42907</c:v>
                </c:pt>
                <c:pt idx="413">
                  <c:v>42908</c:v>
                </c:pt>
                <c:pt idx="414">
                  <c:v>42909</c:v>
                </c:pt>
                <c:pt idx="415">
                  <c:v>42912</c:v>
                </c:pt>
                <c:pt idx="416">
                  <c:v>42913</c:v>
                </c:pt>
                <c:pt idx="417">
                  <c:v>42914</c:v>
                </c:pt>
                <c:pt idx="418">
                  <c:v>42915</c:v>
                </c:pt>
                <c:pt idx="419">
                  <c:v>42916</c:v>
                </c:pt>
                <c:pt idx="420">
                  <c:v>42919</c:v>
                </c:pt>
                <c:pt idx="421">
                  <c:v>42921</c:v>
                </c:pt>
                <c:pt idx="422">
                  <c:v>42922</c:v>
                </c:pt>
                <c:pt idx="423">
                  <c:v>42923</c:v>
                </c:pt>
                <c:pt idx="424">
                  <c:v>42926</c:v>
                </c:pt>
                <c:pt idx="425">
                  <c:v>42927</c:v>
                </c:pt>
                <c:pt idx="426">
                  <c:v>42928</c:v>
                </c:pt>
                <c:pt idx="427">
                  <c:v>42929</c:v>
                </c:pt>
                <c:pt idx="428">
                  <c:v>42930</c:v>
                </c:pt>
                <c:pt idx="429">
                  <c:v>42933</c:v>
                </c:pt>
                <c:pt idx="430">
                  <c:v>42934</c:v>
                </c:pt>
                <c:pt idx="431">
                  <c:v>42935</c:v>
                </c:pt>
                <c:pt idx="432">
                  <c:v>42936</c:v>
                </c:pt>
                <c:pt idx="433">
                  <c:v>42937</c:v>
                </c:pt>
                <c:pt idx="434">
                  <c:v>42940</c:v>
                </c:pt>
                <c:pt idx="435">
                  <c:v>42941</c:v>
                </c:pt>
                <c:pt idx="436">
                  <c:v>42942</c:v>
                </c:pt>
                <c:pt idx="437">
                  <c:v>42943</c:v>
                </c:pt>
                <c:pt idx="438">
                  <c:v>42944</c:v>
                </c:pt>
                <c:pt idx="439">
                  <c:v>42947</c:v>
                </c:pt>
                <c:pt idx="440">
                  <c:v>42948</c:v>
                </c:pt>
                <c:pt idx="441">
                  <c:v>42949</c:v>
                </c:pt>
                <c:pt idx="442">
                  <c:v>42950</c:v>
                </c:pt>
                <c:pt idx="443">
                  <c:v>42951</c:v>
                </c:pt>
                <c:pt idx="444">
                  <c:v>42954</c:v>
                </c:pt>
                <c:pt idx="445">
                  <c:v>42955</c:v>
                </c:pt>
                <c:pt idx="446">
                  <c:v>42956</c:v>
                </c:pt>
                <c:pt idx="447">
                  <c:v>42957</c:v>
                </c:pt>
                <c:pt idx="448">
                  <c:v>42958</c:v>
                </c:pt>
                <c:pt idx="449">
                  <c:v>42961</c:v>
                </c:pt>
                <c:pt idx="450">
                  <c:v>42962</c:v>
                </c:pt>
                <c:pt idx="451">
                  <c:v>42963</c:v>
                </c:pt>
                <c:pt idx="452">
                  <c:v>42964</c:v>
                </c:pt>
                <c:pt idx="453">
                  <c:v>42965</c:v>
                </c:pt>
                <c:pt idx="454">
                  <c:v>42968</c:v>
                </c:pt>
                <c:pt idx="455">
                  <c:v>42969</c:v>
                </c:pt>
                <c:pt idx="456">
                  <c:v>42970</c:v>
                </c:pt>
                <c:pt idx="457">
                  <c:v>42971</c:v>
                </c:pt>
                <c:pt idx="458">
                  <c:v>42972</c:v>
                </c:pt>
                <c:pt idx="459">
                  <c:v>42975</c:v>
                </c:pt>
                <c:pt idx="460">
                  <c:v>42976</c:v>
                </c:pt>
                <c:pt idx="461">
                  <c:v>42977</c:v>
                </c:pt>
                <c:pt idx="462">
                  <c:v>42978</c:v>
                </c:pt>
                <c:pt idx="463">
                  <c:v>42979</c:v>
                </c:pt>
                <c:pt idx="464">
                  <c:v>42983</c:v>
                </c:pt>
                <c:pt idx="465">
                  <c:v>42984</c:v>
                </c:pt>
                <c:pt idx="466">
                  <c:v>42985</c:v>
                </c:pt>
                <c:pt idx="467">
                  <c:v>42986</c:v>
                </c:pt>
                <c:pt idx="468">
                  <c:v>42989</c:v>
                </c:pt>
                <c:pt idx="469">
                  <c:v>42990</c:v>
                </c:pt>
                <c:pt idx="470">
                  <c:v>42991</c:v>
                </c:pt>
                <c:pt idx="471">
                  <c:v>42992</c:v>
                </c:pt>
                <c:pt idx="472">
                  <c:v>42993</c:v>
                </c:pt>
                <c:pt idx="473">
                  <c:v>42996</c:v>
                </c:pt>
                <c:pt idx="474">
                  <c:v>42997</c:v>
                </c:pt>
                <c:pt idx="475">
                  <c:v>42998</c:v>
                </c:pt>
                <c:pt idx="476">
                  <c:v>42999</c:v>
                </c:pt>
                <c:pt idx="477">
                  <c:v>43000</c:v>
                </c:pt>
                <c:pt idx="478">
                  <c:v>43003</c:v>
                </c:pt>
                <c:pt idx="479">
                  <c:v>43004</c:v>
                </c:pt>
                <c:pt idx="480">
                  <c:v>43005</c:v>
                </c:pt>
                <c:pt idx="481">
                  <c:v>43006</c:v>
                </c:pt>
                <c:pt idx="482">
                  <c:v>43007</c:v>
                </c:pt>
                <c:pt idx="483">
                  <c:v>43010</c:v>
                </c:pt>
                <c:pt idx="484">
                  <c:v>43011</c:v>
                </c:pt>
                <c:pt idx="485">
                  <c:v>43012</c:v>
                </c:pt>
                <c:pt idx="486">
                  <c:v>43013</c:v>
                </c:pt>
                <c:pt idx="487">
                  <c:v>43014</c:v>
                </c:pt>
                <c:pt idx="488">
                  <c:v>43017</c:v>
                </c:pt>
                <c:pt idx="489">
                  <c:v>43018</c:v>
                </c:pt>
                <c:pt idx="490">
                  <c:v>43019</c:v>
                </c:pt>
                <c:pt idx="491">
                  <c:v>43020</c:v>
                </c:pt>
                <c:pt idx="492">
                  <c:v>43021</c:v>
                </c:pt>
                <c:pt idx="493">
                  <c:v>43024</c:v>
                </c:pt>
                <c:pt idx="494">
                  <c:v>43025</c:v>
                </c:pt>
                <c:pt idx="495">
                  <c:v>43026</c:v>
                </c:pt>
                <c:pt idx="496">
                  <c:v>43027</c:v>
                </c:pt>
                <c:pt idx="497">
                  <c:v>43028</c:v>
                </c:pt>
                <c:pt idx="498">
                  <c:v>43031</c:v>
                </c:pt>
                <c:pt idx="499">
                  <c:v>43032</c:v>
                </c:pt>
                <c:pt idx="500">
                  <c:v>43033</c:v>
                </c:pt>
                <c:pt idx="501">
                  <c:v>43034</c:v>
                </c:pt>
                <c:pt idx="502">
                  <c:v>43035</c:v>
                </c:pt>
                <c:pt idx="503">
                  <c:v>43038</c:v>
                </c:pt>
                <c:pt idx="504">
                  <c:v>43039</c:v>
                </c:pt>
                <c:pt idx="505">
                  <c:v>43040</c:v>
                </c:pt>
                <c:pt idx="506">
                  <c:v>43041</c:v>
                </c:pt>
                <c:pt idx="507">
                  <c:v>43042</c:v>
                </c:pt>
                <c:pt idx="508">
                  <c:v>43045</c:v>
                </c:pt>
                <c:pt idx="509">
                  <c:v>43046</c:v>
                </c:pt>
                <c:pt idx="510">
                  <c:v>43047</c:v>
                </c:pt>
                <c:pt idx="511">
                  <c:v>43048</c:v>
                </c:pt>
                <c:pt idx="512">
                  <c:v>43049</c:v>
                </c:pt>
                <c:pt idx="513">
                  <c:v>43052</c:v>
                </c:pt>
                <c:pt idx="514">
                  <c:v>43053</c:v>
                </c:pt>
                <c:pt idx="515">
                  <c:v>43054</c:v>
                </c:pt>
                <c:pt idx="516">
                  <c:v>43055</c:v>
                </c:pt>
                <c:pt idx="517">
                  <c:v>43056</c:v>
                </c:pt>
                <c:pt idx="518">
                  <c:v>43059</c:v>
                </c:pt>
                <c:pt idx="519">
                  <c:v>43060</c:v>
                </c:pt>
                <c:pt idx="520">
                  <c:v>43061</c:v>
                </c:pt>
                <c:pt idx="521">
                  <c:v>43063</c:v>
                </c:pt>
                <c:pt idx="522">
                  <c:v>43066</c:v>
                </c:pt>
                <c:pt idx="523">
                  <c:v>43067</c:v>
                </c:pt>
                <c:pt idx="524">
                  <c:v>43068</c:v>
                </c:pt>
                <c:pt idx="525">
                  <c:v>43069</c:v>
                </c:pt>
                <c:pt idx="526">
                  <c:v>43070</c:v>
                </c:pt>
                <c:pt idx="527">
                  <c:v>43073</c:v>
                </c:pt>
                <c:pt idx="528">
                  <c:v>43074</c:v>
                </c:pt>
                <c:pt idx="529">
                  <c:v>43075</c:v>
                </c:pt>
                <c:pt idx="530">
                  <c:v>43076</c:v>
                </c:pt>
                <c:pt idx="531">
                  <c:v>43077</c:v>
                </c:pt>
                <c:pt idx="532">
                  <c:v>43080</c:v>
                </c:pt>
                <c:pt idx="533">
                  <c:v>43081</c:v>
                </c:pt>
                <c:pt idx="534">
                  <c:v>43082</c:v>
                </c:pt>
                <c:pt idx="535">
                  <c:v>43083</c:v>
                </c:pt>
                <c:pt idx="536">
                  <c:v>43084</c:v>
                </c:pt>
                <c:pt idx="537">
                  <c:v>43087</c:v>
                </c:pt>
                <c:pt idx="538">
                  <c:v>43088</c:v>
                </c:pt>
                <c:pt idx="539">
                  <c:v>43089</c:v>
                </c:pt>
                <c:pt idx="540">
                  <c:v>43090</c:v>
                </c:pt>
                <c:pt idx="541">
                  <c:v>43091</c:v>
                </c:pt>
                <c:pt idx="542">
                  <c:v>43095</c:v>
                </c:pt>
                <c:pt idx="543">
                  <c:v>43096</c:v>
                </c:pt>
                <c:pt idx="544">
                  <c:v>43097</c:v>
                </c:pt>
                <c:pt idx="545">
                  <c:v>43098</c:v>
                </c:pt>
                <c:pt idx="546">
                  <c:v>43102</c:v>
                </c:pt>
                <c:pt idx="547">
                  <c:v>43103</c:v>
                </c:pt>
                <c:pt idx="548">
                  <c:v>43104</c:v>
                </c:pt>
                <c:pt idx="549">
                  <c:v>43105</c:v>
                </c:pt>
                <c:pt idx="550">
                  <c:v>43108</c:v>
                </c:pt>
                <c:pt idx="551">
                  <c:v>43109</c:v>
                </c:pt>
                <c:pt idx="552">
                  <c:v>43110</c:v>
                </c:pt>
                <c:pt idx="553">
                  <c:v>43111</c:v>
                </c:pt>
                <c:pt idx="554">
                  <c:v>43112</c:v>
                </c:pt>
                <c:pt idx="555">
                  <c:v>43116</c:v>
                </c:pt>
                <c:pt idx="556">
                  <c:v>43117</c:v>
                </c:pt>
                <c:pt idx="557">
                  <c:v>43118</c:v>
                </c:pt>
                <c:pt idx="558">
                  <c:v>43119</c:v>
                </c:pt>
                <c:pt idx="559">
                  <c:v>43122</c:v>
                </c:pt>
                <c:pt idx="560">
                  <c:v>43123</c:v>
                </c:pt>
                <c:pt idx="561">
                  <c:v>43124</c:v>
                </c:pt>
                <c:pt idx="562">
                  <c:v>43125</c:v>
                </c:pt>
                <c:pt idx="563">
                  <c:v>43126</c:v>
                </c:pt>
                <c:pt idx="564">
                  <c:v>43129</c:v>
                </c:pt>
                <c:pt idx="565">
                  <c:v>43130</c:v>
                </c:pt>
                <c:pt idx="566">
                  <c:v>43131</c:v>
                </c:pt>
                <c:pt idx="567">
                  <c:v>43132</c:v>
                </c:pt>
                <c:pt idx="568">
                  <c:v>43133</c:v>
                </c:pt>
                <c:pt idx="569">
                  <c:v>43136</c:v>
                </c:pt>
                <c:pt idx="570">
                  <c:v>43137</c:v>
                </c:pt>
                <c:pt idx="571">
                  <c:v>43138</c:v>
                </c:pt>
                <c:pt idx="572">
                  <c:v>43139</c:v>
                </c:pt>
                <c:pt idx="573">
                  <c:v>43140</c:v>
                </c:pt>
                <c:pt idx="574">
                  <c:v>43143</c:v>
                </c:pt>
                <c:pt idx="575">
                  <c:v>43144</c:v>
                </c:pt>
                <c:pt idx="576">
                  <c:v>43145</c:v>
                </c:pt>
                <c:pt idx="577">
                  <c:v>43146</c:v>
                </c:pt>
                <c:pt idx="578">
                  <c:v>43147</c:v>
                </c:pt>
                <c:pt idx="579">
                  <c:v>43151</c:v>
                </c:pt>
                <c:pt idx="580">
                  <c:v>43152</c:v>
                </c:pt>
                <c:pt idx="581">
                  <c:v>43153</c:v>
                </c:pt>
                <c:pt idx="582">
                  <c:v>43154</c:v>
                </c:pt>
                <c:pt idx="583">
                  <c:v>43157</c:v>
                </c:pt>
                <c:pt idx="584">
                  <c:v>43158</c:v>
                </c:pt>
                <c:pt idx="585">
                  <c:v>43159</c:v>
                </c:pt>
                <c:pt idx="586">
                  <c:v>43160</c:v>
                </c:pt>
                <c:pt idx="587">
                  <c:v>43161</c:v>
                </c:pt>
                <c:pt idx="588">
                  <c:v>43164</c:v>
                </c:pt>
                <c:pt idx="589">
                  <c:v>43165</c:v>
                </c:pt>
                <c:pt idx="590">
                  <c:v>43166</c:v>
                </c:pt>
                <c:pt idx="591">
                  <c:v>43167</c:v>
                </c:pt>
                <c:pt idx="592">
                  <c:v>43168</c:v>
                </c:pt>
                <c:pt idx="593">
                  <c:v>43171</c:v>
                </c:pt>
                <c:pt idx="594">
                  <c:v>43172</c:v>
                </c:pt>
                <c:pt idx="595">
                  <c:v>43173</c:v>
                </c:pt>
                <c:pt idx="596">
                  <c:v>43174</c:v>
                </c:pt>
                <c:pt idx="597">
                  <c:v>43175</c:v>
                </c:pt>
                <c:pt idx="598">
                  <c:v>43178</c:v>
                </c:pt>
                <c:pt idx="599">
                  <c:v>43179</c:v>
                </c:pt>
                <c:pt idx="600">
                  <c:v>43180</c:v>
                </c:pt>
                <c:pt idx="601">
                  <c:v>43181</c:v>
                </c:pt>
                <c:pt idx="602">
                  <c:v>43182</c:v>
                </c:pt>
                <c:pt idx="603">
                  <c:v>43185</c:v>
                </c:pt>
                <c:pt idx="604">
                  <c:v>43186</c:v>
                </c:pt>
                <c:pt idx="605">
                  <c:v>43187</c:v>
                </c:pt>
                <c:pt idx="606">
                  <c:v>43188</c:v>
                </c:pt>
                <c:pt idx="607">
                  <c:v>43192</c:v>
                </c:pt>
                <c:pt idx="608">
                  <c:v>43193</c:v>
                </c:pt>
                <c:pt idx="609">
                  <c:v>43194</c:v>
                </c:pt>
                <c:pt idx="610">
                  <c:v>43195</c:v>
                </c:pt>
                <c:pt idx="611">
                  <c:v>43196</c:v>
                </c:pt>
                <c:pt idx="612">
                  <c:v>43199</c:v>
                </c:pt>
                <c:pt idx="613">
                  <c:v>43200</c:v>
                </c:pt>
                <c:pt idx="614">
                  <c:v>43201</c:v>
                </c:pt>
                <c:pt idx="615">
                  <c:v>43202</c:v>
                </c:pt>
                <c:pt idx="616">
                  <c:v>43203</c:v>
                </c:pt>
                <c:pt idx="617">
                  <c:v>43206</c:v>
                </c:pt>
                <c:pt idx="618">
                  <c:v>43207</c:v>
                </c:pt>
                <c:pt idx="619">
                  <c:v>43208</c:v>
                </c:pt>
                <c:pt idx="620">
                  <c:v>43209</c:v>
                </c:pt>
                <c:pt idx="621">
                  <c:v>43210</c:v>
                </c:pt>
                <c:pt idx="622">
                  <c:v>43213</c:v>
                </c:pt>
                <c:pt idx="623">
                  <c:v>43214</c:v>
                </c:pt>
                <c:pt idx="624">
                  <c:v>43215</c:v>
                </c:pt>
                <c:pt idx="625">
                  <c:v>43216</c:v>
                </c:pt>
                <c:pt idx="626">
                  <c:v>43217</c:v>
                </c:pt>
                <c:pt idx="627">
                  <c:v>43220</c:v>
                </c:pt>
                <c:pt idx="628">
                  <c:v>43221</c:v>
                </c:pt>
                <c:pt idx="629">
                  <c:v>43222</c:v>
                </c:pt>
                <c:pt idx="630">
                  <c:v>43223</c:v>
                </c:pt>
                <c:pt idx="631">
                  <c:v>43224</c:v>
                </c:pt>
                <c:pt idx="632">
                  <c:v>43227</c:v>
                </c:pt>
                <c:pt idx="633">
                  <c:v>43228</c:v>
                </c:pt>
                <c:pt idx="634">
                  <c:v>43229</c:v>
                </c:pt>
                <c:pt idx="635">
                  <c:v>43230</c:v>
                </c:pt>
                <c:pt idx="636">
                  <c:v>43231</c:v>
                </c:pt>
                <c:pt idx="637">
                  <c:v>43234</c:v>
                </c:pt>
                <c:pt idx="638">
                  <c:v>43235</c:v>
                </c:pt>
                <c:pt idx="639">
                  <c:v>43236</c:v>
                </c:pt>
                <c:pt idx="640">
                  <c:v>43237</c:v>
                </c:pt>
                <c:pt idx="641">
                  <c:v>43238</c:v>
                </c:pt>
                <c:pt idx="642">
                  <c:v>43241</c:v>
                </c:pt>
                <c:pt idx="643">
                  <c:v>43242</c:v>
                </c:pt>
                <c:pt idx="644">
                  <c:v>43243</c:v>
                </c:pt>
                <c:pt idx="645">
                  <c:v>43244</c:v>
                </c:pt>
                <c:pt idx="646">
                  <c:v>43245</c:v>
                </c:pt>
                <c:pt idx="647">
                  <c:v>43249</c:v>
                </c:pt>
                <c:pt idx="648">
                  <c:v>43250</c:v>
                </c:pt>
                <c:pt idx="649">
                  <c:v>43251</c:v>
                </c:pt>
                <c:pt idx="650">
                  <c:v>43252</c:v>
                </c:pt>
                <c:pt idx="651">
                  <c:v>43255</c:v>
                </c:pt>
                <c:pt idx="652">
                  <c:v>43256</c:v>
                </c:pt>
                <c:pt idx="653">
                  <c:v>43257</c:v>
                </c:pt>
                <c:pt idx="654">
                  <c:v>43258</c:v>
                </c:pt>
                <c:pt idx="655">
                  <c:v>43259</c:v>
                </c:pt>
                <c:pt idx="656">
                  <c:v>43262</c:v>
                </c:pt>
                <c:pt idx="657">
                  <c:v>43263</c:v>
                </c:pt>
                <c:pt idx="658">
                  <c:v>43264</c:v>
                </c:pt>
                <c:pt idx="659">
                  <c:v>43265</c:v>
                </c:pt>
                <c:pt idx="660">
                  <c:v>43266</c:v>
                </c:pt>
                <c:pt idx="661">
                  <c:v>43269</c:v>
                </c:pt>
                <c:pt idx="662">
                  <c:v>43270</c:v>
                </c:pt>
                <c:pt idx="663">
                  <c:v>43271</c:v>
                </c:pt>
                <c:pt idx="664">
                  <c:v>43272</c:v>
                </c:pt>
                <c:pt idx="665">
                  <c:v>43273</c:v>
                </c:pt>
                <c:pt idx="666">
                  <c:v>43276</c:v>
                </c:pt>
                <c:pt idx="667">
                  <c:v>43277</c:v>
                </c:pt>
                <c:pt idx="668">
                  <c:v>43278</c:v>
                </c:pt>
                <c:pt idx="669">
                  <c:v>43279</c:v>
                </c:pt>
                <c:pt idx="670">
                  <c:v>43280</c:v>
                </c:pt>
                <c:pt idx="671">
                  <c:v>43283</c:v>
                </c:pt>
                <c:pt idx="672">
                  <c:v>43284</c:v>
                </c:pt>
                <c:pt idx="673">
                  <c:v>43286</c:v>
                </c:pt>
                <c:pt idx="674">
                  <c:v>43287</c:v>
                </c:pt>
                <c:pt idx="675">
                  <c:v>43290</c:v>
                </c:pt>
                <c:pt idx="676">
                  <c:v>43291</c:v>
                </c:pt>
                <c:pt idx="677">
                  <c:v>43292</c:v>
                </c:pt>
                <c:pt idx="678">
                  <c:v>43293</c:v>
                </c:pt>
                <c:pt idx="679">
                  <c:v>43294</c:v>
                </c:pt>
                <c:pt idx="680">
                  <c:v>43297</c:v>
                </c:pt>
                <c:pt idx="681">
                  <c:v>43298</c:v>
                </c:pt>
                <c:pt idx="682">
                  <c:v>43299</c:v>
                </c:pt>
                <c:pt idx="683">
                  <c:v>43300</c:v>
                </c:pt>
                <c:pt idx="684">
                  <c:v>43301</c:v>
                </c:pt>
                <c:pt idx="685">
                  <c:v>43304</c:v>
                </c:pt>
                <c:pt idx="686">
                  <c:v>43305</c:v>
                </c:pt>
                <c:pt idx="687">
                  <c:v>43306</c:v>
                </c:pt>
                <c:pt idx="688">
                  <c:v>43307</c:v>
                </c:pt>
                <c:pt idx="689">
                  <c:v>43308</c:v>
                </c:pt>
                <c:pt idx="690">
                  <c:v>43311</c:v>
                </c:pt>
                <c:pt idx="691">
                  <c:v>43312</c:v>
                </c:pt>
                <c:pt idx="692">
                  <c:v>43313</c:v>
                </c:pt>
                <c:pt idx="693">
                  <c:v>43314</c:v>
                </c:pt>
                <c:pt idx="694">
                  <c:v>43315</c:v>
                </c:pt>
                <c:pt idx="695">
                  <c:v>43318</c:v>
                </c:pt>
                <c:pt idx="696">
                  <c:v>43319</c:v>
                </c:pt>
                <c:pt idx="697">
                  <c:v>43320</c:v>
                </c:pt>
                <c:pt idx="698">
                  <c:v>43321</c:v>
                </c:pt>
                <c:pt idx="699">
                  <c:v>43322</c:v>
                </c:pt>
                <c:pt idx="700">
                  <c:v>43325</c:v>
                </c:pt>
                <c:pt idx="701">
                  <c:v>43326</c:v>
                </c:pt>
                <c:pt idx="702">
                  <c:v>43327</c:v>
                </c:pt>
                <c:pt idx="703">
                  <c:v>43328</c:v>
                </c:pt>
                <c:pt idx="704">
                  <c:v>43329</c:v>
                </c:pt>
                <c:pt idx="705">
                  <c:v>43332</c:v>
                </c:pt>
                <c:pt idx="706">
                  <c:v>43333</c:v>
                </c:pt>
                <c:pt idx="707">
                  <c:v>43334</c:v>
                </c:pt>
                <c:pt idx="708">
                  <c:v>43335</c:v>
                </c:pt>
                <c:pt idx="709">
                  <c:v>43336</c:v>
                </c:pt>
                <c:pt idx="710">
                  <c:v>43339</c:v>
                </c:pt>
                <c:pt idx="711">
                  <c:v>43340</c:v>
                </c:pt>
                <c:pt idx="712">
                  <c:v>43341</c:v>
                </c:pt>
                <c:pt idx="713">
                  <c:v>43342</c:v>
                </c:pt>
                <c:pt idx="714">
                  <c:v>43343</c:v>
                </c:pt>
                <c:pt idx="715">
                  <c:v>43347</c:v>
                </c:pt>
                <c:pt idx="716">
                  <c:v>43348</c:v>
                </c:pt>
                <c:pt idx="717">
                  <c:v>43349</c:v>
                </c:pt>
                <c:pt idx="718">
                  <c:v>43350</c:v>
                </c:pt>
                <c:pt idx="719">
                  <c:v>43353</c:v>
                </c:pt>
                <c:pt idx="720">
                  <c:v>43354</c:v>
                </c:pt>
                <c:pt idx="721">
                  <c:v>43355</c:v>
                </c:pt>
                <c:pt idx="722">
                  <c:v>43356</c:v>
                </c:pt>
                <c:pt idx="723">
                  <c:v>43357</c:v>
                </c:pt>
                <c:pt idx="724">
                  <c:v>43360</c:v>
                </c:pt>
                <c:pt idx="725">
                  <c:v>43361</c:v>
                </c:pt>
                <c:pt idx="726">
                  <c:v>43362</c:v>
                </c:pt>
                <c:pt idx="727">
                  <c:v>43363</c:v>
                </c:pt>
                <c:pt idx="728">
                  <c:v>43364</c:v>
                </c:pt>
                <c:pt idx="729">
                  <c:v>43367</c:v>
                </c:pt>
                <c:pt idx="730">
                  <c:v>43368</c:v>
                </c:pt>
                <c:pt idx="731">
                  <c:v>43369</c:v>
                </c:pt>
                <c:pt idx="732">
                  <c:v>43370</c:v>
                </c:pt>
                <c:pt idx="733">
                  <c:v>43371</c:v>
                </c:pt>
                <c:pt idx="734">
                  <c:v>43374</c:v>
                </c:pt>
                <c:pt idx="735">
                  <c:v>43375</c:v>
                </c:pt>
                <c:pt idx="736">
                  <c:v>43376</c:v>
                </c:pt>
                <c:pt idx="737">
                  <c:v>43377</c:v>
                </c:pt>
                <c:pt idx="738">
                  <c:v>43378</c:v>
                </c:pt>
                <c:pt idx="739">
                  <c:v>43381</c:v>
                </c:pt>
                <c:pt idx="740">
                  <c:v>43382</c:v>
                </c:pt>
                <c:pt idx="741">
                  <c:v>43383</c:v>
                </c:pt>
                <c:pt idx="742">
                  <c:v>43384</c:v>
                </c:pt>
                <c:pt idx="743">
                  <c:v>43385</c:v>
                </c:pt>
                <c:pt idx="744">
                  <c:v>43388</c:v>
                </c:pt>
                <c:pt idx="745">
                  <c:v>43389</c:v>
                </c:pt>
                <c:pt idx="746">
                  <c:v>43390</c:v>
                </c:pt>
                <c:pt idx="747">
                  <c:v>43391</c:v>
                </c:pt>
                <c:pt idx="748">
                  <c:v>43392</c:v>
                </c:pt>
                <c:pt idx="749">
                  <c:v>43395</c:v>
                </c:pt>
                <c:pt idx="750">
                  <c:v>43396</c:v>
                </c:pt>
                <c:pt idx="751">
                  <c:v>43397</c:v>
                </c:pt>
                <c:pt idx="752">
                  <c:v>43398</c:v>
                </c:pt>
                <c:pt idx="753">
                  <c:v>43399</c:v>
                </c:pt>
                <c:pt idx="754">
                  <c:v>43402</c:v>
                </c:pt>
                <c:pt idx="755">
                  <c:v>43403</c:v>
                </c:pt>
                <c:pt idx="756">
                  <c:v>43404</c:v>
                </c:pt>
                <c:pt idx="757">
                  <c:v>43405</c:v>
                </c:pt>
                <c:pt idx="758">
                  <c:v>43406</c:v>
                </c:pt>
                <c:pt idx="759">
                  <c:v>43409</c:v>
                </c:pt>
                <c:pt idx="760">
                  <c:v>43410</c:v>
                </c:pt>
                <c:pt idx="761">
                  <c:v>43411</c:v>
                </c:pt>
                <c:pt idx="762">
                  <c:v>43412</c:v>
                </c:pt>
                <c:pt idx="763">
                  <c:v>43413</c:v>
                </c:pt>
                <c:pt idx="764">
                  <c:v>43416</c:v>
                </c:pt>
                <c:pt idx="765">
                  <c:v>43417</c:v>
                </c:pt>
                <c:pt idx="766">
                  <c:v>43418</c:v>
                </c:pt>
                <c:pt idx="767">
                  <c:v>43419</c:v>
                </c:pt>
                <c:pt idx="768">
                  <c:v>43420</c:v>
                </c:pt>
                <c:pt idx="769">
                  <c:v>43423</c:v>
                </c:pt>
                <c:pt idx="770">
                  <c:v>43424</c:v>
                </c:pt>
                <c:pt idx="771">
                  <c:v>43425</c:v>
                </c:pt>
                <c:pt idx="772">
                  <c:v>43427</c:v>
                </c:pt>
                <c:pt idx="773">
                  <c:v>43430</c:v>
                </c:pt>
                <c:pt idx="774">
                  <c:v>43431</c:v>
                </c:pt>
                <c:pt idx="775">
                  <c:v>43432</c:v>
                </c:pt>
                <c:pt idx="776">
                  <c:v>43433</c:v>
                </c:pt>
                <c:pt idx="777">
                  <c:v>43434</c:v>
                </c:pt>
                <c:pt idx="778">
                  <c:v>43437</c:v>
                </c:pt>
                <c:pt idx="779">
                  <c:v>43438</c:v>
                </c:pt>
                <c:pt idx="780">
                  <c:v>43440</c:v>
                </c:pt>
                <c:pt idx="781">
                  <c:v>43441</c:v>
                </c:pt>
                <c:pt idx="782">
                  <c:v>43444</c:v>
                </c:pt>
                <c:pt idx="783">
                  <c:v>43445</c:v>
                </c:pt>
                <c:pt idx="784">
                  <c:v>43446</c:v>
                </c:pt>
                <c:pt idx="785">
                  <c:v>43447</c:v>
                </c:pt>
                <c:pt idx="786">
                  <c:v>43448</c:v>
                </c:pt>
                <c:pt idx="787">
                  <c:v>43451</c:v>
                </c:pt>
                <c:pt idx="788">
                  <c:v>43452</c:v>
                </c:pt>
                <c:pt idx="789">
                  <c:v>43453</c:v>
                </c:pt>
                <c:pt idx="790">
                  <c:v>43454</c:v>
                </c:pt>
                <c:pt idx="791">
                  <c:v>43455</c:v>
                </c:pt>
                <c:pt idx="792">
                  <c:v>43458</c:v>
                </c:pt>
                <c:pt idx="793">
                  <c:v>43460</c:v>
                </c:pt>
                <c:pt idx="794">
                  <c:v>43461</c:v>
                </c:pt>
                <c:pt idx="795">
                  <c:v>43462</c:v>
                </c:pt>
                <c:pt idx="796">
                  <c:v>43465</c:v>
                </c:pt>
                <c:pt idx="797">
                  <c:v>43466</c:v>
                </c:pt>
                <c:pt idx="798">
                  <c:v>43467</c:v>
                </c:pt>
                <c:pt idx="799">
                  <c:v>43468</c:v>
                </c:pt>
                <c:pt idx="800">
                  <c:v>43469</c:v>
                </c:pt>
                <c:pt idx="801">
                  <c:v>43472</c:v>
                </c:pt>
                <c:pt idx="802">
                  <c:v>43473</c:v>
                </c:pt>
                <c:pt idx="803">
                  <c:v>43474</c:v>
                </c:pt>
                <c:pt idx="804">
                  <c:v>43475</c:v>
                </c:pt>
                <c:pt idx="805">
                  <c:v>43476</c:v>
                </c:pt>
                <c:pt idx="806">
                  <c:v>43479</c:v>
                </c:pt>
                <c:pt idx="807">
                  <c:v>43480</c:v>
                </c:pt>
                <c:pt idx="808">
                  <c:v>43481</c:v>
                </c:pt>
                <c:pt idx="809">
                  <c:v>43482</c:v>
                </c:pt>
                <c:pt idx="810">
                  <c:v>43483</c:v>
                </c:pt>
                <c:pt idx="811">
                  <c:v>43486</c:v>
                </c:pt>
                <c:pt idx="812">
                  <c:v>43487</c:v>
                </c:pt>
                <c:pt idx="813">
                  <c:v>43488</c:v>
                </c:pt>
                <c:pt idx="814">
                  <c:v>43489</c:v>
                </c:pt>
                <c:pt idx="815">
                  <c:v>43490</c:v>
                </c:pt>
                <c:pt idx="816">
                  <c:v>43493</c:v>
                </c:pt>
                <c:pt idx="817">
                  <c:v>43494</c:v>
                </c:pt>
                <c:pt idx="818">
                  <c:v>43495</c:v>
                </c:pt>
                <c:pt idx="819">
                  <c:v>43496</c:v>
                </c:pt>
                <c:pt idx="820">
                  <c:v>43497</c:v>
                </c:pt>
                <c:pt idx="821">
                  <c:v>43500</c:v>
                </c:pt>
                <c:pt idx="822">
                  <c:v>43501</c:v>
                </c:pt>
                <c:pt idx="823">
                  <c:v>43502</c:v>
                </c:pt>
                <c:pt idx="824">
                  <c:v>43503</c:v>
                </c:pt>
                <c:pt idx="825">
                  <c:v>43504</c:v>
                </c:pt>
                <c:pt idx="826">
                  <c:v>43507</c:v>
                </c:pt>
                <c:pt idx="827">
                  <c:v>43508</c:v>
                </c:pt>
                <c:pt idx="828">
                  <c:v>43509</c:v>
                </c:pt>
                <c:pt idx="829">
                  <c:v>43510</c:v>
                </c:pt>
                <c:pt idx="830">
                  <c:v>43511</c:v>
                </c:pt>
                <c:pt idx="831">
                  <c:v>43514</c:v>
                </c:pt>
                <c:pt idx="832">
                  <c:v>43515</c:v>
                </c:pt>
                <c:pt idx="833">
                  <c:v>43516</c:v>
                </c:pt>
                <c:pt idx="834">
                  <c:v>43517</c:v>
                </c:pt>
                <c:pt idx="835">
                  <c:v>43518</c:v>
                </c:pt>
                <c:pt idx="836">
                  <c:v>43521</c:v>
                </c:pt>
                <c:pt idx="837">
                  <c:v>43522</c:v>
                </c:pt>
                <c:pt idx="838">
                  <c:v>43523</c:v>
                </c:pt>
                <c:pt idx="839">
                  <c:v>43524</c:v>
                </c:pt>
                <c:pt idx="840">
                  <c:v>43525</c:v>
                </c:pt>
                <c:pt idx="841">
                  <c:v>43528</c:v>
                </c:pt>
                <c:pt idx="842">
                  <c:v>43529</c:v>
                </c:pt>
                <c:pt idx="843">
                  <c:v>43530</c:v>
                </c:pt>
                <c:pt idx="844">
                  <c:v>43531</c:v>
                </c:pt>
                <c:pt idx="845">
                  <c:v>43532</c:v>
                </c:pt>
                <c:pt idx="846">
                  <c:v>43535</c:v>
                </c:pt>
                <c:pt idx="847">
                  <c:v>43536</c:v>
                </c:pt>
                <c:pt idx="848">
                  <c:v>43537</c:v>
                </c:pt>
                <c:pt idx="849">
                  <c:v>43538</c:v>
                </c:pt>
                <c:pt idx="850">
                  <c:v>43539</c:v>
                </c:pt>
                <c:pt idx="851">
                  <c:v>43542</c:v>
                </c:pt>
                <c:pt idx="852">
                  <c:v>43543</c:v>
                </c:pt>
                <c:pt idx="853">
                  <c:v>43544</c:v>
                </c:pt>
                <c:pt idx="854">
                  <c:v>43545</c:v>
                </c:pt>
                <c:pt idx="855">
                  <c:v>43546</c:v>
                </c:pt>
                <c:pt idx="856">
                  <c:v>43549</c:v>
                </c:pt>
                <c:pt idx="857">
                  <c:v>43550</c:v>
                </c:pt>
                <c:pt idx="858">
                  <c:v>43551</c:v>
                </c:pt>
                <c:pt idx="859">
                  <c:v>43552</c:v>
                </c:pt>
                <c:pt idx="860">
                  <c:v>43553</c:v>
                </c:pt>
                <c:pt idx="861">
                  <c:v>43556</c:v>
                </c:pt>
                <c:pt idx="862">
                  <c:v>43557</c:v>
                </c:pt>
                <c:pt idx="863">
                  <c:v>43558</c:v>
                </c:pt>
                <c:pt idx="864">
                  <c:v>43559</c:v>
                </c:pt>
                <c:pt idx="865">
                  <c:v>43560</c:v>
                </c:pt>
                <c:pt idx="866">
                  <c:v>43563</c:v>
                </c:pt>
                <c:pt idx="867">
                  <c:v>43564</c:v>
                </c:pt>
                <c:pt idx="868">
                  <c:v>43565</c:v>
                </c:pt>
                <c:pt idx="869">
                  <c:v>43566</c:v>
                </c:pt>
                <c:pt idx="870">
                  <c:v>43567</c:v>
                </c:pt>
                <c:pt idx="871">
                  <c:v>43570</c:v>
                </c:pt>
                <c:pt idx="872">
                  <c:v>43571</c:v>
                </c:pt>
                <c:pt idx="873">
                  <c:v>43572</c:v>
                </c:pt>
                <c:pt idx="874">
                  <c:v>43573</c:v>
                </c:pt>
                <c:pt idx="875">
                  <c:v>43574</c:v>
                </c:pt>
                <c:pt idx="876">
                  <c:v>43577</c:v>
                </c:pt>
                <c:pt idx="877">
                  <c:v>43578</c:v>
                </c:pt>
                <c:pt idx="878">
                  <c:v>43579</c:v>
                </c:pt>
                <c:pt idx="879">
                  <c:v>43580</c:v>
                </c:pt>
                <c:pt idx="880">
                  <c:v>43581</c:v>
                </c:pt>
                <c:pt idx="881">
                  <c:v>43584</c:v>
                </c:pt>
                <c:pt idx="882">
                  <c:v>43585</c:v>
                </c:pt>
                <c:pt idx="883">
                  <c:v>43586</c:v>
                </c:pt>
                <c:pt idx="884">
                  <c:v>43587</c:v>
                </c:pt>
                <c:pt idx="885">
                  <c:v>43588</c:v>
                </c:pt>
                <c:pt idx="886">
                  <c:v>43591</c:v>
                </c:pt>
                <c:pt idx="887">
                  <c:v>43592</c:v>
                </c:pt>
                <c:pt idx="888">
                  <c:v>43593</c:v>
                </c:pt>
                <c:pt idx="889">
                  <c:v>43594</c:v>
                </c:pt>
                <c:pt idx="890">
                  <c:v>43595</c:v>
                </c:pt>
                <c:pt idx="891">
                  <c:v>43598</c:v>
                </c:pt>
                <c:pt idx="892">
                  <c:v>43599</c:v>
                </c:pt>
                <c:pt idx="893">
                  <c:v>43600</c:v>
                </c:pt>
                <c:pt idx="894">
                  <c:v>43601</c:v>
                </c:pt>
                <c:pt idx="895">
                  <c:v>43602</c:v>
                </c:pt>
                <c:pt idx="896">
                  <c:v>43605</c:v>
                </c:pt>
                <c:pt idx="897">
                  <c:v>43606</c:v>
                </c:pt>
                <c:pt idx="898">
                  <c:v>43607</c:v>
                </c:pt>
                <c:pt idx="899">
                  <c:v>43608</c:v>
                </c:pt>
                <c:pt idx="900">
                  <c:v>43609</c:v>
                </c:pt>
                <c:pt idx="901">
                  <c:v>43612</c:v>
                </c:pt>
                <c:pt idx="902">
                  <c:v>43613</c:v>
                </c:pt>
                <c:pt idx="903">
                  <c:v>43614</c:v>
                </c:pt>
                <c:pt idx="904">
                  <c:v>43615</c:v>
                </c:pt>
                <c:pt idx="905">
                  <c:v>43616</c:v>
                </c:pt>
                <c:pt idx="906">
                  <c:v>43619</c:v>
                </c:pt>
                <c:pt idx="907">
                  <c:v>43620</c:v>
                </c:pt>
                <c:pt idx="908">
                  <c:v>43621</c:v>
                </c:pt>
                <c:pt idx="909">
                  <c:v>43622</c:v>
                </c:pt>
                <c:pt idx="910">
                  <c:v>43623</c:v>
                </c:pt>
                <c:pt idx="911">
                  <c:v>43626</c:v>
                </c:pt>
                <c:pt idx="912">
                  <c:v>43627</c:v>
                </c:pt>
                <c:pt idx="913">
                  <c:v>43628</c:v>
                </c:pt>
                <c:pt idx="914">
                  <c:v>43629</c:v>
                </c:pt>
                <c:pt idx="915">
                  <c:v>43630</c:v>
                </c:pt>
                <c:pt idx="916">
                  <c:v>43633</c:v>
                </c:pt>
                <c:pt idx="917">
                  <c:v>43634</c:v>
                </c:pt>
                <c:pt idx="918">
                  <c:v>43635</c:v>
                </c:pt>
                <c:pt idx="919">
                  <c:v>43636</c:v>
                </c:pt>
                <c:pt idx="920">
                  <c:v>43637</c:v>
                </c:pt>
                <c:pt idx="921">
                  <c:v>43640</c:v>
                </c:pt>
                <c:pt idx="922">
                  <c:v>43641</c:v>
                </c:pt>
                <c:pt idx="923">
                  <c:v>43642</c:v>
                </c:pt>
                <c:pt idx="924">
                  <c:v>43643</c:v>
                </c:pt>
                <c:pt idx="925">
                  <c:v>43644</c:v>
                </c:pt>
                <c:pt idx="926">
                  <c:v>43647</c:v>
                </c:pt>
                <c:pt idx="927">
                  <c:v>43648</c:v>
                </c:pt>
                <c:pt idx="928">
                  <c:v>43649</c:v>
                </c:pt>
                <c:pt idx="929">
                  <c:v>43650</c:v>
                </c:pt>
                <c:pt idx="930">
                  <c:v>43651</c:v>
                </c:pt>
                <c:pt idx="931">
                  <c:v>43654</c:v>
                </c:pt>
                <c:pt idx="932">
                  <c:v>43655</c:v>
                </c:pt>
                <c:pt idx="933">
                  <c:v>43656</c:v>
                </c:pt>
                <c:pt idx="934">
                  <c:v>43657</c:v>
                </c:pt>
                <c:pt idx="935">
                  <c:v>43658</c:v>
                </c:pt>
                <c:pt idx="936">
                  <c:v>43661</c:v>
                </c:pt>
                <c:pt idx="937">
                  <c:v>43662</c:v>
                </c:pt>
                <c:pt idx="938">
                  <c:v>43663</c:v>
                </c:pt>
                <c:pt idx="939">
                  <c:v>43664</c:v>
                </c:pt>
                <c:pt idx="940">
                  <c:v>43665</c:v>
                </c:pt>
                <c:pt idx="941">
                  <c:v>43668</c:v>
                </c:pt>
                <c:pt idx="942">
                  <c:v>43669</c:v>
                </c:pt>
                <c:pt idx="943">
                  <c:v>43670</c:v>
                </c:pt>
                <c:pt idx="944">
                  <c:v>43671</c:v>
                </c:pt>
                <c:pt idx="945">
                  <c:v>43672</c:v>
                </c:pt>
                <c:pt idx="946">
                  <c:v>43675</c:v>
                </c:pt>
                <c:pt idx="947">
                  <c:v>43676</c:v>
                </c:pt>
                <c:pt idx="948">
                  <c:v>43677</c:v>
                </c:pt>
                <c:pt idx="949">
                  <c:v>43678</c:v>
                </c:pt>
                <c:pt idx="950">
                  <c:v>43679</c:v>
                </c:pt>
                <c:pt idx="951">
                  <c:v>43682</c:v>
                </c:pt>
                <c:pt idx="952">
                  <c:v>43683</c:v>
                </c:pt>
                <c:pt idx="953">
                  <c:v>43684</c:v>
                </c:pt>
                <c:pt idx="954">
                  <c:v>43685</c:v>
                </c:pt>
                <c:pt idx="955">
                  <c:v>43686</c:v>
                </c:pt>
                <c:pt idx="956">
                  <c:v>43689</c:v>
                </c:pt>
                <c:pt idx="957">
                  <c:v>43690</c:v>
                </c:pt>
                <c:pt idx="958">
                  <c:v>43691</c:v>
                </c:pt>
                <c:pt idx="959">
                  <c:v>43692</c:v>
                </c:pt>
                <c:pt idx="960">
                  <c:v>43693</c:v>
                </c:pt>
                <c:pt idx="961">
                  <c:v>43696</c:v>
                </c:pt>
                <c:pt idx="962">
                  <c:v>43697</c:v>
                </c:pt>
                <c:pt idx="963">
                  <c:v>43698</c:v>
                </c:pt>
                <c:pt idx="964">
                  <c:v>43699</c:v>
                </c:pt>
                <c:pt idx="965">
                  <c:v>43700</c:v>
                </c:pt>
                <c:pt idx="966">
                  <c:v>43703</c:v>
                </c:pt>
                <c:pt idx="967">
                  <c:v>43704</c:v>
                </c:pt>
                <c:pt idx="968">
                  <c:v>43705</c:v>
                </c:pt>
                <c:pt idx="969">
                  <c:v>43706</c:v>
                </c:pt>
                <c:pt idx="970">
                  <c:v>43707</c:v>
                </c:pt>
                <c:pt idx="971">
                  <c:v>43710</c:v>
                </c:pt>
                <c:pt idx="972">
                  <c:v>43711</c:v>
                </c:pt>
                <c:pt idx="973">
                  <c:v>43712</c:v>
                </c:pt>
                <c:pt idx="974">
                  <c:v>43713</c:v>
                </c:pt>
                <c:pt idx="975">
                  <c:v>43714</c:v>
                </c:pt>
                <c:pt idx="976">
                  <c:v>43717</c:v>
                </c:pt>
                <c:pt idx="977">
                  <c:v>43718</c:v>
                </c:pt>
                <c:pt idx="978">
                  <c:v>43719</c:v>
                </c:pt>
                <c:pt idx="979">
                  <c:v>43720</c:v>
                </c:pt>
                <c:pt idx="980">
                  <c:v>43721</c:v>
                </c:pt>
                <c:pt idx="981">
                  <c:v>43724</c:v>
                </c:pt>
                <c:pt idx="982">
                  <c:v>43725</c:v>
                </c:pt>
                <c:pt idx="983">
                  <c:v>43726</c:v>
                </c:pt>
                <c:pt idx="984">
                  <c:v>43727</c:v>
                </c:pt>
                <c:pt idx="985">
                  <c:v>43728</c:v>
                </c:pt>
                <c:pt idx="986">
                  <c:v>43731</c:v>
                </c:pt>
                <c:pt idx="987">
                  <c:v>43732</c:v>
                </c:pt>
                <c:pt idx="988">
                  <c:v>43733</c:v>
                </c:pt>
                <c:pt idx="989">
                  <c:v>43734</c:v>
                </c:pt>
                <c:pt idx="990">
                  <c:v>43735</c:v>
                </c:pt>
                <c:pt idx="991">
                  <c:v>43738</c:v>
                </c:pt>
                <c:pt idx="992">
                  <c:v>43739</c:v>
                </c:pt>
                <c:pt idx="993">
                  <c:v>43740</c:v>
                </c:pt>
                <c:pt idx="994">
                  <c:v>43741</c:v>
                </c:pt>
                <c:pt idx="995">
                  <c:v>43742</c:v>
                </c:pt>
                <c:pt idx="996">
                  <c:v>43745</c:v>
                </c:pt>
                <c:pt idx="997">
                  <c:v>43746</c:v>
                </c:pt>
                <c:pt idx="998">
                  <c:v>43747</c:v>
                </c:pt>
                <c:pt idx="999">
                  <c:v>43748</c:v>
                </c:pt>
                <c:pt idx="1000">
                  <c:v>43749</c:v>
                </c:pt>
                <c:pt idx="1001">
                  <c:v>43752</c:v>
                </c:pt>
                <c:pt idx="1002">
                  <c:v>43753</c:v>
                </c:pt>
                <c:pt idx="1003">
                  <c:v>43754</c:v>
                </c:pt>
                <c:pt idx="1004">
                  <c:v>43755</c:v>
                </c:pt>
                <c:pt idx="1005">
                  <c:v>43756</c:v>
                </c:pt>
                <c:pt idx="1006">
                  <c:v>43759</c:v>
                </c:pt>
                <c:pt idx="1007">
                  <c:v>43760</c:v>
                </c:pt>
                <c:pt idx="1008">
                  <c:v>43761</c:v>
                </c:pt>
                <c:pt idx="1009">
                  <c:v>43762</c:v>
                </c:pt>
                <c:pt idx="1010">
                  <c:v>43763</c:v>
                </c:pt>
                <c:pt idx="1011">
                  <c:v>43766</c:v>
                </c:pt>
                <c:pt idx="1012">
                  <c:v>43767</c:v>
                </c:pt>
                <c:pt idx="1013">
                  <c:v>43768</c:v>
                </c:pt>
                <c:pt idx="1014">
                  <c:v>43769</c:v>
                </c:pt>
                <c:pt idx="1015">
                  <c:v>43770</c:v>
                </c:pt>
                <c:pt idx="1016">
                  <c:v>43773</c:v>
                </c:pt>
                <c:pt idx="1017">
                  <c:v>43774</c:v>
                </c:pt>
                <c:pt idx="1018">
                  <c:v>43775</c:v>
                </c:pt>
                <c:pt idx="1019">
                  <c:v>43776</c:v>
                </c:pt>
                <c:pt idx="1020">
                  <c:v>43777</c:v>
                </c:pt>
                <c:pt idx="1021">
                  <c:v>43780</c:v>
                </c:pt>
                <c:pt idx="1022">
                  <c:v>43781</c:v>
                </c:pt>
                <c:pt idx="1023">
                  <c:v>43782</c:v>
                </c:pt>
                <c:pt idx="1024">
                  <c:v>43783</c:v>
                </c:pt>
                <c:pt idx="1025">
                  <c:v>43784</c:v>
                </c:pt>
                <c:pt idx="1026">
                  <c:v>43787</c:v>
                </c:pt>
                <c:pt idx="1027">
                  <c:v>43788</c:v>
                </c:pt>
                <c:pt idx="1028">
                  <c:v>43789</c:v>
                </c:pt>
                <c:pt idx="1029">
                  <c:v>43790</c:v>
                </c:pt>
                <c:pt idx="1030">
                  <c:v>43791</c:v>
                </c:pt>
                <c:pt idx="1031">
                  <c:v>43794</c:v>
                </c:pt>
                <c:pt idx="1032">
                  <c:v>43795</c:v>
                </c:pt>
                <c:pt idx="1033">
                  <c:v>43796</c:v>
                </c:pt>
                <c:pt idx="1034">
                  <c:v>43797</c:v>
                </c:pt>
                <c:pt idx="1035">
                  <c:v>43798</c:v>
                </c:pt>
                <c:pt idx="1036">
                  <c:v>43801</c:v>
                </c:pt>
                <c:pt idx="1037">
                  <c:v>43802</c:v>
                </c:pt>
                <c:pt idx="1038">
                  <c:v>43803</c:v>
                </c:pt>
                <c:pt idx="1039">
                  <c:v>43804</c:v>
                </c:pt>
                <c:pt idx="1040">
                  <c:v>43805</c:v>
                </c:pt>
                <c:pt idx="1041">
                  <c:v>43808</c:v>
                </c:pt>
                <c:pt idx="1042">
                  <c:v>43809</c:v>
                </c:pt>
                <c:pt idx="1043">
                  <c:v>43810</c:v>
                </c:pt>
                <c:pt idx="1044">
                  <c:v>43811</c:v>
                </c:pt>
                <c:pt idx="1045">
                  <c:v>43812</c:v>
                </c:pt>
                <c:pt idx="1046">
                  <c:v>43815</c:v>
                </c:pt>
                <c:pt idx="1047">
                  <c:v>43816</c:v>
                </c:pt>
                <c:pt idx="1048">
                  <c:v>43817</c:v>
                </c:pt>
                <c:pt idx="1049">
                  <c:v>43818</c:v>
                </c:pt>
                <c:pt idx="1050">
                  <c:v>43819</c:v>
                </c:pt>
                <c:pt idx="1051">
                  <c:v>43822</c:v>
                </c:pt>
                <c:pt idx="1052">
                  <c:v>43823</c:v>
                </c:pt>
                <c:pt idx="1053">
                  <c:v>43824</c:v>
                </c:pt>
                <c:pt idx="1054">
                  <c:v>43825</c:v>
                </c:pt>
                <c:pt idx="1055">
                  <c:v>43826</c:v>
                </c:pt>
                <c:pt idx="1056">
                  <c:v>43829</c:v>
                </c:pt>
                <c:pt idx="1057">
                  <c:v>43830</c:v>
                </c:pt>
                <c:pt idx="1058">
                  <c:v>43832</c:v>
                </c:pt>
                <c:pt idx="1059">
                  <c:v>43833</c:v>
                </c:pt>
                <c:pt idx="1060">
                  <c:v>43836</c:v>
                </c:pt>
                <c:pt idx="1061">
                  <c:v>43837</c:v>
                </c:pt>
                <c:pt idx="1062">
                  <c:v>43838</c:v>
                </c:pt>
                <c:pt idx="1063">
                  <c:v>43839</c:v>
                </c:pt>
                <c:pt idx="1064">
                  <c:v>43840</c:v>
                </c:pt>
                <c:pt idx="1065">
                  <c:v>43843</c:v>
                </c:pt>
                <c:pt idx="1066">
                  <c:v>43844</c:v>
                </c:pt>
                <c:pt idx="1067">
                  <c:v>43845</c:v>
                </c:pt>
                <c:pt idx="1068">
                  <c:v>43846</c:v>
                </c:pt>
                <c:pt idx="1069">
                  <c:v>43847</c:v>
                </c:pt>
                <c:pt idx="1070">
                  <c:v>43851</c:v>
                </c:pt>
                <c:pt idx="1071">
                  <c:v>43852</c:v>
                </c:pt>
                <c:pt idx="1072">
                  <c:v>43853</c:v>
                </c:pt>
                <c:pt idx="1073">
                  <c:v>43854</c:v>
                </c:pt>
                <c:pt idx="1074">
                  <c:v>43857</c:v>
                </c:pt>
                <c:pt idx="1075">
                  <c:v>43858</c:v>
                </c:pt>
                <c:pt idx="1076">
                  <c:v>43859</c:v>
                </c:pt>
                <c:pt idx="1077">
                  <c:v>43860</c:v>
                </c:pt>
                <c:pt idx="1078">
                  <c:v>43861</c:v>
                </c:pt>
                <c:pt idx="1079">
                  <c:v>43864</c:v>
                </c:pt>
                <c:pt idx="1080">
                  <c:v>43865</c:v>
                </c:pt>
                <c:pt idx="1081">
                  <c:v>43866</c:v>
                </c:pt>
                <c:pt idx="1082">
                  <c:v>43867</c:v>
                </c:pt>
                <c:pt idx="1083">
                  <c:v>43868</c:v>
                </c:pt>
                <c:pt idx="1084">
                  <c:v>43871</c:v>
                </c:pt>
                <c:pt idx="1085">
                  <c:v>43872</c:v>
                </c:pt>
                <c:pt idx="1086">
                  <c:v>43873</c:v>
                </c:pt>
                <c:pt idx="1087">
                  <c:v>43874</c:v>
                </c:pt>
                <c:pt idx="1088">
                  <c:v>43875</c:v>
                </c:pt>
                <c:pt idx="1089">
                  <c:v>43879</c:v>
                </c:pt>
                <c:pt idx="1090">
                  <c:v>43880</c:v>
                </c:pt>
                <c:pt idx="1091">
                  <c:v>43881</c:v>
                </c:pt>
                <c:pt idx="1092">
                  <c:v>43882</c:v>
                </c:pt>
                <c:pt idx="1093">
                  <c:v>43885</c:v>
                </c:pt>
                <c:pt idx="1094">
                  <c:v>43886</c:v>
                </c:pt>
                <c:pt idx="1095">
                  <c:v>43887</c:v>
                </c:pt>
                <c:pt idx="1096">
                  <c:v>43888</c:v>
                </c:pt>
                <c:pt idx="1097">
                  <c:v>43889</c:v>
                </c:pt>
                <c:pt idx="1098">
                  <c:v>43892</c:v>
                </c:pt>
                <c:pt idx="1099">
                  <c:v>43893</c:v>
                </c:pt>
                <c:pt idx="1100">
                  <c:v>43894</c:v>
                </c:pt>
                <c:pt idx="1101">
                  <c:v>43895</c:v>
                </c:pt>
                <c:pt idx="1102">
                  <c:v>43896</c:v>
                </c:pt>
                <c:pt idx="1103">
                  <c:v>43899</c:v>
                </c:pt>
                <c:pt idx="1104">
                  <c:v>43900</c:v>
                </c:pt>
                <c:pt idx="1105">
                  <c:v>43901</c:v>
                </c:pt>
                <c:pt idx="1106">
                  <c:v>43902</c:v>
                </c:pt>
                <c:pt idx="1107">
                  <c:v>43903</c:v>
                </c:pt>
                <c:pt idx="1108">
                  <c:v>43906</c:v>
                </c:pt>
                <c:pt idx="1109">
                  <c:v>43907</c:v>
                </c:pt>
                <c:pt idx="1110">
                  <c:v>43908</c:v>
                </c:pt>
                <c:pt idx="1111">
                  <c:v>43909</c:v>
                </c:pt>
                <c:pt idx="1112">
                  <c:v>43910</c:v>
                </c:pt>
                <c:pt idx="1113">
                  <c:v>43913</c:v>
                </c:pt>
                <c:pt idx="1114">
                  <c:v>43914</c:v>
                </c:pt>
                <c:pt idx="1115">
                  <c:v>43915</c:v>
                </c:pt>
                <c:pt idx="1116">
                  <c:v>43916</c:v>
                </c:pt>
                <c:pt idx="1117">
                  <c:v>43917</c:v>
                </c:pt>
                <c:pt idx="1118">
                  <c:v>43920</c:v>
                </c:pt>
                <c:pt idx="1119">
                  <c:v>43921</c:v>
                </c:pt>
                <c:pt idx="1120">
                  <c:v>43922</c:v>
                </c:pt>
                <c:pt idx="1121">
                  <c:v>43923</c:v>
                </c:pt>
                <c:pt idx="1122">
                  <c:v>43924</c:v>
                </c:pt>
                <c:pt idx="1123">
                  <c:v>43927</c:v>
                </c:pt>
                <c:pt idx="1124">
                  <c:v>43928</c:v>
                </c:pt>
                <c:pt idx="1125">
                  <c:v>43929</c:v>
                </c:pt>
                <c:pt idx="1126">
                  <c:v>43930</c:v>
                </c:pt>
                <c:pt idx="1127">
                  <c:v>43934</c:v>
                </c:pt>
                <c:pt idx="1128">
                  <c:v>43935</c:v>
                </c:pt>
                <c:pt idx="1129">
                  <c:v>43936</c:v>
                </c:pt>
                <c:pt idx="1130">
                  <c:v>43937</c:v>
                </c:pt>
                <c:pt idx="1131">
                  <c:v>43938</c:v>
                </c:pt>
                <c:pt idx="1132">
                  <c:v>43941</c:v>
                </c:pt>
                <c:pt idx="1133">
                  <c:v>43942</c:v>
                </c:pt>
                <c:pt idx="1134">
                  <c:v>43943</c:v>
                </c:pt>
                <c:pt idx="1135">
                  <c:v>43944</c:v>
                </c:pt>
                <c:pt idx="1136">
                  <c:v>43945</c:v>
                </c:pt>
                <c:pt idx="1137">
                  <c:v>43948</c:v>
                </c:pt>
                <c:pt idx="1138">
                  <c:v>43949</c:v>
                </c:pt>
                <c:pt idx="1139">
                  <c:v>43950</c:v>
                </c:pt>
                <c:pt idx="1140">
                  <c:v>43951</c:v>
                </c:pt>
                <c:pt idx="1141">
                  <c:v>43952</c:v>
                </c:pt>
                <c:pt idx="1142">
                  <c:v>43955</c:v>
                </c:pt>
                <c:pt idx="1143">
                  <c:v>43956</c:v>
                </c:pt>
                <c:pt idx="1144">
                  <c:v>43957</c:v>
                </c:pt>
                <c:pt idx="1145">
                  <c:v>43958</c:v>
                </c:pt>
                <c:pt idx="1146">
                  <c:v>43959</c:v>
                </c:pt>
                <c:pt idx="1147">
                  <c:v>43962</c:v>
                </c:pt>
                <c:pt idx="1148">
                  <c:v>43963</c:v>
                </c:pt>
                <c:pt idx="1149">
                  <c:v>43964</c:v>
                </c:pt>
                <c:pt idx="1150">
                  <c:v>43965</c:v>
                </c:pt>
                <c:pt idx="1151">
                  <c:v>43966</c:v>
                </c:pt>
                <c:pt idx="1152">
                  <c:v>43969</c:v>
                </c:pt>
                <c:pt idx="1153">
                  <c:v>43970</c:v>
                </c:pt>
                <c:pt idx="1154">
                  <c:v>43971</c:v>
                </c:pt>
                <c:pt idx="1155">
                  <c:v>43972</c:v>
                </c:pt>
                <c:pt idx="1156">
                  <c:v>43973</c:v>
                </c:pt>
                <c:pt idx="1157">
                  <c:v>43977</c:v>
                </c:pt>
                <c:pt idx="1158">
                  <c:v>43978</c:v>
                </c:pt>
                <c:pt idx="1159">
                  <c:v>43979</c:v>
                </c:pt>
                <c:pt idx="1160">
                  <c:v>43980</c:v>
                </c:pt>
                <c:pt idx="1161">
                  <c:v>43983</c:v>
                </c:pt>
                <c:pt idx="1162">
                  <c:v>43984</c:v>
                </c:pt>
                <c:pt idx="1163">
                  <c:v>43985</c:v>
                </c:pt>
                <c:pt idx="1164">
                  <c:v>43986</c:v>
                </c:pt>
                <c:pt idx="1165">
                  <c:v>43987</c:v>
                </c:pt>
                <c:pt idx="1166">
                  <c:v>43990</c:v>
                </c:pt>
                <c:pt idx="1167">
                  <c:v>43991</c:v>
                </c:pt>
                <c:pt idx="1168">
                  <c:v>43992</c:v>
                </c:pt>
                <c:pt idx="1169">
                  <c:v>43993</c:v>
                </c:pt>
                <c:pt idx="1170">
                  <c:v>43994</c:v>
                </c:pt>
                <c:pt idx="1171">
                  <c:v>43997</c:v>
                </c:pt>
                <c:pt idx="1172">
                  <c:v>43998</c:v>
                </c:pt>
                <c:pt idx="1173">
                  <c:v>43999</c:v>
                </c:pt>
                <c:pt idx="1174">
                  <c:v>44000</c:v>
                </c:pt>
                <c:pt idx="1175">
                  <c:v>44001</c:v>
                </c:pt>
                <c:pt idx="1176">
                  <c:v>44004</c:v>
                </c:pt>
                <c:pt idx="1177">
                  <c:v>44005</c:v>
                </c:pt>
                <c:pt idx="1178">
                  <c:v>44006</c:v>
                </c:pt>
                <c:pt idx="1179">
                  <c:v>44007</c:v>
                </c:pt>
                <c:pt idx="1180">
                  <c:v>44008</c:v>
                </c:pt>
                <c:pt idx="1181">
                  <c:v>44011</c:v>
                </c:pt>
                <c:pt idx="1182">
                  <c:v>44012</c:v>
                </c:pt>
                <c:pt idx="1183">
                  <c:v>44013</c:v>
                </c:pt>
                <c:pt idx="1184">
                  <c:v>44014</c:v>
                </c:pt>
                <c:pt idx="1185">
                  <c:v>44018</c:v>
                </c:pt>
                <c:pt idx="1186">
                  <c:v>44019</c:v>
                </c:pt>
                <c:pt idx="1187">
                  <c:v>44020</c:v>
                </c:pt>
                <c:pt idx="1188">
                  <c:v>44021</c:v>
                </c:pt>
                <c:pt idx="1189">
                  <c:v>44022</c:v>
                </c:pt>
                <c:pt idx="1190">
                  <c:v>44025</c:v>
                </c:pt>
                <c:pt idx="1191">
                  <c:v>44026</c:v>
                </c:pt>
                <c:pt idx="1192">
                  <c:v>44027</c:v>
                </c:pt>
                <c:pt idx="1193">
                  <c:v>44028</c:v>
                </c:pt>
                <c:pt idx="1194">
                  <c:v>44029</c:v>
                </c:pt>
                <c:pt idx="1195">
                  <c:v>44032</c:v>
                </c:pt>
                <c:pt idx="1196">
                  <c:v>44033</c:v>
                </c:pt>
                <c:pt idx="1197">
                  <c:v>44034</c:v>
                </c:pt>
                <c:pt idx="1198">
                  <c:v>44035</c:v>
                </c:pt>
                <c:pt idx="1199">
                  <c:v>44036</c:v>
                </c:pt>
                <c:pt idx="1200">
                  <c:v>44039</c:v>
                </c:pt>
                <c:pt idx="1201">
                  <c:v>44040</c:v>
                </c:pt>
                <c:pt idx="1202">
                  <c:v>44041</c:v>
                </c:pt>
                <c:pt idx="1203">
                  <c:v>44042</c:v>
                </c:pt>
                <c:pt idx="1204">
                  <c:v>44043</c:v>
                </c:pt>
                <c:pt idx="1205">
                  <c:v>44046</c:v>
                </c:pt>
                <c:pt idx="1206">
                  <c:v>44047</c:v>
                </c:pt>
                <c:pt idx="1207">
                  <c:v>44048</c:v>
                </c:pt>
                <c:pt idx="1208">
                  <c:v>44049</c:v>
                </c:pt>
                <c:pt idx="1209">
                  <c:v>44050</c:v>
                </c:pt>
                <c:pt idx="1210">
                  <c:v>44053</c:v>
                </c:pt>
                <c:pt idx="1211">
                  <c:v>44054</c:v>
                </c:pt>
                <c:pt idx="1212">
                  <c:v>44055</c:v>
                </c:pt>
                <c:pt idx="1213">
                  <c:v>44056</c:v>
                </c:pt>
                <c:pt idx="1214">
                  <c:v>44057</c:v>
                </c:pt>
                <c:pt idx="1215">
                  <c:v>44060</c:v>
                </c:pt>
                <c:pt idx="1216">
                  <c:v>44061</c:v>
                </c:pt>
                <c:pt idx="1217">
                  <c:v>44062</c:v>
                </c:pt>
                <c:pt idx="1218">
                  <c:v>44063</c:v>
                </c:pt>
                <c:pt idx="1219">
                  <c:v>44064</c:v>
                </c:pt>
                <c:pt idx="1220">
                  <c:v>44067</c:v>
                </c:pt>
                <c:pt idx="1221">
                  <c:v>44068</c:v>
                </c:pt>
                <c:pt idx="1222">
                  <c:v>44069</c:v>
                </c:pt>
                <c:pt idx="1223">
                  <c:v>44070</c:v>
                </c:pt>
                <c:pt idx="1224">
                  <c:v>44071</c:v>
                </c:pt>
                <c:pt idx="1225">
                  <c:v>44074</c:v>
                </c:pt>
                <c:pt idx="1226">
                  <c:v>44075</c:v>
                </c:pt>
                <c:pt idx="1227">
                  <c:v>44076</c:v>
                </c:pt>
                <c:pt idx="1228">
                  <c:v>44077</c:v>
                </c:pt>
                <c:pt idx="1229">
                  <c:v>44078</c:v>
                </c:pt>
                <c:pt idx="1230">
                  <c:v>44082</c:v>
                </c:pt>
                <c:pt idx="1231">
                  <c:v>44083</c:v>
                </c:pt>
                <c:pt idx="1232">
                  <c:v>44084</c:v>
                </c:pt>
                <c:pt idx="1233">
                  <c:v>44085</c:v>
                </c:pt>
                <c:pt idx="1234">
                  <c:v>44088</c:v>
                </c:pt>
                <c:pt idx="1235">
                  <c:v>44089</c:v>
                </c:pt>
                <c:pt idx="1236">
                  <c:v>44090</c:v>
                </c:pt>
                <c:pt idx="1237">
                  <c:v>44091</c:v>
                </c:pt>
                <c:pt idx="1238">
                  <c:v>44092</c:v>
                </c:pt>
                <c:pt idx="1239">
                  <c:v>44095</c:v>
                </c:pt>
                <c:pt idx="1240">
                  <c:v>44096</c:v>
                </c:pt>
                <c:pt idx="1241">
                  <c:v>44097</c:v>
                </c:pt>
                <c:pt idx="1242">
                  <c:v>44098</c:v>
                </c:pt>
                <c:pt idx="1243">
                  <c:v>44099</c:v>
                </c:pt>
                <c:pt idx="1244">
                  <c:v>44102</c:v>
                </c:pt>
                <c:pt idx="1245">
                  <c:v>44103</c:v>
                </c:pt>
                <c:pt idx="1246">
                  <c:v>44104</c:v>
                </c:pt>
                <c:pt idx="1247">
                  <c:v>44105</c:v>
                </c:pt>
                <c:pt idx="1248">
                  <c:v>44106</c:v>
                </c:pt>
                <c:pt idx="1249">
                  <c:v>44109</c:v>
                </c:pt>
                <c:pt idx="1250">
                  <c:v>44110</c:v>
                </c:pt>
                <c:pt idx="1251">
                  <c:v>44111</c:v>
                </c:pt>
                <c:pt idx="1252">
                  <c:v>44112</c:v>
                </c:pt>
                <c:pt idx="1253">
                  <c:v>44113</c:v>
                </c:pt>
                <c:pt idx="1254">
                  <c:v>44116</c:v>
                </c:pt>
                <c:pt idx="1255">
                  <c:v>44117</c:v>
                </c:pt>
                <c:pt idx="1256">
                  <c:v>44118</c:v>
                </c:pt>
                <c:pt idx="1257">
                  <c:v>44119</c:v>
                </c:pt>
                <c:pt idx="1258">
                  <c:v>44120</c:v>
                </c:pt>
                <c:pt idx="1259">
                  <c:v>44123</c:v>
                </c:pt>
                <c:pt idx="1260">
                  <c:v>44124</c:v>
                </c:pt>
                <c:pt idx="1261">
                  <c:v>44125</c:v>
                </c:pt>
                <c:pt idx="1262">
                  <c:v>44126</c:v>
                </c:pt>
                <c:pt idx="1263">
                  <c:v>44127</c:v>
                </c:pt>
                <c:pt idx="1264">
                  <c:v>44130</c:v>
                </c:pt>
                <c:pt idx="1265">
                  <c:v>44131</c:v>
                </c:pt>
                <c:pt idx="1266">
                  <c:v>44132</c:v>
                </c:pt>
                <c:pt idx="1267">
                  <c:v>44133</c:v>
                </c:pt>
                <c:pt idx="1268">
                  <c:v>44134</c:v>
                </c:pt>
                <c:pt idx="1269">
                  <c:v>44137</c:v>
                </c:pt>
                <c:pt idx="1270">
                  <c:v>44138</c:v>
                </c:pt>
                <c:pt idx="1271">
                  <c:v>44139</c:v>
                </c:pt>
                <c:pt idx="1272">
                  <c:v>44140</c:v>
                </c:pt>
                <c:pt idx="1273">
                  <c:v>44141</c:v>
                </c:pt>
                <c:pt idx="1274">
                  <c:v>44144</c:v>
                </c:pt>
                <c:pt idx="1275">
                  <c:v>44145</c:v>
                </c:pt>
                <c:pt idx="1276">
                  <c:v>44146</c:v>
                </c:pt>
                <c:pt idx="1277">
                  <c:v>44147</c:v>
                </c:pt>
                <c:pt idx="1278">
                  <c:v>44148</c:v>
                </c:pt>
                <c:pt idx="1279">
                  <c:v>44151</c:v>
                </c:pt>
                <c:pt idx="1280">
                  <c:v>44152</c:v>
                </c:pt>
                <c:pt idx="1281">
                  <c:v>44153</c:v>
                </c:pt>
                <c:pt idx="1282">
                  <c:v>44154</c:v>
                </c:pt>
                <c:pt idx="1283">
                  <c:v>44155</c:v>
                </c:pt>
                <c:pt idx="1284">
                  <c:v>44158</c:v>
                </c:pt>
                <c:pt idx="1285">
                  <c:v>44159</c:v>
                </c:pt>
                <c:pt idx="1286">
                  <c:v>44160</c:v>
                </c:pt>
                <c:pt idx="1287">
                  <c:v>44162</c:v>
                </c:pt>
                <c:pt idx="1288">
                  <c:v>44165</c:v>
                </c:pt>
                <c:pt idx="1289">
                  <c:v>44166</c:v>
                </c:pt>
                <c:pt idx="1290">
                  <c:v>44167</c:v>
                </c:pt>
                <c:pt idx="1291">
                  <c:v>44168</c:v>
                </c:pt>
                <c:pt idx="1292">
                  <c:v>44169</c:v>
                </c:pt>
                <c:pt idx="1293">
                  <c:v>44172</c:v>
                </c:pt>
                <c:pt idx="1294">
                  <c:v>44173</c:v>
                </c:pt>
                <c:pt idx="1295">
                  <c:v>44174</c:v>
                </c:pt>
                <c:pt idx="1296">
                  <c:v>44175</c:v>
                </c:pt>
                <c:pt idx="1297">
                  <c:v>44176</c:v>
                </c:pt>
                <c:pt idx="1298">
                  <c:v>44179</c:v>
                </c:pt>
                <c:pt idx="1299">
                  <c:v>44180</c:v>
                </c:pt>
                <c:pt idx="1300">
                  <c:v>44181</c:v>
                </c:pt>
                <c:pt idx="1301">
                  <c:v>44182</c:v>
                </c:pt>
                <c:pt idx="1302">
                  <c:v>44183</c:v>
                </c:pt>
                <c:pt idx="1303">
                  <c:v>44186</c:v>
                </c:pt>
                <c:pt idx="1304">
                  <c:v>44187</c:v>
                </c:pt>
                <c:pt idx="1305">
                  <c:v>44188</c:v>
                </c:pt>
                <c:pt idx="1306">
                  <c:v>44189</c:v>
                </c:pt>
                <c:pt idx="1307">
                  <c:v>44193</c:v>
                </c:pt>
                <c:pt idx="1308">
                  <c:v>44194</c:v>
                </c:pt>
                <c:pt idx="1309">
                  <c:v>44195</c:v>
                </c:pt>
                <c:pt idx="1310">
                  <c:v>44196</c:v>
                </c:pt>
                <c:pt idx="1311">
                  <c:v>44200</c:v>
                </c:pt>
                <c:pt idx="1312">
                  <c:v>44201</c:v>
                </c:pt>
                <c:pt idx="1313">
                  <c:v>44202</c:v>
                </c:pt>
                <c:pt idx="1314">
                  <c:v>44203</c:v>
                </c:pt>
                <c:pt idx="1315">
                  <c:v>44204</c:v>
                </c:pt>
                <c:pt idx="1316">
                  <c:v>44207</c:v>
                </c:pt>
                <c:pt idx="1317">
                  <c:v>44208</c:v>
                </c:pt>
                <c:pt idx="1318">
                  <c:v>44209</c:v>
                </c:pt>
                <c:pt idx="1319">
                  <c:v>44210</c:v>
                </c:pt>
                <c:pt idx="1320">
                  <c:v>44211</c:v>
                </c:pt>
                <c:pt idx="1321">
                  <c:v>44215</c:v>
                </c:pt>
                <c:pt idx="1322">
                  <c:v>44216</c:v>
                </c:pt>
                <c:pt idx="1323">
                  <c:v>44217</c:v>
                </c:pt>
                <c:pt idx="1324">
                  <c:v>44218</c:v>
                </c:pt>
                <c:pt idx="1325">
                  <c:v>44221</c:v>
                </c:pt>
                <c:pt idx="1326">
                  <c:v>44222</c:v>
                </c:pt>
                <c:pt idx="1327">
                  <c:v>44223</c:v>
                </c:pt>
                <c:pt idx="1328">
                  <c:v>44224</c:v>
                </c:pt>
                <c:pt idx="1329">
                  <c:v>44225</c:v>
                </c:pt>
                <c:pt idx="1330">
                  <c:v>44228</c:v>
                </c:pt>
                <c:pt idx="1331">
                  <c:v>44229</c:v>
                </c:pt>
                <c:pt idx="1332">
                  <c:v>44230</c:v>
                </c:pt>
                <c:pt idx="1333">
                  <c:v>44231</c:v>
                </c:pt>
                <c:pt idx="1334">
                  <c:v>44232</c:v>
                </c:pt>
                <c:pt idx="1335">
                  <c:v>44235</c:v>
                </c:pt>
                <c:pt idx="1336">
                  <c:v>44236</c:v>
                </c:pt>
                <c:pt idx="1337">
                  <c:v>44237</c:v>
                </c:pt>
                <c:pt idx="1338">
                  <c:v>44238</c:v>
                </c:pt>
                <c:pt idx="1339">
                  <c:v>44239</c:v>
                </c:pt>
                <c:pt idx="1340">
                  <c:v>44243</c:v>
                </c:pt>
                <c:pt idx="1341">
                  <c:v>44244</c:v>
                </c:pt>
                <c:pt idx="1342">
                  <c:v>44245</c:v>
                </c:pt>
                <c:pt idx="1343">
                  <c:v>44246</c:v>
                </c:pt>
                <c:pt idx="1344">
                  <c:v>44249</c:v>
                </c:pt>
                <c:pt idx="1345">
                  <c:v>44250</c:v>
                </c:pt>
                <c:pt idx="1346">
                  <c:v>44251</c:v>
                </c:pt>
                <c:pt idx="1347">
                  <c:v>44252</c:v>
                </c:pt>
                <c:pt idx="1348">
                  <c:v>44253</c:v>
                </c:pt>
                <c:pt idx="1349">
                  <c:v>44256</c:v>
                </c:pt>
                <c:pt idx="1350">
                  <c:v>44257</c:v>
                </c:pt>
                <c:pt idx="1351">
                  <c:v>44258</c:v>
                </c:pt>
                <c:pt idx="1352">
                  <c:v>44259</c:v>
                </c:pt>
                <c:pt idx="1353">
                  <c:v>44260</c:v>
                </c:pt>
                <c:pt idx="1354">
                  <c:v>44263</c:v>
                </c:pt>
                <c:pt idx="1355">
                  <c:v>44264</c:v>
                </c:pt>
                <c:pt idx="1356">
                  <c:v>44265</c:v>
                </c:pt>
                <c:pt idx="1357">
                  <c:v>44266</c:v>
                </c:pt>
                <c:pt idx="1358">
                  <c:v>44267</c:v>
                </c:pt>
                <c:pt idx="1359">
                  <c:v>44270</c:v>
                </c:pt>
                <c:pt idx="1360">
                  <c:v>44271</c:v>
                </c:pt>
                <c:pt idx="1361">
                  <c:v>44272</c:v>
                </c:pt>
                <c:pt idx="1362">
                  <c:v>44273</c:v>
                </c:pt>
                <c:pt idx="1363">
                  <c:v>44274</c:v>
                </c:pt>
              </c:numCache>
            </c:numRef>
          </c:cat>
          <c:val>
            <c:numRef>
              <c:f>'Share Price'!$C$11:$C$1374</c:f>
              <c:numCache>
                <c:formatCode>_("$"* #,##0_);_("$"* \(#,##0\);_("$"* "-"??_);_(@_)</c:formatCode>
                <c:ptCount val="1364"/>
                <c:pt idx="0">
                  <c:v>625.9</c:v>
                </c:pt>
                <c:pt idx="1">
                  <c:v>628.35</c:v>
                </c:pt>
                <c:pt idx="2">
                  <c:v>625.30999999999995</c:v>
                </c:pt>
                <c:pt idx="3">
                  <c:v>640.95000000000005</c:v>
                </c:pt>
                <c:pt idx="4">
                  <c:v>655.65</c:v>
                </c:pt>
                <c:pt idx="5">
                  <c:v>659.37</c:v>
                </c:pt>
                <c:pt idx="6">
                  <c:v>655.49</c:v>
                </c:pt>
                <c:pt idx="7">
                  <c:v>659.68</c:v>
                </c:pt>
                <c:pt idx="8">
                  <c:v>673.25</c:v>
                </c:pt>
                <c:pt idx="9">
                  <c:v>665.6</c:v>
                </c:pt>
                <c:pt idx="10">
                  <c:v>642.35</c:v>
                </c:pt>
                <c:pt idx="11">
                  <c:v>647.80999999999995</c:v>
                </c:pt>
                <c:pt idx="12">
                  <c:v>643.29999999999995</c:v>
                </c:pt>
                <c:pt idx="13">
                  <c:v>663.54</c:v>
                </c:pt>
                <c:pt idx="14">
                  <c:v>661.27</c:v>
                </c:pt>
                <c:pt idx="15">
                  <c:v>668.45</c:v>
                </c:pt>
                <c:pt idx="16">
                  <c:v>678.99</c:v>
                </c:pt>
                <c:pt idx="17">
                  <c:v>671.15</c:v>
                </c:pt>
                <c:pt idx="18">
                  <c:v>675.34</c:v>
                </c:pt>
                <c:pt idx="19">
                  <c:v>673.26</c:v>
                </c:pt>
                <c:pt idx="20">
                  <c:v>664.8</c:v>
                </c:pt>
                <c:pt idx="21">
                  <c:v>679.06</c:v>
                </c:pt>
                <c:pt idx="22">
                  <c:v>676.01</c:v>
                </c:pt>
                <c:pt idx="23">
                  <c:v>666.25</c:v>
                </c:pt>
                <c:pt idx="24">
                  <c:v>672.64</c:v>
                </c:pt>
                <c:pt idx="25">
                  <c:v>669.83</c:v>
                </c:pt>
                <c:pt idx="26">
                  <c:v>677.33</c:v>
                </c:pt>
                <c:pt idx="27">
                  <c:v>664.79</c:v>
                </c:pt>
                <c:pt idx="28">
                  <c:v>662.32</c:v>
                </c:pt>
                <c:pt idx="29">
                  <c:v>640.15</c:v>
                </c:pt>
                <c:pt idx="30">
                  <c:v>657.91</c:v>
                </c:pt>
                <c:pt idx="31">
                  <c:v>658.64</c:v>
                </c:pt>
                <c:pt idx="32">
                  <c:v>675.77</c:v>
                </c:pt>
                <c:pt idx="33">
                  <c:v>670.65</c:v>
                </c:pt>
                <c:pt idx="34">
                  <c:v>664.14</c:v>
                </c:pt>
                <c:pt idx="35">
                  <c:v>664.51</c:v>
                </c:pt>
                <c:pt idx="36">
                  <c:v>663.15</c:v>
                </c:pt>
                <c:pt idx="37">
                  <c:v>663.7</c:v>
                </c:pt>
                <c:pt idx="38">
                  <c:v>662.79</c:v>
                </c:pt>
                <c:pt idx="39">
                  <c:v>675.2</c:v>
                </c:pt>
                <c:pt idx="40">
                  <c:v>693.97</c:v>
                </c:pt>
                <c:pt idx="41">
                  <c:v>689.07</c:v>
                </c:pt>
                <c:pt idx="42">
                  <c:v>675.89</c:v>
                </c:pt>
                <c:pt idx="43">
                  <c:v>636.99</c:v>
                </c:pt>
                <c:pt idx="44">
                  <c:v>633.79</c:v>
                </c:pt>
                <c:pt idx="45">
                  <c:v>632.65</c:v>
                </c:pt>
                <c:pt idx="46">
                  <c:v>607.94000000000005</c:v>
                </c:pt>
                <c:pt idx="47">
                  <c:v>607.04999999999995</c:v>
                </c:pt>
                <c:pt idx="48">
                  <c:v>617.74</c:v>
                </c:pt>
                <c:pt idx="49">
                  <c:v>617.89</c:v>
                </c:pt>
                <c:pt idx="50">
                  <c:v>581.80999999999995</c:v>
                </c:pt>
                <c:pt idx="51">
                  <c:v>593</c:v>
                </c:pt>
                <c:pt idx="52">
                  <c:v>570.17999999999995</c:v>
                </c:pt>
                <c:pt idx="53">
                  <c:v>574.48</c:v>
                </c:pt>
                <c:pt idx="54">
                  <c:v>571.77</c:v>
                </c:pt>
                <c:pt idx="55">
                  <c:v>575.02</c:v>
                </c:pt>
                <c:pt idx="56">
                  <c:v>596.38</c:v>
                </c:pt>
                <c:pt idx="57">
                  <c:v>596.53</c:v>
                </c:pt>
                <c:pt idx="58">
                  <c:v>601.25</c:v>
                </c:pt>
                <c:pt idx="59">
                  <c:v>583.35</c:v>
                </c:pt>
                <c:pt idx="60">
                  <c:v>635.35</c:v>
                </c:pt>
                <c:pt idx="61">
                  <c:v>587</c:v>
                </c:pt>
                <c:pt idx="62">
                  <c:v>574.80999999999995</c:v>
                </c:pt>
                <c:pt idx="63">
                  <c:v>552.1</c:v>
                </c:pt>
                <c:pt idx="64">
                  <c:v>531.07000000000005</c:v>
                </c:pt>
                <c:pt idx="65">
                  <c:v>536.26</c:v>
                </c:pt>
                <c:pt idx="66">
                  <c:v>502.13</c:v>
                </c:pt>
                <c:pt idx="67">
                  <c:v>488.1</c:v>
                </c:pt>
                <c:pt idx="68">
                  <c:v>482.07</c:v>
                </c:pt>
                <c:pt idx="69">
                  <c:v>490.48</c:v>
                </c:pt>
                <c:pt idx="70">
                  <c:v>503.82</c:v>
                </c:pt>
                <c:pt idx="71">
                  <c:v>507.08</c:v>
                </c:pt>
                <c:pt idx="72">
                  <c:v>521.1</c:v>
                </c:pt>
                <c:pt idx="73">
                  <c:v>534.1</c:v>
                </c:pt>
                <c:pt idx="74">
                  <c:v>525</c:v>
                </c:pt>
                <c:pt idx="75">
                  <c:v>534.9</c:v>
                </c:pt>
                <c:pt idx="76">
                  <c:v>559.5</c:v>
                </c:pt>
                <c:pt idx="77">
                  <c:v>552.94000000000005</c:v>
                </c:pt>
                <c:pt idx="78">
                  <c:v>554.04</c:v>
                </c:pt>
                <c:pt idx="79">
                  <c:v>555.15</c:v>
                </c:pt>
                <c:pt idx="80">
                  <c:v>555.23</c:v>
                </c:pt>
                <c:pt idx="81">
                  <c:v>552.52</c:v>
                </c:pt>
                <c:pt idx="82">
                  <c:v>579.04</c:v>
                </c:pt>
                <c:pt idx="83">
                  <c:v>580.21</c:v>
                </c:pt>
                <c:pt idx="84">
                  <c:v>577.49</c:v>
                </c:pt>
                <c:pt idx="85">
                  <c:v>575.14</c:v>
                </c:pt>
                <c:pt idx="86">
                  <c:v>562.79999999999995</c:v>
                </c:pt>
                <c:pt idx="87">
                  <c:v>560.26</c:v>
                </c:pt>
                <c:pt idx="88">
                  <c:v>559.47</c:v>
                </c:pt>
                <c:pt idx="89">
                  <c:v>558.92999999999995</c:v>
                </c:pt>
                <c:pt idx="90">
                  <c:v>569.61</c:v>
                </c:pt>
                <c:pt idx="91">
                  <c:v>573.37</c:v>
                </c:pt>
                <c:pt idx="92">
                  <c:v>577.02</c:v>
                </c:pt>
                <c:pt idx="93">
                  <c:v>574.27</c:v>
                </c:pt>
                <c:pt idx="94">
                  <c:v>559.44000000000005</c:v>
                </c:pt>
                <c:pt idx="95">
                  <c:v>552.08000000000004</c:v>
                </c:pt>
                <c:pt idx="96">
                  <c:v>553.98</c:v>
                </c:pt>
                <c:pt idx="97">
                  <c:v>560.48</c:v>
                </c:pt>
                <c:pt idx="98">
                  <c:v>569.63</c:v>
                </c:pt>
                <c:pt idx="99">
                  <c:v>582.95000000000005</c:v>
                </c:pt>
                <c:pt idx="100">
                  <c:v>579.87</c:v>
                </c:pt>
                <c:pt idx="101">
                  <c:v>593.86</c:v>
                </c:pt>
                <c:pt idx="102">
                  <c:v>598.69000000000005</c:v>
                </c:pt>
                <c:pt idx="103">
                  <c:v>593.64</c:v>
                </c:pt>
                <c:pt idx="104">
                  <c:v>598.5</c:v>
                </c:pt>
                <c:pt idx="105">
                  <c:v>593.19000000000005</c:v>
                </c:pt>
                <c:pt idx="106">
                  <c:v>586.14</c:v>
                </c:pt>
                <c:pt idx="107">
                  <c:v>602.08000000000004</c:v>
                </c:pt>
                <c:pt idx="108">
                  <c:v>591.42999999999995</c:v>
                </c:pt>
                <c:pt idx="109">
                  <c:v>594.6</c:v>
                </c:pt>
                <c:pt idx="110">
                  <c:v>595.92999999999995</c:v>
                </c:pt>
                <c:pt idx="111">
                  <c:v>603.16999999999996</c:v>
                </c:pt>
                <c:pt idx="112">
                  <c:v>614.82000000000005</c:v>
                </c:pt>
                <c:pt idx="113">
                  <c:v>620.75</c:v>
                </c:pt>
                <c:pt idx="114">
                  <c:v>625.89</c:v>
                </c:pt>
                <c:pt idx="115">
                  <c:v>635.35</c:v>
                </c:pt>
                <c:pt idx="116">
                  <c:v>627.9</c:v>
                </c:pt>
                <c:pt idx="117">
                  <c:v>632.99</c:v>
                </c:pt>
                <c:pt idx="118">
                  <c:v>631</c:v>
                </c:pt>
                <c:pt idx="119">
                  <c:v>620.5</c:v>
                </c:pt>
                <c:pt idx="120">
                  <c:v>626.20000000000005</c:v>
                </c:pt>
                <c:pt idx="121">
                  <c:v>616.88</c:v>
                </c:pt>
                <c:pt idx="122">
                  <c:v>606.57000000000005</c:v>
                </c:pt>
                <c:pt idx="123">
                  <c:v>602</c:v>
                </c:pt>
                <c:pt idx="124">
                  <c:v>659.59</c:v>
                </c:pt>
                <c:pt idx="125">
                  <c:v>683.85</c:v>
                </c:pt>
                <c:pt idx="126">
                  <c:v>671.32</c:v>
                </c:pt>
                <c:pt idx="127">
                  <c:v>670.9</c:v>
                </c:pt>
                <c:pt idx="128">
                  <c:v>659.09</c:v>
                </c:pt>
                <c:pt idx="129">
                  <c:v>673.95</c:v>
                </c:pt>
                <c:pt idx="130">
                  <c:v>679.75</c:v>
                </c:pt>
                <c:pt idx="131">
                  <c:v>703.07</c:v>
                </c:pt>
                <c:pt idx="132">
                  <c:v>713.23</c:v>
                </c:pt>
                <c:pt idx="133">
                  <c:v>717.93</c:v>
                </c:pt>
                <c:pt idx="134">
                  <c:v>709.92</c:v>
                </c:pt>
                <c:pt idx="135">
                  <c:v>710.66</c:v>
                </c:pt>
                <c:pt idx="136">
                  <c:v>695.27</c:v>
                </c:pt>
                <c:pt idx="137">
                  <c:v>697.45</c:v>
                </c:pt>
                <c:pt idx="138">
                  <c:v>698.52</c:v>
                </c:pt>
                <c:pt idx="139">
                  <c:v>702.8</c:v>
                </c:pt>
                <c:pt idx="140">
                  <c:v>696.75</c:v>
                </c:pt>
                <c:pt idx="141">
                  <c:v>704.2</c:v>
                </c:pt>
                <c:pt idx="142">
                  <c:v>708.35</c:v>
                </c:pt>
                <c:pt idx="143">
                  <c:v>714.91</c:v>
                </c:pt>
                <c:pt idx="144">
                  <c:v>712.24</c:v>
                </c:pt>
                <c:pt idx="145">
                  <c:v>722.79</c:v>
                </c:pt>
                <c:pt idx="146">
                  <c:v>719.44</c:v>
                </c:pt>
                <c:pt idx="147">
                  <c:v>728.24</c:v>
                </c:pt>
                <c:pt idx="148">
                  <c:v>725.54</c:v>
                </c:pt>
                <c:pt idx="149">
                  <c:v>726.73</c:v>
                </c:pt>
                <c:pt idx="150">
                  <c:v>723.74</c:v>
                </c:pt>
                <c:pt idx="151">
                  <c:v>726.64</c:v>
                </c:pt>
                <c:pt idx="152">
                  <c:v>727.65</c:v>
                </c:pt>
                <c:pt idx="153">
                  <c:v>717.91</c:v>
                </c:pt>
                <c:pt idx="154">
                  <c:v>715.24</c:v>
                </c:pt>
                <c:pt idx="155">
                  <c:v>719.3</c:v>
                </c:pt>
                <c:pt idx="156">
                  <c:v>714.26</c:v>
                </c:pt>
                <c:pt idx="157">
                  <c:v>717.51</c:v>
                </c:pt>
                <c:pt idx="158">
                  <c:v>706.39</c:v>
                </c:pt>
                <c:pt idx="159">
                  <c:v>714.01</c:v>
                </c:pt>
                <c:pt idx="160">
                  <c:v>715.82</c:v>
                </c:pt>
                <c:pt idx="161">
                  <c:v>710.6</c:v>
                </c:pt>
                <c:pt idx="162">
                  <c:v>722.08</c:v>
                </c:pt>
                <c:pt idx="163">
                  <c:v>698.96</c:v>
                </c:pt>
                <c:pt idx="164">
                  <c:v>691.36</c:v>
                </c:pt>
                <c:pt idx="165">
                  <c:v>707.95</c:v>
                </c:pt>
                <c:pt idx="166">
                  <c:v>715.6</c:v>
                </c:pt>
                <c:pt idx="167">
                  <c:v>715.62</c:v>
                </c:pt>
                <c:pt idx="168">
                  <c:v>725.68</c:v>
                </c:pt>
                <c:pt idx="169">
                  <c:v>728.1</c:v>
                </c:pt>
                <c:pt idx="170">
                  <c:v>737.61</c:v>
                </c:pt>
                <c:pt idx="171">
                  <c:v>736.57</c:v>
                </c:pt>
                <c:pt idx="172">
                  <c:v>745.81</c:v>
                </c:pt>
                <c:pt idx="173">
                  <c:v>753.78</c:v>
                </c:pt>
                <c:pt idx="174">
                  <c:v>748.21</c:v>
                </c:pt>
                <c:pt idx="175">
                  <c:v>742.63</c:v>
                </c:pt>
                <c:pt idx="176">
                  <c:v>741.2</c:v>
                </c:pt>
                <c:pt idx="177">
                  <c:v>735.44</c:v>
                </c:pt>
                <c:pt idx="178">
                  <c:v>736.07</c:v>
                </c:pt>
                <c:pt idx="179">
                  <c:v>739.95</c:v>
                </c:pt>
                <c:pt idx="180">
                  <c:v>745.72</c:v>
                </c:pt>
                <c:pt idx="181">
                  <c:v>744.43</c:v>
                </c:pt>
                <c:pt idx="182">
                  <c:v>744.86</c:v>
                </c:pt>
                <c:pt idx="183">
                  <c:v>739.61</c:v>
                </c:pt>
                <c:pt idx="184">
                  <c:v>735.59</c:v>
                </c:pt>
                <c:pt idx="185">
                  <c:v>736.67</c:v>
                </c:pt>
                <c:pt idx="186">
                  <c:v>752.61</c:v>
                </c:pt>
                <c:pt idx="187">
                  <c:v>758.81</c:v>
                </c:pt>
                <c:pt idx="188">
                  <c:v>767.74</c:v>
                </c:pt>
                <c:pt idx="189">
                  <c:v>760.58</c:v>
                </c:pt>
                <c:pt idx="190">
                  <c:v>754.64</c:v>
                </c:pt>
                <c:pt idx="191">
                  <c:v>760.77</c:v>
                </c:pt>
                <c:pt idx="192">
                  <c:v>765.98</c:v>
                </c:pt>
                <c:pt idx="193">
                  <c:v>766.56</c:v>
                </c:pt>
                <c:pt idx="194">
                  <c:v>768.31</c:v>
                </c:pt>
                <c:pt idx="195">
                  <c:v>768.56</c:v>
                </c:pt>
                <c:pt idx="196">
                  <c:v>771.24</c:v>
                </c:pt>
                <c:pt idx="197">
                  <c:v>772.56</c:v>
                </c:pt>
                <c:pt idx="198">
                  <c:v>768.49</c:v>
                </c:pt>
                <c:pt idx="199">
                  <c:v>764.04</c:v>
                </c:pt>
                <c:pt idx="200">
                  <c:v>764.63</c:v>
                </c:pt>
                <c:pt idx="201">
                  <c:v>764.46</c:v>
                </c:pt>
                <c:pt idx="202">
                  <c:v>757.31</c:v>
                </c:pt>
                <c:pt idx="203">
                  <c:v>759.48</c:v>
                </c:pt>
                <c:pt idx="204">
                  <c:v>762.45</c:v>
                </c:pt>
                <c:pt idx="205">
                  <c:v>757.25</c:v>
                </c:pt>
                <c:pt idx="206">
                  <c:v>759.22</c:v>
                </c:pt>
                <c:pt idx="207">
                  <c:v>769</c:v>
                </c:pt>
                <c:pt idx="208">
                  <c:v>771.29</c:v>
                </c:pt>
                <c:pt idx="209">
                  <c:v>767.58</c:v>
                </c:pt>
                <c:pt idx="210">
                  <c:v>769.16</c:v>
                </c:pt>
                <c:pt idx="211">
                  <c:v>770.62</c:v>
                </c:pt>
                <c:pt idx="212">
                  <c:v>772.44</c:v>
                </c:pt>
                <c:pt idx="213">
                  <c:v>788.87</c:v>
                </c:pt>
                <c:pt idx="214">
                  <c:v>784.48</c:v>
                </c:pt>
                <c:pt idx="215">
                  <c:v>784.06</c:v>
                </c:pt>
                <c:pt idx="216">
                  <c:v>760.14</c:v>
                </c:pt>
                <c:pt idx="217">
                  <c:v>771.49</c:v>
                </c:pt>
                <c:pt idx="218">
                  <c:v>761.01</c:v>
                </c:pt>
                <c:pt idx="219">
                  <c:v>761.09</c:v>
                </c:pt>
                <c:pt idx="220">
                  <c:v>769.69</c:v>
                </c:pt>
                <c:pt idx="221">
                  <c:v>778.52</c:v>
                </c:pt>
                <c:pt idx="222">
                  <c:v>775.1</c:v>
                </c:pt>
                <c:pt idx="223">
                  <c:v>780.22</c:v>
                </c:pt>
                <c:pt idx="224">
                  <c:v>789.74</c:v>
                </c:pt>
                <c:pt idx="225">
                  <c:v>804.7</c:v>
                </c:pt>
                <c:pt idx="226">
                  <c:v>805.75</c:v>
                </c:pt>
                <c:pt idx="227">
                  <c:v>799.16</c:v>
                </c:pt>
                <c:pt idx="228">
                  <c:v>816.11</c:v>
                </c:pt>
                <c:pt idx="229">
                  <c:v>828.72</c:v>
                </c:pt>
                <c:pt idx="230">
                  <c:v>829.05</c:v>
                </c:pt>
                <c:pt idx="231">
                  <c:v>837.31</c:v>
                </c:pt>
                <c:pt idx="232">
                  <c:v>836.74</c:v>
                </c:pt>
                <c:pt idx="233">
                  <c:v>834.03</c:v>
                </c:pt>
                <c:pt idx="234">
                  <c:v>844.36</c:v>
                </c:pt>
                <c:pt idx="235">
                  <c:v>841.66</c:v>
                </c:pt>
                <c:pt idx="236">
                  <c:v>839.43</c:v>
                </c:pt>
                <c:pt idx="237">
                  <c:v>841.71</c:v>
                </c:pt>
                <c:pt idx="238">
                  <c:v>831</c:v>
                </c:pt>
                <c:pt idx="239">
                  <c:v>834.09</c:v>
                </c:pt>
                <c:pt idx="240">
                  <c:v>829.28</c:v>
                </c:pt>
                <c:pt idx="241">
                  <c:v>822.96</c:v>
                </c:pt>
                <c:pt idx="242">
                  <c:v>812.95</c:v>
                </c:pt>
                <c:pt idx="243">
                  <c:v>817.65</c:v>
                </c:pt>
                <c:pt idx="244">
                  <c:v>817.69</c:v>
                </c:pt>
                <c:pt idx="245">
                  <c:v>810.32</c:v>
                </c:pt>
                <c:pt idx="246">
                  <c:v>818.99</c:v>
                </c:pt>
                <c:pt idx="247">
                  <c:v>838.09</c:v>
                </c:pt>
                <c:pt idx="248">
                  <c:v>835.18</c:v>
                </c:pt>
                <c:pt idx="249">
                  <c:v>822.59</c:v>
                </c:pt>
                <c:pt idx="250">
                  <c:v>818.36</c:v>
                </c:pt>
                <c:pt idx="251">
                  <c:v>776.32</c:v>
                </c:pt>
                <c:pt idx="252">
                  <c:v>789.82</c:v>
                </c:pt>
                <c:pt idx="253">
                  <c:v>785.41</c:v>
                </c:pt>
                <c:pt idx="254">
                  <c:v>765.56</c:v>
                </c:pt>
                <c:pt idx="255">
                  <c:v>767.03</c:v>
                </c:pt>
                <c:pt idx="256">
                  <c:v>755.05</c:v>
                </c:pt>
                <c:pt idx="257">
                  <c:v>784.93</c:v>
                </c:pt>
                <c:pt idx="258">
                  <c:v>787.75</c:v>
                </c:pt>
                <c:pt idx="259">
                  <c:v>771.88</c:v>
                </c:pt>
                <c:pt idx="260">
                  <c:v>742.38</c:v>
                </c:pt>
                <c:pt idx="261">
                  <c:v>739.01</c:v>
                </c:pt>
                <c:pt idx="262">
                  <c:v>719.07</c:v>
                </c:pt>
                <c:pt idx="263">
                  <c:v>743.24</c:v>
                </c:pt>
                <c:pt idx="264">
                  <c:v>746.49</c:v>
                </c:pt>
                <c:pt idx="265">
                  <c:v>756.4</c:v>
                </c:pt>
                <c:pt idx="266">
                  <c:v>760.16</c:v>
                </c:pt>
                <c:pt idx="267">
                  <c:v>780</c:v>
                </c:pt>
                <c:pt idx="268">
                  <c:v>785.33</c:v>
                </c:pt>
                <c:pt idx="269">
                  <c:v>780.12</c:v>
                </c:pt>
                <c:pt idx="270">
                  <c:v>780.37</c:v>
                </c:pt>
                <c:pt idx="271">
                  <c:v>766.77</c:v>
                </c:pt>
                <c:pt idx="272">
                  <c:v>762.52</c:v>
                </c:pt>
                <c:pt idx="273">
                  <c:v>750.57</c:v>
                </c:pt>
                <c:pt idx="274">
                  <c:v>743.65</c:v>
                </c:pt>
                <c:pt idx="275">
                  <c:v>740.34</c:v>
                </c:pt>
                <c:pt idx="276">
                  <c:v>759.36</c:v>
                </c:pt>
                <c:pt idx="277">
                  <c:v>764.72</c:v>
                </c:pt>
                <c:pt idx="278">
                  <c:v>770.42</c:v>
                </c:pt>
                <c:pt idx="279">
                  <c:v>767.33</c:v>
                </c:pt>
                <c:pt idx="280">
                  <c:v>768.66</c:v>
                </c:pt>
                <c:pt idx="281">
                  <c:v>760.12</c:v>
                </c:pt>
                <c:pt idx="282">
                  <c:v>774.34</c:v>
                </c:pt>
                <c:pt idx="283">
                  <c:v>768.82</c:v>
                </c:pt>
                <c:pt idx="284">
                  <c:v>761</c:v>
                </c:pt>
                <c:pt idx="285">
                  <c:v>757.77</c:v>
                </c:pt>
                <c:pt idx="286">
                  <c:v>766</c:v>
                </c:pt>
                <c:pt idx="287">
                  <c:v>771.22</c:v>
                </c:pt>
                <c:pt idx="288">
                  <c:v>770.6</c:v>
                </c:pt>
                <c:pt idx="289">
                  <c:v>766.34</c:v>
                </c:pt>
                <c:pt idx="290">
                  <c:v>760.59</c:v>
                </c:pt>
                <c:pt idx="291">
                  <c:v>771.4</c:v>
                </c:pt>
                <c:pt idx="292">
                  <c:v>772.13</c:v>
                </c:pt>
                <c:pt idx="293">
                  <c:v>765.15</c:v>
                </c:pt>
                <c:pt idx="294">
                  <c:v>749.87</c:v>
                </c:pt>
                <c:pt idx="295">
                  <c:v>753.67</c:v>
                </c:pt>
                <c:pt idx="296">
                  <c:v>757.18</c:v>
                </c:pt>
                <c:pt idx="297">
                  <c:v>780.45</c:v>
                </c:pt>
                <c:pt idx="298">
                  <c:v>795.99</c:v>
                </c:pt>
                <c:pt idx="299">
                  <c:v>796.92</c:v>
                </c:pt>
                <c:pt idx="300">
                  <c:v>795.9</c:v>
                </c:pt>
                <c:pt idx="301">
                  <c:v>799.02</c:v>
                </c:pt>
                <c:pt idx="302">
                  <c:v>813.64</c:v>
                </c:pt>
                <c:pt idx="303">
                  <c:v>817.14</c:v>
                </c:pt>
                <c:pt idx="304">
                  <c:v>809.72</c:v>
                </c:pt>
                <c:pt idx="305">
                  <c:v>807.48</c:v>
                </c:pt>
                <c:pt idx="306">
                  <c:v>809.04</c:v>
                </c:pt>
                <c:pt idx="307">
                  <c:v>808.33</c:v>
                </c:pt>
                <c:pt idx="308">
                  <c:v>817.88</c:v>
                </c:pt>
                <c:pt idx="309">
                  <c:v>822.44</c:v>
                </c:pt>
                <c:pt idx="310">
                  <c:v>836.52</c:v>
                </c:pt>
                <c:pt idx="311">
                  <c:v>839.15</c:v>
                </c:pt>
                <c:pt idx="312">
                  <c:v>835.77</c:v>
                </c:pt>
                <c:pt idx="313">
                  <c:v>830.38</c:v>
                </c:pt>
                <c:pt idx="314">
                  <c:v>823.48</c:v>
                </c:pt>
                <c:pt idx="315">
                  <c:v>832.35</c:v>
                </c:pt>
                <c:pt idx="316">
                  <c:v>839.95</c:v>
                </c:pt>
                <c:pt idx="317">
                  <c:v>810.2</c:v>
                </c:pt>
                <c:pt idx="318">
                  <c:v>807.64</c:v>
                </c:pt>
                <c:pt idx="319">
                  <c:v>812.5</c:v>
                </c:pt>
                <c:pt idx="320">
                  <c:v>819.71</c:v>
                </c:pt>
                <c:pt idx="321">
                  <c:v>821.36</c:v>
                </c:pt>
                <c:pt idx="322">
                  <c:v>827.46</c:v>
                </c:pt>
                <c:pt idx="323">
                  <c:v>836.53</c:v>
                </c:pt>
                <c:pt idx="324">
                  <c:v>836.39</c:v>
                </c:pt>
                <c:pt idx="325">
                  <c:v>842.7</c:v>
                </c:pt>
                <c:pt idx="326">
                  <c:v>844.14</c:v>
                </c:pt>
                <c:pt idx="327">
                  <c:v>845.07</c:v>
                </c:pt>
                <c:pt idx="328">
                  <c:v>856.44</c:v>
                </c:pt>
                <c:pt idx="329">
                  <c:v>855.61</c:v>
                </c:pt>
                <c:pt idx="330">
                  <c:v>852.19</c:v>
                </c:pt>
                <c:pt idx="331">
                  <c:v>845.24</c:v>
                </c:pt>
                <c:pt idx="332">
                  <c:v>848.64</c:v>
                </c:pt>
                <c:pt idx="333">
                  <c:v>845.04</c:v>
                </c:pt>
                <c:pt idx="334">
                  <c:v>853.08</c:v>
                </c:pt>
                <c:pt idx="335">
                  <c:v>848.91</c:v>
                </c:pt>
                <c:pt idx="336">
                  <c:v>849.88</c:v>
                </c:pt>
                <c:pt idx="337">
                  <c:v>846.61</c:v>
                </c:pt>
                <c:pt idx="338">
                  <c:v>846.02</c:v>
                </c:pt>
                <c:pt idx="339">
                  <c:v>850.5</c:v>
                </c:pt>
                <c:pt idx="340">
                  <c:v>853</c:v>
                </c:pt>
                <c:pt idx="341">
                  <c:v>852.46</c:v>
                </c:pt>
                <c:pt idx="342">
                  <c:v>854.59</c:v>
                </c:pt>
                <c:pt idx="343">
                  <c:v>852.53</c:v>
                </c:pt>
                <c:pt idx="344">
                  <c:v>852.97</c:v>
                </c:pt>
                <c:pt idx="345">
                  <c:v>853.42</c:v>
                </c:pt>
                <c:pt idx="346">
                  <c:v>852.31</c:v>
                </c:pt>
                <c:pt idx="347">
                  <c:v>856.97</c:v>
                </c:pt>
                <c:pt idx="348">
                  <c:v>843.2</c:v>
                </c:pt>
                <c:pt idx="349">
                  <c:v>848.06</c:v>
                </c:pt>
                <c:pt idx="350">
                  <c:v>847.38</c:v>
                </c:pt>
                <c:pt idx="351">
                  <c:v>845.61</c:v>
                </c:pt>
                <c:pt idx="352">
                  <c:v>846.82</c:v>
                </c:pt>
                <c:pt idx="353">
                  <c:v>856</c:v>
                </c:pt>
                <c:pt idx="354">
                  <c:v>874.32</c:v>
                </c:pt>
                <c:pt idx="355">
                  <c:v>876.34</c:v>
                </c:pt>
                <c:pt idx="356">
                  <c:v>886.54</c:v>
                </c:pt>
                <c:pt idx="357">
                  <c:v>891.51</c:v>
                </c:pt>
                <c:pt idx="358">
                  <c:v>906.83</c:v>
                </c:pt>
                <c:pt idx="359">
                  <c:v>909.28</c:v>
                </c:pt>
                <c:pt idx="360">
                  <c:v>898.28</c:v>
                </c:pt>
                <c:pt idx="361">
                  <c:v>894.88</c:v>
                </c:pt>
                <c:pt idx="362">
                  <c:v>907.04</c:v>
                </c:pt>
                <c:pt idx="363">
                  <c:v>902.36</c:v>
                </c:pt>
                <c:pt idx="364">
                  <c:v>896.23</c:v>
                </c:pt>
                <c:pt idx="365">
                  <c:v>884.67</c:v>
                </c:pt>
                <c:pt idx="366">
                  <c:v>901.99</c:v>
                </c:pt>
                <c:pt idx="367">
                  <c:v>903.78</c:v>
                </c:pt>
                <c:pt idx="368">
                  <c:v>899.2</c:v>
                </c:pt>
                <c:pt idx="369">
                  <c:v>902.06</c:v>
                </c:pt>
                <c:pt idx="370">
                  <c:v>898.53</c:v>
                </c:pt>
                <c:pt idx="371">
                  <c:v>907.41</c:v>
                </c:pt>
                <c:pt idx="372">
                  <c:v>907.62</c:v>
                </c:pt>
                <c:pt idx="373">
                  <c:v>909.29</c:v>
                </c:pt>
                <c:pt idx="374">
                  <c:v>918.38</c:v>
                </c:pt>
                <c:pt idx="375">
                  <c:v>924.99</c:v>
                </c:pt>
                <c:pt idx="376">
                  <c:v>948.23</c:v>
                </c:pt>
                <c:pt idx="377">
                  <c:v>946.94</c:v>
                </c:pt>
                <c:pt idx="378">
                  <c:v>941.03</c:v>
                </c:pt>
                <c:pt idx="379">
                  <c:v>937.53</c:v>
                </c:pt>
                <c:pt idx="380">
                  <c:v>934.15</c:v>
                </c:pt>
                <c:pt idx="381">
                  <c:v>949.04</c:v>
                </c:pt>
                <c:pt idx="382">
                  <c:v>952.82</c:v>
                </c:pt>
                <c:pt idx="383">
                  <c:v>948.95</c:v>
                </c:pt>
                <c:pt idx="384">
                  <c:v>947.62</c:v>
                </c:pt>
                <c:pt idx="385">
                  <c:v>961.35</c:v>
                </c:pt>
                <c:pt idx="386">
                  <c:v>957.97</c:v>
                </c:pt>
                <c:pt idx="387">
                  <c:v>966.07</c:v>
                </c:pt>
                <c:pt idx="388">
                  <c:v>944.76</c:v>
                </c:pt>
                <c:pt idx="389">
                  <c:v>958.49</c:v>
                </c:pt>
                <c:pt idx="390">
                  <c:v>959.84</c:v>
                </c:pt>
                <c:pt idx="391">
                  <c:v>970.67</c:v>
                </c:pt>
                <c:pt idx="392">
                  <c:v>971.54</c:v>
                </c:pt>
                <c:pt idx="393">
                  <c:v>980.35</c:v>
                </c:pt>
                <c:pt idx="394">
                  <c:v>993.38</c:v>
                </c:pt>
                <c:pt idx="395">
                  <c:v>995.78</c:v>
                </c:pt>
                <c:pt idx="396">
                  <c:v>996.7</c:v>
                </c:pt>
                <c:pt idx="397">
                  <c:v>994.62</c:v>
                </c:pt>
                <c:pt idx="398">
                  <c:v>995.95</c:v>
                </c:pt>
                <c:pt idx="399">
                  <c:v>1006.73</c:v>
                </c:pt>
                <c:pt idx="400">
                  <c:v>1011.34</c:v>
                </c:pt>
                <c:pt idx="401">
                  <c:v>1003</c:v>
                </c:pt>
                <c:pt idx="402">
                  <c:v>1010.07</c:v>
                </c:pt>
                <c:pt idx="403">
                  <c:v>1010.27</c:v>
                </c:pt>
                <c:pt idx="404">
                  <c:v>978.31</c:v>
                </c:pt>
                <c:pt idx="405">
                  <c:v>964.91</c:v>
                </c:pt>
                <c:pt idx="406">
                  <c:v>980.79</c:v>
                </c:pt>
                <c:pt idx="407">
                  <c:v>976.47</c:v>
                </c:pt>
                <c:pt idx="408">
                  <c:v>964.17</c:v>
                </c:pt>
                <c:pt idx="409">
                  <c:v>987.71</c:v>
                </c:pt>
                <c:pt idx="410">
                  <c:v>995.17</c:v>
                </c:pt>
                <c:pt idx="411">
                  <c:v>992.59</c:v>
                </c:pt>
                <c:pt idx="412">
                  <c:v>1002.23</c:v>
                </c:pt>
                <c:pt idx="413">
                  <c:v>1001.3</c:v>
                </c:pt>
                <c:pt idx="414">
                  <c:v>1003.74</c:v>
                </c:pt>
                <c:pt idx="415">
                  <c:v>993.98</c:v>
                </c:pt>
                <c:pt idx="416">
                  <c:v>976.78</c:v>
                </c:pt>
                <c:pt idx="417">
                  <c:v>990.33</c:v>
                </c:pt>
                <c:pt idx="418">
                  <c:v>975.93</c:v>
                </c:pt>
                <c:pt idx="419">
                  <c:v>968</c:v>
                </c:pt>
                <c:pt idx="420">
                  <c:v>953.66</c:v>
                </c:pt>
                <c:pt idx="421">
                  <c:v>971.4</c:v>
                </c:pt>
                <c:pt idx="422">
                  <c:v>965.14</c:v>
                </c:pt>
                <c:pt idx="423">
                  <c:v>978.76</c:v>
                </c:pt>
                <c:pt idx="424">
                  <c:v>996.47</c:v>
                </c:pt>
                <c:pt idx="425">
                  <c:v>994.13</c:v>
                </c:pt>
                <c:pt idx="426">
                  <c:v>1006.51</c:v>
                </c:pt>
                <c:pt idx="427">
                  <c:v>1000.63</c:v>
                </c:pt>
                <c:pt idx="428">
                  <c:v>1001.81</c:v>
                </c:pt>
                <c:pt idx="429">
                  <c:v>1010.04</c:v>
                </c:pt>
                <c:pt idx="430">
                  <c:v>1024.45</c:v>
                </c:pt>
                <c:pt idx="431">
                  <c:v>1026.8699999999999</c:v>
                </c:pt>
                <c:pt idx="432">
                  <c:v>1028.7</c:v>
                </c:pt>
                <c:pt idx="433">
                  <c:v>1025.67</c:v>
                </c:pt>
                <c:pt idx="434">
                  <c:v>1038.95</c:v>
                </c:pt>
                <c:pt idx="435">
                  <c:v>1039.8699999999999</c:v>
                </c:pt>
                <c:pt idx="436">
                  <c:v>1052.8</c:v>
                </c:pt>
                <c:pt idx="437">
                  <c:v>1046</c:v>
                </c:pt>
                <c:pt idx="438">
                  <c:v>1020.04</c:v>
                </c:pt>
                <c:pt idx="439">
                  <c:v>987.78</c:v>
                </c:pt>
                <c:pt idx="440">
                  <c:v>996.19</c:v>
                </c:pt>
                <c:pt idx="441">
                  <c:v>995.89</c:v>
                </c:pt>
                <c:pt idx="442">
                  <c:v>986.92</c:v>
                </c:pt>
                <c:pt idx="443">
                  <c:v>987.58</c:v>
                </c:pt>
                <c:pt idx="444">
                  <c:v>992.27</c:v>
                </c:pt>
                <c:pt idx="445">
                  <c:v>989.84</c:v>
                </c:pt>
                <c:pt idx="446">
                  <c:v>982.01</c:v>
                </c:pt>
                <c:pt idx="447">
                  <c:v>956.92</c:v>
                </c:pt>
                <c:pt idx="448">
                  <c:v>967.99</c:v>
                </c:pt>
                <c:pt idx="449">
                  <c:v>983.3</c:v>
                </c:pt>
                <c:pt idx="450">
                  <c:v>982.74</c:v>
                </c:pt>
                <c:pt idx="451">
                  <c:v>978.18</c:v>
                </c:pt>
                <c:pt idx="452">
                  <c:v>960.57</c:v>
                </c:pt>
                <c:pt idx="453">
                  <c:v>958.47</c:v>
                </c:pt>
                <c:pt idx="454">
                  <c:v>953.29</c:v>
                </c:pt>
                <c:pt idx="455">
                  <c:v>966.9</c:v>
                </c:pt>
                <c:pt idx="456">
                  <c:v>958</c:v>
                </c:pt>
                <c:pt idx="457">
                  <c:v>952.45</c:v>
                </c:pt>
                <c:pt idx="458">
                  <c:v>945.26</c:v>
                </c:pt>
                <c:pt idx="459">
                  <c:v>946.02</c:v>
                </c:pt>
                <c:pt idx="460">
                  <c:v>954.06</c:v>
                </c:pt>
                <c:pt idx="461">
                  <c:v>967.59</c:v>
                </c:pt>
                <c:pt idx="462">
                  <c:v>980.6</c:v>
                </c:pt>
                <c:pt idx="463">
                  <c:v>978.25</c:v>
                </c:pt>
                <c:pt idx="464">
                  <c:v>965.27</c:v>
                </c:pt>
                <c:pt idx="465">
                  <c:v>967.8</c:v>
                </c:pt>
                <c:pt idx="466">
                  <c:v>979.47</c:v>
                </c:pt>
                <c:pt idx="467">
                  <c:v>965.9</c:v>
                </c:pt>
                <c:pt idx="468">
                  <c:v>977.96</c:v>
                </c:pt>
                <c:pt idx="469">
                  <c:v>982.58</c:v>
                </c:pt>
                <c:pt idx="470">
                  <c:v>999.6</c:v>
                </c:pt>
                <c:pt idx="471">
                  <c:v>992.21</c:v>
                </c:pt>
                <c:pt idx="472">
                  <c:v>986.79</c:v>
                </c:pt>
                <c:pt idx="473">
                  <c:v>974.19</c:v>
                </c:pt>
                <c:pt idx="474">
                  <c:v>969.86</c:v>
                </c:pt>
                <c:pt idx="475">
                  <c:v>973.21</c:v>
                </c:pt>
                <c:pt idx="476">
                  <c:v>964.65</c:v>
                </c:pt>
                <c:pt idx="477">
                  <c:v>955.1</c:v>
                </c:pt>
                <c:pt idx="478">
                  <c:v>939.79</c:v>
                </c:pt>
                <c:pt idx="479">
                  <c:v>938.6</c:v>
                </c:pt>
                <c:pt idx="480">
                  <c:v>950.87</c:v>
                </c:pt>
                <c:pt idx="481">
                  <c:v>956.4</c:v>
                </c:pt>
                <c:pt idx="482">
                  <c:v>961.35</c:v>
                </c:pt>
                <c:pt idx="483">
                  <c:v>959.19</c:v>
                </c:pt>
                <c:pt idx="484">
                  <c:v>957.1</c:v>
                </c:pt>
                <c:pt idx="485">
                  <c:v>965.45</c:v>
                </c:pt>
                <c:pt idx="486">
                  <c:v>980.85</c:v>
                </c:pt>
                <c:pt idx="487">
                  <c:v>989.58</c:v>
                </c:pt>
                <c:pt idx="488">
                  <c:v>990.99</c:v>
                </c:pt>
                <c:pt idx="489">
                  <c:v>987.2</c:v>
                </c:pt>
                <c:pt idx="490">
                  <c:v>995</c:v>
                </c:pt>
                <c:pt idx="491">
                  <c:v>1000.93</c:v>
                </c:pt>
                <c:pt idx="492">
                  <c:v>1002.94</c:v>
                </c:pt>
                <c:pt idx="493">
                  <c:v>1006.34</c:v>
                </c:pt>
                <c:pt idx="494">
                  <c:v>1009.13</c:v>
                </c:pt>
                <c:pt idx="495">
                  <c:v>997</c:v>
                </c:pt>
                <c:pt idx="496">
                  <c:v>986.61</c:v>
                </c:pt>
                <c:pt idx="497">
                  <c:v>982.91</c:v>
                </c:pt>
                <c:pt idx="498">
                  <c:v>966.3</c:v>
                </c:pt>
                <c:pt idx="499">
                  <c:v>975.9</c:v>
                </c:pt>
                <c:pt idx="500">
                  <c:v>972.91</c:v>
                </c:pt>
                <c:pt idx="501">
                  <c:v>972.43</c:v>
                </c:pt>
                <c:pt idx="502">
                  <c:v>1100.95</c:v>
                </c:pt>
                <c:pt idx="503">
                  <c:v>1110.8499999999999</c:v>
                </c:pt>
                <c:pt idx="504">
                  <c:v>1105.28</c:v>
                </c:pt>
                <c:pt idx="505">
                  <c:v>1103.68</c:v>
                </c:pt>
                <c:pt idx="506">
                  <c:v>1094.22</c:v>
                </c:pt>
                <c:pt idx="507">
                  <c:v>1111.5999999999999</c:v>
                </c:pt>
                <c:pt idx="508">
                  <c:v>1120.6600000000001</c:v>
                </c:pt>
                <c:pt idx="509">
                  <c:v>1123.17</c:v>
                </c:pt>
                <c:pt idx="510">
                  <c:v>1132.8800000000001</c:v>
                </c:pt>
                <c:pt idx="511">
                  <c:v>1129.1300000000001</c:v>
                </c:pt>
                <c:pt idx="512">
                  <c:v>1125.3499999999999</c:v>
                </c:pt>
                <c:pt idx="513">
                  <c:v>1129.17</c:v>
                </c:pt>
                <c:pt idx="514">
                  <c:v>1136.8399999999999</c:v>
                </c:pt>
                <c:pt idx="515">
                  <c:v>1126.69</c:v>
                </c:pt>
                <c:pt idx="516">
                  <c:v>1137.29</c:v>
                </c:pt>
                <c:pt idx="517">
                  <c:v>1129.8800000000001</c:v>
                </c:pt>
                <c:pt idx="518">
                  <c:v>1126.31</c:v>
                </c:pt>
                <c:pt idx="519">
                  <c:v>1139.49</c:v>
                </c:pt>
                <c:pt idx="520">
                  <c:v>1156.1600000000001</c:v>
                </c:pt>
                <c:pt idx="521">
                  <c:v>1186</c:v>
                </c:pt>
                <c:pt idx="522">
                  <c:v>1195.83</c:v>
                </c:pt>
                <c:pt idx="523">
                  <c:v>1193.5999999999999</c:v>
                </c:pt>
                <c:pt idx="524">
                  <c:v>1161.27</c:v>
                </c:pt>
                <c:pt idx="525">
                  <c:v>1176.75</c:v>
                </c:pt>
                <c:pt idx="526">
                  <c:v>1162.3499999999999</c:v>
                </c:pt>
                <c:pt idx="527">
                  <c:v>1133.95</c:v>
                </c:pt>
                <c:pt idx="528">
                  <c:v>1141.57</c:v>
                </c:pt>
                <c:pt idx="529">
                  <c:v>1152.3499999999999</c:v>
                </c:pt>
                <c:pt idx="530">
                  <c:v>1159.79</c:v>
                </c:pt>
                <c:pt idx="531">
                  <c:v>1162</c:v>
                </c:pt>
                <c:pt idx="532">
                  <c:v>1168.92</c:v>
                </c:pt>
                <c:pt idx="533">
                  <c:v>1165.08</c:v>
                </c:pt>
                <c:pt idx="534">
                  <c:v>1164.1300000000001</c:v>
                </c:pt>
                <c:pt idx="535">
                  <c:v>1174.26</c:v>
                </c:pt>
                <c:pt idx="536">
                  <c:v>1179.1400000000001</c:v>
                </c:pt>
                <c:pt idx="537">
                  <c:v>1190.58</c:v>
                </c:pt>
                <c:pt idx="538">
                  <c:v>1187.3800000000001</c:v>
                </c:pt>
                <c:pt idx="539">
                  <c:v>1177.6199999999999</c:v>
                </c:pt>
                <c:pt idx="540">
                  <c:v>1174.76</c:v>
                </c:pt>
                <c:pt idx="541">
                  <c:v>1168.3599999999999</c:v>
                </c:pt>
                <c:pt idx="542">
                  <c:v>1176.76</c:v>
                </c:pt>
                <c:pt idx="543">
                  <c:v>1182.26</c:v>
                </c:pt>
                <c:pt idx="544">
                  <c:v>1186.0999999999999</c:v>
                </c:pt>
                <c:pt idx="545">
                  <c:v>1169.47</c:v>
                </c:pt>
                <c:pt idx="546">
                  <c:v>1189.01</c:v>
                </c:pt>
                <c:pt idx="547">
                  <c:v>1204.2</c:v>
                </c:pt>
                <c:pt idx="548">
                  <c:v>1209.5899999999999</c:v>
                </c:pt>
                <c:pt idx="549">
                  <c:v>1229.1400000000001</c:v>
                </c:pt>
                <c:pt idx="550">
                  <c:v>1246.8699999999999</c:v>
                </c:pt>
                <c:pt idx="551">
                  <c:v>1252.7</c:v>
                </c:pt>
                <c:pt idx="552">
                  <c:v>1254.33</c:v>
                </c:pt>
                <c:pt idx="553">
                  <c:v>1276.68</c:v>
                </c:pt>
                <c:pt idx="554">
                  <c:v>1305.2</c:v>
                </c:pt>
                <c:pt idx="555">
                  <c:v>1304.8599999999999</c:v>
                </c:pt>
                <c:pt idx="556">
                  <c:v>1295</c:v>
                </c:pt>
                <c:pt idx="557">
                  <c:v>1293.32</c:v>
                </c:pt>
                <c:pt idx="558">
                  <c:v>1294.58</c:v>
                </c:pt>
                <c:pt idx="559">
                  <c:v>1327.31</c:v>
                </c:pt>
                <c:pt idx="560">
                  <c:v>1362.54</c:v>
                </c:pt>
                <c:pt idx="561">
                  <c:v>1357.51</c:v>
                </c:pt>
                <c:pt idx="562">
                  <c:v>1377.95</c:v>
                </c:pt>
                <c:pt idx="563">
                  <c:v>1402.05</c:v>
                </c:pt>
                <c:pt idx="564">
                  <c:v>1417.68</c:v>
                </c:pt>
                <c:pt idx="565">
                  <c:v>1437.82</c:v>
                </c:pt>
                <c:pt idx="566">
                  <c:v>1450.89</c:v>
                </c:pt>
                <c:pt idx="567">
                  <c:v>1390</c:v>
                </c:pt>
                <c:pt idx="568">
                  <c:v>1429.95</c:v>
                </c:pt>
                <c:pt idx="569">
                  <c:v>1390</c:v>
                </c:pt>
                <c:pt idx="570">
                  <c:v>1442.84</c:v>
                </c:pt>
                <c:pt idx="571">
                  <c:v>1416.78</c:v>
                </c:pt>
                <c:pt idx="572">
                  <c:v>1350.5</c:v>
                </c:pt>
                <c:pt idx="573">
                  <c:v>1339.6</c:v>
                </c:pt>
                <c:pt idx="574">
                  <c:v>1386.23</c:v>
                </c:pt>
                <c:pt idx="575">
                  <c:v>1414.51</c:v>
                </c:pt>
                <c:pt idx="576">
                  <c:v>1451.05</c:v>
                </c:pt>
                <c:pt idx="577">
                  <c:v>1461.76</c:v>
                </c:pt>
                <c:pt idx="578">
                  <c:v>1448.69</c:v>
                </c:pt>
                <c:pt idx="579">
                  <c:v>1468.35</c:v>
                </c:pt>
                <c:pt idx="580">
                  <c:v>1482.92</c:v>
                </c:pt>
                <c:pt idx="581">
                  <c:v>1485.34</c:v>
                </c:pt>
                <c:pt idx="582">
                  <c:v>1500</c:v>
                </c:pt>
                <c:pt idx="583">
                  <c:v>1521.95</c:v>
                </c:pt>
                <c:pt idx="584">
                  <c:v>1511.98</c:v>
                </c:pt>
                <c:pt idx="585">
                  <c:v>1512.45</c:v>
                </c:pt>
                <c:pt idx="586">
                  <c:v>1493.45</c:v>
                </c:pt>
                <c:pt idx="587">
                  <c:v>1500.25</c:v>
                </c:pt>
                <c:pt idx="588">
                  <c:v>1523.61</c:v>
                </c:pt>
                <c:pt idx="589">
                  <c:v>1537.64</c:v>
                </c:pt>
                <c:pt idx="590">
                  <c:v>1545</c:v>
                </c:pt>
                <c:pt idx="591">
                  <c:v>1551.86</c:v>
                </c:pt>
                <c:pt idx="592">
                  <c:v>1578.89</c:v>
                </c:pt>
                <c:pt idx="593">
                  <c:v>1598.39</c:v>
                </c:pt>
                <c:pt idx="594">
                  <c:v>1588.18</c:v>
                </c:pt>
                <c:pt idx="595">
                  <c:v>1591</c:v>
                </c:pt>
                <c:pt idx="596">
                  <c:v>1582.32</c:v>
                </c:pt>
                <c:pt idx="597">
                  <c:v>1571.68</c:v>
                </c:pt>
                <c:pt idx="598">
                  <c:v>1544.93</c:v>
                </c:pt>
                <c:pt idx="599">
                  <c:v>1586.51</c:v>
                </c:pt>
                <c:pt idx="600">
                  <c:v>1581.86</c:v>
                </c:pt>
                <c:pt idx="601">
                  <c:v>1544.92</c:v>
                </c:pt>
                <c:pt idx="602">
                  <c:v>1495.56</c:v>
                </c:pt>
                <c:pt idx="603">
                  <c:v>1555.86</c:v>
                </c:pt>
                <c:pt idx="604">
                  <c:v>1497.05</c:v>
                </c:pt>
                <c:pt idx="605">
                  <c:v>1431.42</c:v>
                </c:pt>
                <c:pt idx="606">
                  <c:v>1447.34</c:v>
                </c:pt>
                <c:pt idx="607">
                  <c:v>1371.99</c:v>
                </c:pt>
                <c:pt idx="608">
                  <c:v>1392.05</c:v>
                </c:pt>
                <c:pt idx="609">
                  <c:v>1410.57</c:v>
                </c:pt>
                <c:pt idx="610">
                  <c:v>1451.75</c:v>
                </c:pt>
                <c:pt idx="611">
                  <c:v>1405.23</c:v>
                </c:pt>
                <c:pt idx="612">
                  <c:v>1406.08</c:v>
                </c:pt>
                <c:pt idx="613">
                  <c:v>1436.22</c:v>
                </c:pt>
                <c:pt idx="614">
                  <c:v>1427.05</c:v>
                </c:pt>
                <c:pt idx="615">
                  <c:v>1448.5</c:v>
                </c:pt>
                <c:pt idx="616">
                  <c:v>1430.79</c:v>
                </c:pt>
                <c:pt idx="617">
                  <c:v>1441.5</c:v>
                </c:pt>
                <c:pt idx="618">
                  <c:v>1503.83</c:v>
                </c:pt>
                <c:pt idx="619">
                  <c:v>1527.84</c:v>
                </c:pt>
                <c:pt idx="620">
                  <c:v>1556.91</c:v>
                </c:pt>
                <c:pt idx="621">
                  <c:v>1527.49</c:v>
                </c:pt>
                <c:pt idx="622">
                  <c:v>1517.86</c:v>
                </c:pt>
                <c:pt idx="623">
                  <c:v>1460.09</c:v>
                </c:pt>
                <c:pt idx="624">
                  <c:v>1460.17</c:v>
                </c:pt>
                <c:pt idx="625">
                  <c:v>1517.96</c:v>
                </c:pt>
                <c:pt idx="626">
                  <c:v>1572.62</c:v>
                </c:pt>
                <c:pt idx="627">
                  <c:v>1566.13</c:v>
                </c:pt>
                <c:pt idx="628">
                  <c:v>1582.26</c:v>
                </c:pt>
                <c:pt idx="629">
                  <c:v>1569.68</c:v>
                </c:pt>
                <c:pt idx="630">
                  <c:v>1572.075</c:v>
                </c:pt>
                <c:pt idx="631">
                  <c:v>1580.95</c:v>
                </c:pt>
                <c:pt idx="632">
                  <c:v>1600.14</c:v>
                </c:pt>
                <c:pt idx="633">
                  <c:v>1592.39</c:v>
                </c:pt>
                <c:pt idx="634">
                  <c:v>1608</c:v>
                </c:pt>
                <c:pt idx="635">
                  <c:v>1609.08</c:v>
                </c:pt>
                <c:pt idx="636">
                  <c:v>1602.91</c:v>
                </c:pt>
                <c:pt idx="637">
                  <c:v>1601.54</c:v>
                </c:pt>
                <c:pt idx="638">
                  <c:v>1576.12</c:v>
                </c:pt>
                <c:pt idx="639">
                  <c:v>1587.28</c:v>
                </c:pt>
                <c:pt idx="640">
                  <c:v>1581.76</c:v>
                </c:pt>
                <c:pt idx="641">
                  <c:v>1574.37</c:v>
                </c:pt>
                <c:pt idx="642">
                  <c:v>1585.46</c:v>
                </c:pt>
                <c:pt idx="643">
                  <c:v>1581.4</c:v>
                </c:pt>
                <c:pt idx="644">
                  <c:v>1601.86</c:v>
                </c:pt>
                <c:pt idx="645">
                  <c:v>1603.07</c:v>
                </c:pt>
                <c:pt idx="646">
                  <c:v>1610.15</c:v>
                </c:pt>
                <c:pt idx="647">
                  <c:v>1612.87</c:v>
                </c:pt>
                <c:pt idx="648">
                  <c:v>1624.89</c:v>
                </c:pt>
                <c:pt idx="649">
                  <c:v>1629.62</c:v>
                </c:pt>
                <c:pt idx="650">
                  <c:v>1641.54</c:v>
                </c:pt>
                <c:pt idx="651">
                  <c:v>1665.27</c:v>
                </c:pt>
                <c:pt idx="652">
                  <c:v>1696.35</c:v>
                </c:pt>
                <c:pt idx="653">
                  <c:v>1695.75</c:v>
                </c:pt>
                <c:pt idx="654">
                  <c:v>1689.3</c:v>
                </c:pt>
                <c:pt idx="655">
                  <c:v>1683.99</c:v>
                </c:pt>
                <c:pt idx="656">
                  <c:v>1689.12</c:v>
                </c:pt>
                <c:pt idx="657">
                  <c:v>1698.75</c:v>
                </c:pt>
                <c:pt idx="658">
                  <c:v>1704.86</c:v>
                </c:pt>
                <c:pt idx="659">
                  <c:v>1723.86</c:v>
                </c:pt>
                <c:pt idx="660">
                  <c:v>1715.97</c:v>
                </c:pt>
                <c:pt idx="661">
                  <c:v>1723.79</c:v>
                </c:pt>
                <c:pt idx="662">
                  <c:v>1734.78</c:v>
                </c:pt>
                <c:pt idx="663">
                  <c:v>1750.08</c:v>
                </c:pt>
                <c:pt idx="664">
                  <c:v>1730.22</c:v>
                </c:pt>
                <c:pt idx="665">
                  <c:v>1715.67</c:v>
                </c:pt>
                <c:pt idx="666">
                  <c:v>1663.15</c:v>
                </c:pt>
                <c:pt idx="667">
                  <c:v>1691.09</c:v>
                </c:pt>
                <c:pt idx="668">
                  <c:v>1660.51</c:v>
                </c:pt>
                <c:pt idx="669">
                  <c:v>1701.45</c:v>
                </c:pt>
                <c:pt idx="670">
                  <c:v>1699.8</c:v>
                </c:pt>
                <c:pt idx="671">
                  <c:v>1713.78</c:v>
                </c:pt>
                <c:pt idx="672">
                  <c:v>1693.96</c:v>
                </c:pt>
                <c:pt idx="673">
                  <c:v>1699.73</c:v>
                </c:pt>
                <c:pt idx="674">
                  <c:v>1710.63</c:v>
                </c:pt>
                <c:pt idx="675">
                  <c:v>1739.02</c:v>
                </c:pt>
                <c:pt idx="676">
                  <c:v>1743.07</c:v>
                </c:pt>
                <c:pt idx="677">
                  <c:v>1755</c:v>
                </c:pt>
                <c:pt idx="678">
                  <c:v>1796.62</c:v>
                </c:pt>
                <c:pt idx="679">
                  <c:v>1813.03</c:v>
                </c:pt>
                <c:pt idx="680">
                  <c:v>1822.49</c:v>
                </c:pt>
                <c:pt idx="681">
                  <c:v>1843.93</c:v>
                </c:pt>
                <c:pt idx="682">
                  <c:v>1842.92</c:v>
                </c:pt>
                <c:pt idx="683">
                  <c:v>1812.97</c:v>
                </c:pt>
                <c:pt idx="684">
                  <c:v>1813.7</c:v>
                </c:pt>
                <c:pt idx="685">
                  <c:v>1802</c:v>
                </c:pt>
                <c:pt idx="686">
                  <c:v>1829.24</c:v>
                </c:pt>
                <c:pt idx="687">
                  <c:v>1863.61</c:v>
                </c:pt>
                <c:pt idx="688">
                  <c:v>1808</c:v>
                </c:pt>
                <c:pt idx="689">
                  <c:v>1817.27</c:v>
                </c:pt>
                <c:pt idx="690">
                  <c:v>1779.22</c:v>
                </c:pt>
                <c:pt idx="691">
                  <c:v>1777.44</c:v>
                </c:pt>
                <c:pt idx="692">
                  <c:v>1797.17</c:v>
                </c:pt>
                <c:pt idx="693">
                  <c:v>1834.33</c:v>
                </c:pt>
                <c:pt idx="694">
                  <c:v>1823.29</c:v>
                </c:pt>
                <c:pt idx="695">
                  <c:v>1847.75</c:v>
                </c:pt>
                <c:pt idx="696">
                  <c:v>1862.48</c:v>
                </c:pt>
                <c:pt idx="697">
                  <c:v>1886.52</c:v>
                </c:pt>
                <c:pt idx="698">
                  <c:v>1898.52</c:v>
                </c:pt>
                <c:pt idx="699">
                  <c:v>1886.3</c:v>
                </c:pt>
                <c:pt idx="700">
                  <c:v>1896.2</c:v>
                </c:pt>
                <c:pt idx="701">
                  <c:v>1919.65</c:v>
                </c:pt>
                <c:pt idx="702">
                  <c:v>1882.62</c:v>
                </c:pt>
                <c:pt idx="703">
                  <c:v>1886.52</c:v>
                </c:pt>
                <c:pt idx="704">
                  <c:v>1882.22</c:v>
                </c:pt>
                <c:pt idx="705">
                  <c:v>1876.71</c:v>
                </c:pt>
                <c:pt idx="706">
                  <c:v>1883.42</c:v>
                </c:pt>
                <c:pt idx="707">
                  <c:v>1904.9</c:v>
                </c:pt>
                <c:pt idx="708">
                  <c:v>1902.9</c:v>
                </c:pt>
                <c:pt idx="709">
                  <c:v>1905.39</c:v>
                </c:pt>
                <c:pt idx="710">
                  <c:v>1927.68</c:v>
                </c:pt>
                <c:pt idx="711">
                  <c:v>1932.82</c:v>
                </c:pt>
                <c:pt idx="712">
                  <c:v>1998.1</c:v>
                </c:pt>
                <c:pt idx="713">
                  <c:v>2002.38</c:v>
                </c:pt>
                <c:pt idx="714">
                  <c:v>2012.71</c:v>
                </c:pt>
                <c:pt idx="715">
                  <c:v>2039.51</c:v>
                </c:pt>
                <c:pt idx="716">
                  <c:v>1994.82</c:v>
                </c:pt>
                <c:pt idx="717">
                  <c:v>1958.31</c:v>
                </c:pt>
                <c:pt idx="718">
                  <c:v>1952.07</c:v>
                </c:pt>
                <c:pt idx="719">
                  <c:v>1939.01</c:v>
                </c:pt>
                <c:pt idx="720">
                  <c:v>1987.15</c:v>
                </c:pt>
                <c:pt idx="721">
                  <c:v>1990</c:v>
                </c:pt>
                <c:pt idx="722">
                  <c:v>1989.87</c:v>
                </c:pt>
                <c:pt idx="723">
                  <c:v>1970.19</c:v>
                </c:pt>
                <c:pt idx="724">
                  <c:v>1908.03</c:v>
                </c:pt>
                <c:pt idx="725">
                  <c:v>1941.05</c:v>
                </c:pt>
                <c:pt idx="726">
                  <c:v>1926.42</c:v>
                </c:pt>
                <c:pt idx="727">
                  <c:v>1944.3</c:v>
                </c:pt>
                <c:pt idx="728">
                  <c:v>1915.01</c:v>
                </c:pt>
                <c:pt idx="729">
                  <c:v>1934.36</c:v>
                </c:pt>
                <c:pt idx="730">
                  <c:v>1974.55</c:v>
                </c:pt>
                <c:pt idx="731">
                  <c:v>1974.85</c:v>
                </c:pt>
                <c:pt idx="732">
                  <c:v>2012.98</c:v>
                </c:pt>
                <c:pt idx="733">
                  <c:v>2003</c:v>
                </c:pt>
                <c:pt idx="734">
                  <c:v>2004.36</c:v>
                </c:pt>
                <c:pt idx="735">
                  <c:v>1971.31</c:v>
                </c:pt>
                <c:pt idx="736">
                  <c:v>1952.76</c:v>
                </c:pt>
                <c:pt idx="737">
                  <c:v>1909.42</c:v>
                </c:pt>
                <c:pt idx="738">
                  <c:v>1889.65</c:v>
                </c:pt>
                <c:pt idx="739">
                  <c:v>1864.42</c:v>
                </c:pt>
                <c:pt idx="740">
                  <c:v>1870.32</c:v>
                </c:pt>
                <c:pt idx="741">
                  <c:v>1755.25</c:v>
                </c:pt>
                <c:pt idx="742">
                  <c:v>1719.36</c:v>
                </c:pt>
                <c:pt idx="743">
                  <c:v>1788.61</c:v>
                </c:pt>
                <c:pt idx="744">
                  <c:v>1760.95</c:v>
                </c:pt>
                <c:pt idx="745">
                  <c:v>1819.96</c:v>
                </c:pt>
                <c:pt idx="746">
                  <c:v>1831.73</c:v>
                </c:pt>
                <c:pt idx="747">
                  <c:v>1770.72</c:v>
                </c:pt>
                <c:pt idx="748">
                  <c:v>1764.03</c:v>
                </c:pt>
                <c:pt idx="749">
                  <c:v>1789.3</c:v>
                </c:pt>
                <c:pt idx="750">
                  <c:v>1768.7</c:v>
                </c:pt>
                <c:pt idx="751">
                  <c:v>1664.2</c:v>
                </c:pt>
                <c:pt idx="752">
                  <c:v>1782.17</c:v>
                </c:pt>
                <c:pt idx="753">
                  <c:v>1642.81</c:v>
                </c:pt>
                <c:pt idx="754">
                  <c:v>1538.88</c:v>
                </c:pt>
                <c:pt idx="755">
                  <c:v>1530.42</c:v>
                </c:pt>
                <c:pt idx="756">
                  <c:v>1598.01</c:v>
                </c:pt>
                <c:pt idx="757">
                  <c:v>1665.53</c:v>
                </c:pt>
                <c:pt idx="758">
                  <c:v>1665.53</c:v>
                </c:pt>
                <c:pt idx="759">
                  <c:v>1627.8</c:v>
                </c:pt>
                <c:pt idx="760">
                  <c:v>1642.81</c:v>
                </c:pt>
                <c:pt idx="761">
                  <c:v>1755.49</c:v>
                </c:pt>
                <c:pt idx="762">
                  <c:v>1754.91</c:v>
                </c:pt>
                <c:pt idx="763">
                  <c:v>1712.43</c:v>
                </c:pt>
                <c:pt idx="764">
                  <c:v>1636.85</c:v>
                </c:pt>
                <c:pt idx="765">
                  <c:v>1631.17</c:v>
                </c:pt>
                <c:pt idx="766">
                  <c:v>1599.01</c:v>
                </c:pt>
                <c:pt idx="767">
                  <c:v>1619.44</c:v>
                </c:pt>
                <c:pt idx="768">
                  <c:v>1593.41</c:v>
                </c:pt>
                <c:pt idx="769">
                  <c:v>1512.29</c:v>
                </c:pt>
                <c:pt idx="770">
                  <c:v>1495.46</c:v>
                </c:pt>
                <c:pt idx="771">
                  <c:v>1516.73</c:v>
                </c:pt>
                <c:pt idx="772">
                  <c:v>1502.06</c:v>
                </c:pt>
                <c:pt idx="773">
                  <c:v>1581.33</c:v>
                </c:pt>
                <c:pt idx="774">
                  <c:v>1581.42</c:v>
                </c:pt>
                <c:pt idx="775">
                  <c:v>1677.75</c:v>
                </c:pt>
                <c:pt idx="776">
                  <c:v>1673.57</c:v>
                </c:pt>
                <c:pt idx="777">
                  <c:v>1690.17</c:v>
                </c:pt>
                <c:pt idx="778">
                  <c:v>1772.36</c:v>
                </c:pt>
                <c:pt idx="779">
                  <c:v>1668.4</c:v>
                </c:pt>
                <c:pt idx="780">
                  <c:v>1699.19</c:v>
                </c:pt>
                <c:pt idx="781">
                  <c:v>1629.13</c:v>
                </c:pt>
                <c:pt idx="782">
                  <c:v>1641.03</c:v>
                </c:pt>
                <c:pt idx="783">
                  <c:v>1643.24</c:v>
                </c:pt>
                <c:pt idx="784">
                  <c:v>1663.54</c:v>
                </c:pt>
                <c:pt idx="785">
                  <c:v>1658.38</c:v>
                </c:pt>
                <c:pt idx="786">
                  <c:v>1591.91</c:v>
                </c:pt>
                <c:pt idx="787">
                  <c:v>1520.91</c:v>
                </c:pt>
                <c:pt idx="788">
                  <c:v>1551.48</c:v>
                </c:pt>
                <c:pt idx="789">
                  <c:v>1495.08</c:v>
                </c:pt>
                <c:pt idx="790">
                  <c:v>1460.83</c:v>
                </c:pt>
                <c:pt idx="791">
                  <c:v>1377.45</c:v>
                </c:pt>
                <c:pt idx="792">
                  <c:v>1343.96</c:v>
                </c:pt>
                <c:pt idx="793">
                  <c:v>1470.9</c:v>
                </c:pt>
                <c:pt idx="794">
                  <c:v>1461.64</c:v>
                </c:pt>
                <c:pt idx="795">
                  <c:v>1478.02</c:v>
                </c:pt>
                <c:pt idx="796">
                  <c:v>1501.97</c:v>
                </c:pt>
                <c:pt idx="797">
                  <c:v>1501.97</c:v>
                </c:pt>
                <c:pt idx="798">
                  <c:v>1539.13</c:v>
                </c:pt>
                <c:pt idx="799">
                  <c:v>1500.28</c:v>
                </c:pt>
                <c:pt idx="800">
                  <c:v>1575.39</c:v>
                </c:pt>
                <c:pt idx="801">
                  <c:v>1629.51</c:v>
                </c:pt>
                <c:pt idx="802">
                  <c:v>1656.58</c:v>
                </c:pt>
                <c:pt idx="803">
                  <c:v>1659.42</c:v>
                </c:pt>
                <c:pt idx="804">
                  <c:v>1656.22</c:v>
                </c:pt>
                <c:pt idx="805">
                  <c:v>1640.56</c:v>
                </c:pt>
                <c:pt idx="806">
                  <c:v>1617.21</c:v>
                </c:pt>
                <c:pt idx="807">
                  <c:v>1674.56</c:v>
                </c:pt>
                <c:pt idx="808">
                  <c:v>1683.78</c:v>
                </c:pt>
                <c:pt idx="809">
                  <c:v>1693.22</c:v>
                </c:pt>
                <c:pt idx="810">
                  <c:v>1696.2</c:v>
                </c:pt>
                <c:pt idx="811">
                  <c:v>1696.2</c:v>
                </c:pt>
                <c:pt idx="812">
                  <c:v>1632.17</c:v>
                </c:pt>
                <c:pt idx="813">
                  <c:v>1640.02</c:v>
                </c:pt>
                <c:pt idx="814">
                  <c:v>1654.93</c:v>
                </c:pt>
                <c:pt idx="815">
                  <c:v>1670.57</c:v>
                </c:pt>
                <c:pt idx="816">
                  <c:v>1637.89</c:v>
                </c:pt>
                <c:pt idx="817">
                  <c:v>1593.88</c:v>
                </c:pt>
                <c:pt idx="818">
                  <c:v>1670.43</c:v>
                </c:pt>
                <c:pt idx="819">
                  <c:v>1718.73</c:v>
                </c:pt>
                <c:pt idx="820">
                  <c:v>1626.23</c:v>
                </c:pt>
                <c:pt idx="821">
                  <c:v>1633.31</c:v>
                </c:pt>
                <c:pt idx="822">
                  <c:v>1658.81</c:v>
                </c:pt>
                <c:pt idx="823">
                  <c:v>1640.26</c:v>
                </c:pt>
                <c:pt idx="824">
                  <c:v>1614.37</c:v>
                </c:pt>
                <c:pt idx="825">
                  <c:v>1588.22</c:v>
                </c:pt>
                <c:pt idx="826">
                  <c:v>1591</c:v>
                </c:pt>
                <c:pt idx="827">
                  <c:v>1638.01</c:v>
                </c:pt>
                <c:pt idx="828">
                  <c:v>1640</c:v>
                </c:pt>
                <c:pt idx="829">
                  <c:v>1622.65</c:v>
                </c:pt>
                <c:pt idx="830">
                  <c:v>1607.95</c:v>
                </c:pt>
                <c:pt idx="831">
                  <c:v>1607.95</c:v>
                </c:pt>
                <c:pt idx="832">
                  <c:v>1627.58</c:v>
                </c:pt>
                <c:pt idx="833">
                  <c:v>1622.1</c:v>
                </c:pt>
                <c:pt idx="834">
                  <c:v>1619.44</c:v>
                </c:pt>
                <c:pt idx="835">
                  <c:v>1631.56</c:v>
                </c:pt>
                <c:pt idx="836">
                  <c:v>1633</c:v>
                </c:pt>
                <c:pt idx="837">
                  <c:v>1636.4</c:v>
                </c:pt>
                <c:pt idx="838">
                  <c:v>1641.09</c:v>
                </c:pt>
                <c:pt idx="839">
                  <c:v>1639.83</c:v>
                </c:pt>
                <c:pt idx="840">
                  <c:v>1671.73</c:v>
                </c:pt>
                <c:pt idx="841">
                  <c:v>1696.17</c:v>
                </c:pt>
                <c:pt idx="842">
                  <c:v>1692.43</c:v>
                </c:pt>
                <c:pt idx="843">
                  <c:v>1668.95</c:v>
                </c:pt>
                <c:pt idx="844">
                  <c:v>1625.95</c:v>
                </c:pt>
                <c:pt idx="845">
                  <c:v>1620.8</c:v>
                </c:pt>
                <c:pt idx="846">
                  <c:v>1670.62</c:v>
                </c:pt>
                <c:pt idx="847">
                  <c:v>1673.1</c:v>
                </c:pt>
                <c:pt idx="848">
                  <c:v>1690.81</c:v>
                </c:pt>
                <c:pt idx="849">
                  <c:v>1686.22</c:v>
                </c:pt>
                <c:pt idx="850">
                  <c:v>1712.36</c:v>
                </c:pt>
                <c:pt idx="851">
                  <c:v>1742.15</c:v>
                </c:pt>
                <c:pt idx="852">
                  <c:v>1761.85</c:v>
                </c:pt>
                <c:pt idx="853">
                  <c:v>1797.27</c:v>
                </c:pt>
                <c:pt idx="854">
                  <c:v>1819.26</c:v>
                </c:pt>
                <c:pt idx="855">
                  <c:v>1764.77</c:v>
                </c:pt>
                <c:pt idx="856">
                  <c:v>1774.26</c:v>
                </c:pt>
                <c:pt idx="857">
                  <c:v>1783.76</c:v>
                </c:pt>
                <c:pt idx="858">
                  <c:v>1765.7</c:v>
                </c:pt>
                <c:pt idx="859">
                  <c:v>1773.42</c:v>
                </c:pt>
                <c:pt idx="860">
                  <c:v>1780.75</c:v>
                </c:pt>
                <c:pt idx="861">
                  <c:v>1814.19</c:v>
                </c:pt>
                <c:pt idx="862">
                  <c:v>1813.98</c:v>
                </c:pt>
                <c:pt idx="863">
                  <c:v>1820.7</c:v>
                </c:pt>
                <c:pt idx="864">
                  <c:v>1818.86</c:v>
                </c:pt>
                <c:pt idx="865">
                  <c:v>1837.28</c:v>
                </c:pt>
                <c:pt idx="866">
                  <c:v>1849.86</c:v>
                </c:pt>
                <c:pt idx="867">
                  <c:v>1835.84</c:v>
                </c:pt>
                <c:pt idx="868">
                  <c:v>1847.33</c:v>
                </c:pt>
                <c:pt idx="869">
                  <c:v>1844.07</c:v>
                </c:pt>
                <c:pt idx="870">
                  <c:v>1843.06</c:v>
                </c:pt>
                <c:pt idx="871">
                  <c:v>1844.87</c:v>
                </c:pt>
                <c:pt idx="872">
                  <c:v>1863.04</c:v>
                </c:pt>
                <c:pt idx="873">
                  <c:v>1864.82</c:v>
                </c:pt>
                <c:pt idx="874">
                  <c:v>1861.69</c:v>
                </c:pt>
                <c:pt idx="875">
                  <c:v>1861.69</c:v>
                </c:pt>
                <c:pt idx="876">
                  <c:v>1887.31</c:v>
                </c:pt>
                <c:pt idx="877">
                  <c:v>1923.77</c:v>
                </c:pt>
                <c:pt idx="878">
                  <c:v>1901.75</c:v>
                </c:pt>
                <c:pt idx="879">
                  <c:v>1902.25</c:v>
                </c:pt>
                <c:pt idx="880">
                  <c:v>1950.63</c:v>
                </c:pt>
                <c:pt idx="881">
                  <c:v>1938.43</c:v>
                </c:pt>
                <c:pt idx="882">
                  <c:v>1926.52</c:v>
                </c:pt>
                <c:pt idx="883">
                  <c:v>1911.52</c:v>
                </c:pt>
                <c:pt idx="884">
                  <c:v>1900.82</c:v>
                </c:pt>
                <c:pt idx="885">
                  <c:v>1962.46</c:v>
                </c:pt>
                <c:pt idx="886">
                  <c:v>1950.55</c:v>
                </c:pt>
                <c:pt idx="887">
                  <c:v>1921</c:v>
                </c:pt>
                <c:pt idx="888">
                  <c:v>1917.77</c:v>
                </c:pt>
                <c:pt idx="889">
                  <c:v>1899.87</c:v>
                </c:pt>
                <c:pt idx="890">
                  <c:v>1889.98</c:v>
                </c:pt>
                <c:pt idx="891">
                  <c:v>1822.68</c:v>
                </c:pt>
                <c:pt idx="892">
                  <c:v>1840.12</c:v>
                </c:pt>
                <c:pt idx="893">
                  <c:v>1871.15</c:v>
                </c:pt>
                <c:pt idx="894">
                  <c:v>1907.57</c:v>
                </c:pt>
                <c:pt idx="895">
                  <c:v>1869</c:v>
                </c:pt>
                <c:pt idx="896">
                  <c:v>1858.97</c:v>
                </c:pt>
                <c:pt idx="897">
                  <c:v>1857.52</c:v>
                </c:pt>
                <c:pt idx="898">
                  <c:v>1859.68</c:v>
                </c:pt>
                <c:pt idx="899">
                  <c:v>1815.48</c:v>
                </c:pt>
                <c:pt idx="900">
                  <c:v>1823.28</c:v>
                </c:pt>
                <c:pt idx="901">
                  <c:v>1823.28</c:v>
                </c:pt>
                <c:pt idx="902">
                  <c:v>1836.43</c:v>
                </c:pt>
                <c:pt idx="903">
                  <c:v>1819.19</c:v>
                </c:pt>
                <c:pt idx="904">
                  <c:v>1816.32</c:v>
                </c:pt>
                <c:pt idx="905">
                  <c:v>1775.07</c:v>
                </c:pt>
                <c:pt idx="906">
                  <c:v>1692.69</c:v>
                </c:pt>
                <c:pt idx="907">
                  <c:v>1729.56</c:v>
                </c:pt>
                <c:pt idx="908">
                  <c:v>1738.5</c:v>
                </c:pt>
                <c:pt idx="909">
                  <c:v>1754.36</c:v>
                </c:pt>
                <c:pt idx="910">
                  <c:v>1804.03</c:v>
                </c:pt>
                <c:pt idx="911">
                  <c:v>1860.63</c:v>
                </c:pt>
                <c:pt idx="912">
                  <c:v>1863.7</c:v>
                </c:pt>
                <c:pt idx="913">
                  <c:v>1855.32</c:v>
                </c:pt>
                <c:pt idx="914">
                  <c:v>1870.3</c:v>
                </c:pt>
                <c:pt idx="915">
                  <c:v>1869.67</c:v>
                </c:pt>
                <c:pt idx="916">
                  <c:v>1886.03</c:v>
                </c:pt>
                <c:pt idx="917">
                  <c:v>1901.37</c:v>
                </c:pt>
                <c:pt idx="918">
                  <c:v>1908.79</c:v>
                </c:pt>
                <c:pt idx="919">
                  <c:v>1918.19</c:v>
                </c:pt>
                <c:pt idx="920">
                  <c:v>1911.3</c:v>
                </c:pt>
                <c:pt idx="921">
                  <c:v>1913.9</c:v>
                </c:pt>
                <c:pt idx="922">
                  <c:v>1878.27</c:v>
                </c:pt>
                <c:pt idx="923">
                  <c:v>1897.83</c:v>
                </c:pt>
                <c:pt idx="924">
                  <c:v>1904.28</c:v>
                </c:pt>
                <c:pt idx="925">
                  <c:v>1893.63</c:v>
                </c:pt>
                <c:pt idx="926">
                  <c:v>1922.19</c:v>
                </c:pt>
                <c:pt idx="927">
                  <c:v>1934.31</c:v>
                </c:pt>
                <c:pt idx="928">
                  <c:v>1939</c:v>
                </c:pt>
                <c:pt idx="929">
                  <c:v>1939</c:v>
                </c:pt>
                <c:pt idx="930">
                  <c:v>1942.91</c:v>
                </c:pt>
                <c:pt idx="931">
                  <c:v>1952.32</c:v>
                </c:pt>
                <c:pt idx="932">
                  <c:v>1988.3</c:v>
                </c:pt>
                <c:pt idx="933">
                  <c:v>2017.41</c:v>
                </c:pt>
                <c:pt idx="934">
                  <c:v>2001.07</c:v>
                </c:pt>
                <c:pt idx="935">
                  <c:v>2011</c:v>
                </c:pt>
                <c:pt idx="936">
                  <c:v>2020.99</c:v>
                </c:pt>
                <c:pt idx="937">
                  <c:v>2009.9</c:v>
                </c:pt>
                <c:pt idx="938">
                  <c:v>1992.03</c:v>
                </c:pt>
                <c:pt idx="939">
                  <c:v>1977.9</c:v>
                </c:pt>
                <c:pt idx="940">
                  <c:v>1964.52</c:v>
                </c:pt>
                <c:pt idx="941">
                  <c:v>1985.63</c:v>
                </c:pt>
                <c:pt idx="942">
                  <c:v>1994.49</c:v>
                </c:pt>
                <c:pt idx="943">
                  <c:v>2000.81</c:v>
                </c:pt>
                <c:pt idx="944">
                  <c:v>1973.82</c:v>
                </c:pt>
                <c:pt idx="945">
                  <c:v>1943.05</c:v>
                </c:pt>
                <c:pt idx="946">
                  <c:v>1912.45</c:v>
                </c:pt>
                <c:pt idx="947">
                  <c:v>1898.53</c:v>
                </c:pt>
                <c:pt idx="948">
                  <c:v>1866.78</c:v>
                </c:pt>
                <c:pt idx="949">
                  <c:v>1855.32</c:v>
                </c:pt>
                <c:pt idx="950">
                  <c:v>1823.24</c:v>
                </c:pt>
                <c:pt idx="951">
                  <c:v>1765.13</c:v>
                </c:pt>
                <c:pt idx="952">
                  <c:v>1787.83</c:v>
                </c:pt>
                <c:pt idx="953">
                  <c:v>1793.4</c:v>
                </c:pt>
                <c:pt idx="954">
                  <c:v>1832.89</c:v>
                </c:pt>
                <c:pt idx="955">
                  <c:v>1807.58</c:v>
                </c:pt>
                <c:pt idx="956">
                  <c:v>1784.92</c:v>
                </c:pt>
                <c:pt idx="957">
                  <c:v>1824.34</c:v>
                </c:pt>
                <c:pt idx="958">
                  <c:v>1762.96</c:v>
                </c:pt>
                <c:pt idx="959">
                  <c:v>1776.12</c:v>
                </c:pt>
                <c:pt idx="960">
                  <c:v>1792.57</c:v>
                </c:pt>
                <c:pt idx="961">
                  <c:v>1816.12</c:v>
                </c:pt>
                <c:pt idx="962">
                  <c:v>1801.38</c:v>
                </c:pt>
                <c:pt idx="963">
                  <c:v>1823.54</c:v>
                </c:pt>
                <c:pt idx="964">
                  <c:v>1805.6</c:v>
                </c:pt>
                <c:pt idx="965">
                  <c:v>1749.62</c:v>
                </c:pt>
                <c:pt idx="966">
                  <c:v>1768.87</c:v>
                </c:pt>
                <c:pt idx="967">
                  <c:v>1761.83</c:v>
                </c:pt>
                <c:pt idx="968">
                  <c:v>1764.25</c:v>
                </c:pt>
                <c:pt idx="969">
                  <c:v>1786.4</c:v>
                </c:pt>
                <c:pt idx="970">
                  <c:v>1776.29</c:v>
                </c:pt>
                <c:pt idx="971">
                  <c:v>1776.29</c:v>
                </c:pt>
                <c:pt idx="972">
                  <c:v>1789.84</c:v>
                </c:pt>
                <c:pt idx="973">
                  <c:v>1800.62</c:v>
                </c:pt>
                <c:pt idx="974">
                  <c:v>1840.72</c:v>
                </c:pt>
                <c:pt idx="975">
                  <c:v>1833.51</c:v>
                </c:pt>
                <c:pt idx="976">
                  <c:v>1831.35</c:v>
                </c:pt>
                <c:pt idx="977">
                  <c:v>1820.55</c:v>
                </c:pt>
                <c:pt idx="978">
                  <c:v>1822.99</c:v>
                </c:pt>
                <c:pt idx="979">
                  <c:v>1843.55</c:v>
                </c:pt>
                <c:pt idx="980">
                  <c:v>1839.34</c:v>
                </c:pt>
                <c:pt idx="981">
                  <c:v>1807.84</c:v>
                </c:pt>
                <c:pt idx="982">
                  <c:v>1822.55</c:v>
                </c:pt>
                <c:pt idx="983">
                  <c:v>1817.46</c:v>
                </c:pt>
                <c:pt idx="984">
                  <c:v>1821.5</c:v>
                </c:pt>
                <c:pt idx="985">
                  <c:v>1794.16</c:v>
                </c:pt>
                <c:pt idx="986">
                  <c:v>1785.3</c:v>
                </c:pt>
                <c:pt idx="987">
                  <c:v>1741.61</c:v>
                </c:pt>
                <c:pt idx="988">
                  <c:v>1768.33</c:v>
                </c:pt>
                <c:pt idx="989">
                  <c:v>1739.84</c:v>
                </c:pt>
                <c:pt idx="990">
                  <c:v>1725.45</c:v>
                </c:pt>
                <c:pt idx="991">
                  <c:v>1735.91</c:v>
                </c:pt>
                <c:pt idx="992">
                  <c:v>1735.65</c:v>
                </c:pt>
                <c:pt idx="993">
                  <c:v>1713.23</c:v>
                </c:pt>
                <c:pt idx="994">
                  <c:v>1724.42</c:v>
                </c:pt>
                <c:pt idx="995">
                  <c:v>1739.65</c:v>
                </c:pt>
                <c:pt idx="996">
                  <c:v>1732.66</c:v>
                </c:pt>
                <c:pt idx="997">
                  <c:v>1705.51</c:v>
                </c:pt>
                <c:pt idx="998">
                  <c:v>1721.99</c:v>
                </c:pt>
                <c:pt idx="999">
                  <c:v>1720.26</c:v>
                </c:pt>
                <c:pt idx="1000">
                  <c:v>1731.92</c:v>
                </c:pt>
                <c:pt idx="1001">
                  <c:v>1736.43</c:v>
                </c:pt>
                <c:pt idx="1002">
                  <c:v>1767.38</c:v>
                </c:pt>
                <c:pt idx="1003">
                  <c:v>1777.43</c:v>
                </c:pt>
                <c:pt idx="1004">
                  <c:v>1787.48</c:v>
                </c:pt>
                <c:pt idx="1005">
                  <c:v>1757.51</c:v>
                </c:pt>
                <c:pt idx="1006">
                  <c:v>1785.66</c:v>
                </c:pt>
                <c:pt idx="1007">
                  <c:v>1765.73</c:v>
                </c:pt>
                <c:pt idx="1008">
                  <c:v>1762.17</c:v>
                </c:pt>
                <c:pt idx="1009">
                  <c:v>1780.78</c:v>
                </c:pt>
                <c:pt idx="1010">
                  <c:v>1761.33</c:v>
                </c:pt>
                <c:pt idx="1011">
                  <c:v>1777.08</c:v>
                </c:pt>
                <c:pt idx="1012">
                  <c:v>1762.71</c:v>
                </c:pt>
                <c:pt idx="1013">
                  <c:v>1779.99</c:v>
                </c:pt>
                <c:pt idx="1014">
                  <c:v>1776.66</c:v>
                </c:pt>
                <c:pt idx="1015">
                  <c:v>1791.44</c:v>
                </c:pt>
                <c:pt idx="1016">
                  <c:v>1804.66</c:v>
                </c:pt>
                <c:pt idx="1017">
                  <c:v>1801.71</c:v>
                </c:pt>
                <c:pt idx="1018">
                  <c:v>1795.77</c:v>
                </c:pt>
                <c:pt idx="1019">
                  <c:v>1788.2</c:v>
                </c:pt>
                <c:pt idx="1020">
                  <c:v>1785.88</c:v>
                </c:pt>
                <c:pt idx="1021">
                  <c:v>1771.65</c:v>
                </c:pt>
                <c:pt idx="1022">
                  <c:v>1778</c:v>
                </c:pt>
                <c:pt idx="1023">
                  <c:v>1753.11</c:v>
                </c:pt>
                <c:pt idx="1024">
                  <c:v>1754.6</c:v>
                </c:pt>
                <c:pt idx="1025">
                  <c:v>1739.49</c:v>
                </c:pt>
                <c:pt idx="1026">
                  <c:v>1752.53</c:v>
                </c:pt>
                <c:pt idx="1027">
                  <c:v>1752.79</c:v>
                </c:pt>
                <c:pt idx="1028">
                  <c:v>1745.53</c:v>
                </c:pt>
                <c:pt idx="1029">
                  <c:v>1734.71</c:v>
                </c:pt>
                <c:pt idx="1030">
                  <c:v>1745.72</c:v>
                </c:pt>
                <c:pt idx="1031">
                  <c:v>1773.84</c:v>
                </c:pt>
                <c:pt idx="1032">
                  <c:v>1796.94</c:v>
                </c:pt>
                <c:pt idx="1033">
                  <c:v>1818.51</c:v>
                </c:pt>
                <c:pt idx="1034">
                  <c:v>1818.51</c:v>
                </c:pt>
                <c:pt idx="1035">
                  <c:v>1800.8</c:v>
                </c:pt>
                <c:pt idx="1036">
                  <c:v>1781.6</c:v>
                </c:pt>
                <c:pt idx="1037">
                  <c:v>1769.96</c:v>
                </c:pt>
                <c:pt idx="1038">
                  <c:v>1760.69</c:v>
                </c:pt>
                <c:pt idx="1039">
                  <c:v>1740.48</c:v>
                </c:pt>
                <c:pt idx="1040">
                  <c:v>1751.6</c:v>
                </c:pt>
                <c:pt idx="1041">
                  <c:v>1749.51</c:v>
                </c:pt>
                <c:pt idx="1042">
                  <c:v>1739.21</c:v>
                </c:pt>
                <c:pt idx="1043">
                  <c:v>1748.72</c:v>
                </c:pt>
                <c:pt idx="1044">
                  <c:v>1760.33</c:v>
                </c:pt>
                <c:pt idx="1045">
                  <c:v>1760.94</c:v>
                </c:pt>
                <c:pt idx="1046">
                  <c:v>1769.21</c:v>
                </c:pt>
                <c:pt idx="1047">
                  <c:v>1790.66</c:v>
                </c:pt>
                <c:pt idx="1048">
                  <c:v>1784.03</c:v>
                </c:pt>
                <c:pt idx="1049">
                  <c:v>1792.28</c:v>
                </c:pt>
                <c:pt idx="1050">
                  <c:v>1786.5</c:v>
                </c:pt>
                <c:pt idx="1051">
                  <c:v>1793</c:v>
                </c:pt>
                <c:pt idx="1052">
                  <c:v>1789.21</c:v>
                </c:pt>
                <c:pt idx="1053">
                  <c:v>1789.21</c:v>
                </c:pt>
                <c:pt idx="1054">
                  <c:v>1868.77</c:v>
                </c:pt>
                <c:pt idx="1055">
                  <c:v>1869.8</c:v>
                </c:pt>
                <c:pt idx="1056">
                  <c:v>1846.89</c:v>
                </c:pt>
                <c:pt idx="1057">
                  <c:v>1847.84</c:v>
                </c:pt>
                <c:pt idx="1058">
                  <c:v>1898.01</c:v>
                </c:pt>
                <c:pt idx="1059">
                  <c:v>1874.97</c:v>
                </c:pt>
                <c:pt idx="1060">
                  <c:v>1902.88</c:v>
                </c:pt>
                <c:pt idx="1061">
                  <c:v>1906.86</c:v>
                </c:pt>
                <c:pt idx="1062">
                  <c:v>1891.97</c:v>
                </c:pt>
                <c:pt idx="1063">
                  <c:v>1901.05</c:v>
                </c:pt>
                <c:pt idx="1064">
                  <c:v>1883.16</c:v>
                </c:pt>
                <c:pt idx="1065">
                  <c:v>1891.3</c:v>
                </c:pt>
                <c:pt idx="1066">
                  <c:v>1869.44</c:v>
                </c:pt>
                <c:pt idx="1067">
                  <c:v>1862.02</c:v>
                </c:pt>
                <c:pt idx="1068">
                  <c:v>1877.94</c:v>
                </c:pt>
                <c:pt idx="1069">
                  <c:v>1864.72</c:v>
                </c:pt>
                <c:pt idx="1070">
                  <c:v>1892</c:v>
                </c:pt>
                <c:pt idx="1071">
                  <c:v>1887.46</c:v>
                </c:pt>
                <c:pt idx="1072">
                  <c:v>1884.58</c:v>
                </c:pt>
                <c:pt idx="1073">
                  <c:v>1861.64</c:v>
                </c:pt>
                <c:pt idx="1074">
                  <c:v>1828.34</c:v>
                </c:pt>
                <c:pt idx="1075">
                  <c:v>1853.25</c:v>
                </c:pt>
                <c:pt idx="1076">
                  <c:v>1858</c:v>
                </c:pt>
                <c:pt idx="1077">
                  <c:v>1870.68</c:v>
                </c:pt>
                <c:pt idx="1078">
                  <c:v>2008.72</c:v>
                </c:pt>
                <c:pt idx="1079">
                  <c:v>2004.2</c:v>
                </c:pt>
                <c:pt idx="1080">
                  <c:v>2049.67</c:v>
                </c:pt>
                <c:pt idx="1081">
                  <c:v>2039.87</c:v>
                </c:pt>
                <c:pt idx="1082">
                  <c:v>2050.23</c:v>
                </c:pt>
                <c:pt idx="1083">
                  <c:v>2079.2800000000002</c:v>
                </c:pt>
                <c:pt idx="1084">
                  <c:v>2133.91</c:v>
                </c:pt>
                <c:pt idx="1085">
                  <c:v>2150.8000000000002</c:v>
                </c:pt>
                <c:pt idx="1086">
                  <c:v>2160</c:v>
                </c:pt>
                <c:pt idx="1087">
                  <c:v>2149.87</c:v>
                </c:pt>
                <c:pt idx="1088">
                  <c:v>2134.87</c:v>
                </c:pt>
                <c:pt idx="1089">
                  <c:v>2155.67</c:v>
                </c:pt>
                <c:pt idx="1090">
                  <c:v>2170.2199999999998</c:v>
                </c:pt>
                <c:pt idx="1091">
                  <c:v>2153.1</c:v>
                </c:pt>
                <c:pt idx="1092">
                  <c:v>2095.9699999999998</c:v>
                </c:pt>
                <c:pt idx="1093">
                  <c:v>2009.29</c:v>
                </c:pt>
                <c:pt idx="1094">
                  <c:v>1972.74</c:v>
                </c:pt>
                <c:pt idx="1095">
                  <c:v>1979.59</c:v>
                </c:pt>
                <c:pt idx="1096">
                  <c:v>1884.3</c:v>
                </c:pt>
                <c:pt idx="1097">
                  <c:v>1883.75</c:v>
                </c:pt>
                <c:pt idx="1098">
                  <c:v>1953.95</c:v>
                </c:pt>
                <c:pt idx="1099">
                  <c:v>1908.99</c:v>
                </c:pt>
                <c:pt idx="1100">
                  <c:v>1975.83</c:v>
                </c:pt>
                <c:pt idx="1101">
                  <c:v>1924.03</c:v>
                </c:pt>
                <c:pt idx="1102">
                  <c:v>1901.09</c:v>
                </c:pt>
                <c:pt idx="1103">
                  <c:v>1800.61</c:v>
                </c:pt>
                <c:pt idx="1104">
                  <c:v>1891.82</c:v>
                </c:pt>
                <c:pt idx="1105">
                  <c:v>1820.86</c:v>
                </c:pt>
                <c:pt idx="1106">
                  <c:v>1676.61</c:v>
                </c:pt>
                <c:pt idx="1107">
                  <c:v>1785</c:v>
                </c:pt>
                <c:pt idx="1108">
                  <c:v>1689.15</c:v>
                </c:pt>
                <c:pt idx="1109">
                  <c:v>1807.84</c:v>
                </c:pt>
                <c:pt idx="1110">
                  <c:v>1830</c:v>
                </c:pt>
                <c:pt idx="1111">
                  <c:v>1880.93</c:v>
                </c:pt>
                <c:pt idx="1112">
                  <c:v>1846.09</c:v>
                </c:pt>
                <c:pt idx="1113">
                  <c:v>1902.83</c:v>
                </c:pt>
                <c:pt idx="1114">
                  <c:v>1940.1</c:v>
                </c:pt>
                <c:pt idx="1115">
                  <c:v>1885.84</c:v>
                </c:pt>
                <c:pt idx="1116">
                  <c:v>1955.49</c:v>
                </c:pt>
                <c:pt idx="1117">
                  <c:v>1900.1</c:v>
                </c:pt>
                <c:pt idx="1118">
                  <c:v>1963.95</c:v>
                </c:pt>
                <c:pt idx="1119">
                  <c:v>1949.72</c:v>
                </c:pt>
                <c:pt idx="1120">
                  <c:v>1907.7</c:v>
                </c:pt>
                <c:pt idx="1121">
                  <c:v>1918.83</c:v>
                </c:pt>
                <c:pt idx="1122">
                  <c:v>1906.59</c:v>
                </c:pt>
                <c:pt idx="1123">
                  <c:v>1997.59</c:v>
                </c:pt>
                <c:pt idx="1124">
                  <c:v>2011.6</c:v>
                </c:pt>
                <c:pt idx="1125">
                  <c:v>2043</c:v>
                </c:pt>
                <c:pt idx="1126">
                  <c:v>2042.76</c:v>
                </c:pt>
                <c:pt idx="1127">
                  <c:v>2168.87</c:v>
                </c:pt>
                <c:pt idx="1128">
                  <c:v>2283.3200000000002</c:v>
                </c:pt>
                <c:pt idx="1129">
                  <c:v>2307.6799999999998</c:v>
                </c:pt>
                <c:pt idx="1130">
                  <c:v>2408.19</c:v>
                </c:pt>
                <c:pt idx="1131">
                  <c:v>2375</c:v>
                </c:pt>
                <c:pt idx="1132">
                  <c:v>2393.61</c:v>
                </c:pt>
                <c:pt idx="1133">
                  <c:v>2328.12</c:v>
                </c:pt>
                <c:pt idx="1134">
                  <c:v>2363.4899999999998</c:v>
                </c:pt>
                <c:pt idx="1135">
                  <c:v>2399.4499999999998</c:v>
                </c:pt>
                <c:pt idx="1136">
                  <c:v>2410.2199999999998</c:v>
                </c:pt>
                <c:pt idx="1137">
                  <c:v>2376</c:v>
                </c:pt>
                <c:pt idx="1138">
                  <c:v>2314.08</c:v>
                </c:pt>
                <c:pt idx="1139">
                  <c:v>2372.71</c:v>
                </c:pt>
                <c:pt idx="1140">
                  <c:v>2474</c:v>
                </c:pt>
                <c:pt idx="1141">
                  <c:v>2286.04</c:v>
                </c:pt>
                <c:pt idx="1142">
                  <c:v>2315.9899999999998</c:v>
                </c:pt>
                <c:pt idx="1143">
                  <c:v>2317.8000000000002</c:v>
                </c:pt>
                <c:pt idx="1144">
                  <c:v>2351.2600000000002</c:v>
                </c:pt>
                <c:pt idx="1145">
                  <c:v>2367.61</c:v>
                </c:pt>
                <c:pt idx="1146">
                  <c:v>2379.61</c:v>
                </c:pt>
                <c:pt idx="1147">
                  <c:v>2409</c:v>
                </c:pt>
                <c:pt idx="1148">
                  <c:v>2356.9499999999998</c:v>
                </c:pt>
                <c:pt idx="1149">
                  <c:v>2367.92</c:v>
                </c:pt>
                <c:pt idx="1150">
                  <c:v>2388.85</c:v>
                </c:pt>
                <c:pt idx="1151">
                  <c:v>2409.7800000000002</c:v>
                </c:pt>
                <c:pt idx="1152">
                  <c:v>2426.2600000000002</c:v>
                </c:pt>
                <c:pt idx="1153">
                  <c:v>2449.33</c:v>
                </c:pt>
                <c:pt idx="1154">
                  <c:v>2497.94</c:v>
                </c:pt>
                <c:pt idx="1155">
                  <c:v>2446.7399999999998</c:v>
                </c:pt>
                <c:pt idx="1156">
                  <c:v>2436.88</c:v>
                </c:pt>
                <c:pt idx="1157">
                  <c:v>2421.86</c:v>
                </c:pt>
                <c:pt idx="1158">
                  <c:v>2410.39</c:v>
                </c:pt>
                <c:pt idx="1159">
                  <c:v>2401.1</c:v>
                </c:pt>
                <c:pt idx="1160">
                  <c:v>2442.37</c:v>
                </c:pt>
                <c:pt idx="1161">
                  <c:v>2471.04</c:v>
                </c:pt>
                <c:pt idx="1162">
                  <c:v>2472.41</c:v>
                </c:pt>
                <c:pt idx="1163">
                  <c:v>2478.4</c:v>
                </c:pt>
                <c:pt idx="1164">
                  <c:v>2460.6</c:v>
                </c:pt>
                <c:pt idx="1165">
                  <c:v>2483</c:v>
                </c:pt>
                <c:pt idx="1166">
                  <c:v>2524.06</c:v>
                </c:pt>
                <c:pt idx="1167">
                  <c:v>2600.86</c:v>
                </c:pt>
                <c:pt idx="1168">
                  <c:v>2647.45</c:v>
                </c:pt>
                <c:pt idx="1169">
                  <c:v>2557.96</c:v>
                </c:pt>
                <c:pt idx="1170">
                  <c:v>2545.02</c:v>
                </c:pt>
                <c:pt idx="1171">
                  <c:v>2572.6799999999998</c:v>
                </c:pt>
                <c:pt idx="1172">
                  <c:v>2615.27</c:v>
                </c:pt>
                <c:pt idx="1173">
                  <c:v>2640.98</c:v>
                </c:pt>
                <c:pt idx="1174">
                  <c:v>2653.98</c:v>
                </c:pt>
                <c:pt idx="1175">
                  <c:v>2675.01</c:v>
                </c:pt>
                <c:pt idx="1176">
                  <c:v>2713.82</c:v>
                </c:pt>
                <c:pt idx="1177">
                  <c:v>2764.41</c:v>
                </c:pt>
                <c:pt idx="1178">
                  <c:v>2734.4</c:v>
                </c:pt>
                <c:pt idx="1179">
                  <c:v>2754.58</c:v>
                </c:pt>
                <c:pt idx="1180">
                  <c:v>2692.87</c:v>
                </c:pt>
                <c:pt idx="1181">
                  <c:v>2680.38</c:v>
                </c:pt>
                <c:pt idx="1182">
                  <c:v>2758.82</c:v>
                </c:pt>
                <c:pt idx="1183">
                  <c:v>2878.7</c:v>
                </c:pt>
                <c:pt idx="1184">
                  <c:v>2890.3</c:v>
                </c:pt>
                <c:pt idx="1185">
                  <c:v>3057.04</c:v>
                </c:pt>
                <c:pt idx="1186">
                  <c:v>3000.12</c:v>
                </c:pt>
                <c:pt idx="1187">
                  <c:v>3081.11</c:v>
                </c:pt>
                <c:pt idx="1188">
                  <c:v>3182.63</c:v>
                </c:pt>
                <c:pt idx="1189">
                  <c:v>3200</c:v>
                </c:pt>
                <c:pt idx="1190">
                  <c:v>3104</c:v>
                </c:pt>
                <c:pt idx="1191">
                  <c:v>3084</c:v>
                </c:pt>
                <c:pt idx="1192">
                  <c:v>3008.87</c:v>
                </c:pt>
                <c:pt idx="1193">
                  <c:v>2999.9</c:v>
                </c:pt>
                <c:pt idx="1194">
                  <c:v>2961.97</c:v>
                </c:pt>
                <c:pt idx="1195">
                  <c:v>3196.84</c:v>
                </c:pt>
                <c:pt idx="1196">
                  <c:v>3138.29</c:v>
                </c:pt>
                <c:pt idx="1197">
                  <c:v>3099.91</c:v>
                </c:pt>
                <c:pt idx="1198">
                  <c:v>2986.55</c:v>
                </c:pt>
                <c:pt idx="1199">
                  <c:v>3008.91</c:v>
                </c:pt>
                <c:pt idx="1200">
                  <c:v>3055.21</c:v>
                </c:pt>
                <c:pt idx="1201">
                  <c:v>3000.33</c:v>
                </c:pt>
                <c:pt idx="1202">
                  <c:v>3033.53</c:v>
                </c:pt>
                <c:pt idx="1203">
                  <c:v>3051.88</c:v>
                </c:pt>
                <c:pt idx="1204">
                  <c:v>3164.68</c:v>
                </c:pt>
                <c:pt idx="1205">
                  <c:v>3111.89</c:v>
                </c:pt>
                <c:pt idx="1206">
                  <c:v>3138.83</c:v>
                </c:pt>
                <c:pt idx="1207">
                  <c:v>3205.03</c:v>
                </c:pt>
                <c:pt idx="1208">
                  <c:v>3225</c:v>
                </c:pt>
                <c:pt idx="1209">
                  <c:v>3167.46</c:v>
                </c:pt>
                <c:pt idx="1210">
                  <c:v>3148.16</c:v>
                </c:pt>
                <c:pt idx="1211">
                  <c:v>3080.67</c:v>
                </c:pt>
                <c:pt idx="1212">
                  <c:v>3162.24</c:v>
                </c:pt>
                <c:pt idx="1213">
                  <c:v>3161.02</c:v>
                </c:pt>
                <c:pt idx="1214">
                  <c:v>3148.02</c:v>
                </c:pt>
                <c:pt idx="1215">
                  <c:v>3182.41</c:v>
                </c:pt>
                <c:pt idx="1216">
                  <c:v>3312.49</c:v>
                </c:pt>
                <c:pt idx="1217">
                  <c:v>3260.48</c:v>
                </c:pt>
                <c:pt idx="1218">
                  <c:v>3297.37</c:v>
                </c:pt>
                <c:pt idx="1219">
                  <c:v>3284.72</c:v>
                </c:pt>
                <c:pt idx="1220">
                  <c:v>3307.46</c:v>
                </c:pt>
                <c:pt idx="1221">
                  <c:v>3346.49</c:v>
                </c:pt>
                <c:pt idx="1222">
                  <c:v>3441.85</c:v>
                </c:pt>
                <c:pt idx="1223">
                  <c:v>3400</c:v>
                </c:pt>
                <c:pt idx="1224">
                  <c:v>3401.8</c:v>
                </c:pt>
                <c:pt idx="1225">
                  <c:v>3450.96</c:v>
                </c:pt>
                <c:pt idx="1226">
                  <c:v>3499.12</c:v>
                </c:pt>
                <c:pt idx="1227">
                  <c:v>3531.45</c:v>
                </c:pt>
                <c:pt idx="1228">
                  <c:v>3368</c:v>
                </c:pt>
                <c:pt idx="1229">
                  <c:v>3294.62</c:v>
                </c:pt>
                <c:pt idx="1230">
                  <c:v>3149.84</c:v>
                </c:pt>
                <c:pt idx="1231">
                  <c:v>3268.61</c:v>
                </c:pt>
                <c:pt idx="1232">
                  <c:v>3175.11</c:v>
                </c:pt>
                <c:pt idx="1233">
                  <c:v>3116.22</c:v>
                </c:pt>
                <c:pt idx="1234">
                  <c:v>3102.97</c:v>
                </c:pt>
                <c:pt idx="1235">
                  <c:v>3156.13</c:v>
                </c:pt>
                <c:pt idx="1236">
                  <c:v>3078.1</c:v>
                </c:pt>
                <c:pt idx="1237">
                  <c:v>3008.73</c:v>
                </c:pt>
                <c:pt idx="1238">
                  <c:v>2954.91</c:v>
                </c:pt>
                <c:pt idx="1239">
                  <c:v>2960.47</c:v>
                </c:pt>
                <c:pt idx="1240">
                  <c:v>3128.99</c:v>
                </c:pt>
                <c:pt idx="1241">
                  <c:v>2999.86</c:v>
                </c:pt>
                <c:pt idx="1242">
                  <c:v>3019.79</c:v>
                </c:pt>
                <c:pt idx="1243">
                  <c:v>3095.13</c:v>
                </c:pt>
                <c:pt idx="1244">
                  <c:v>3174.05</c:v>
                </c:pt>
                <c:pt idx="1245">
                  <c:v>3144.88</c:v>
                </c:pt>
                <c:pt idx="1246">
                  <c:v>3148.73</c:v>
                </c:pt>
                <c:pt idx="1247">
                  <c:v>3221.26</c:v>
                </c:pt>
                <c:pt idx="1248">
                  <c:v>3125</c:v>
                </c:pt>
                <c:pt idx="1249">
                  <c:v>3199.2</c:v>
                </c:pt>
                <c:pt idx="1250">
                  <c:v>3099.96</c:v>
                </c:pt>
                <c:pt idx="1251">
                  <c:v>3195.69</c:v>
                </c:pt>
                <c:pt idx="1252">
                  <c:v>3190.55</c:v>
                </c:pt>
                <c:pt idx="1253">
                  <c:v>3286.65</c:v>
                </c:pt>
                <c:pt idx="1254">
                  <c:v>3442.93</c:v>
                </c:pt>
                <c:pt idx="1255">
                  <c:v>3443.63</c:v>
                </c:pt>
                <c:pt idx="1256">
                  <c:v>3363.71</c:v>
                </c:pt>
                <c:pt idx="1257">
                  <c:v>3338.65</c:v>
                </c:pt>
                <c:pt idx="1258">
                  <c:v>3272.71</c:v>
                </c:pt>
                <c:pt idx="1259">
                  <c:v>3207.21</c:v>
                </c:pt>
                <c:pt idx="1260">
                  <c:v>3217.01</c:v>
                </c:pt>
                <c:pt idx="1261">
                  <c:v>3184.94</c:v>
                </c:pt>
                <c:pt idx="1262">
                  <c:v>3176.4</c:v>
                </c:pt>
                <c:pt idx="1263">
                  <c:v>3204.4</c:v>
                </c:pt>
                <c:pt idx="1264">
                  <c:v>3207.04</c:v>
                </c:pt>
                <c:pt idx="1265">
                  <c:v>3286.33</c:v>
                </c:pt>
                <c:pt idx="1266">
                  <c:v>3162.78</c:v>
                </c:pt>
                <c:pt idx="1267">
                  <c:v>3211.01</c:v>
                </c:pt>
                <c:pt idx="1268">
                  <c:v>3036.15</c:v>
                </c:pt>
                <c:pt idx="1269">
                  <c:v>3004.48</c:v>
                </c:pt>
                <c:pt idx="1270">
                  <c:v>3048.41</c:v>
                </c:pt>
                <c:pt idx="1271">
                  <c:v>3241.16</c:v>
                </c:pt>
                <c:pt idx="1272">
                  <c:v>3322</c:v>
                </c:pt>
                <c:pt idx="1273">
                  <c:v>3311.37</c:v>
                </c:pt>
                <c:pt idx="1274">
                  <c:v>3143.74</c:v>
                </c:pt>
                <c:pt idx="1275">
                  <c:v>3035.02</c:v>
                </c:pt>
                <c:pt idx="1276">
                  <c:v>3137.39</c:v>
                </c:pt>
                <c:pt idx="1277">
                  <c:v>3110.28</c:v>
                </c:pt>
                <c:pt idx="1278">
                  <c:v>3128.81</c:v>
                </c:pt>
                <c:pt idx="1279">
                  <c:v>3131.06</c:v>
                </c:pt>
                <c:pt idx="1280">
                  <c:v>3135.66</c:v>
                </c:pt>
                <c:pt idx="1281">
                  <c:v>3105.46</c:v>
                </c:pt>
                <c:pt idx="1282">
                  <c:v>3117.02</c:v>
                </c:pt>
                <c:pt idx="1283">
                  <c:v>3099.4</c:v>
                </c:pt>
                <c:pt idx="1284">
                  <c:v>3098.39</c:v>
                </c:pt>
                <c:pt idx="1285">
                  <c:v>3118.06</c:v>
                </c:pt>
                <c:pt idx="1286">
                  <c:v>3185.07</c:v>
                </c:pt>
                <c:pt idx="1287">
                  <c:v>3195.34</c:v>
                </c:pt>
                <c:pt idx="1288">
                  <c:v>3168.04</c:v>
                </c:pt>
                <c:pt idx="1289">
                  <c:v>3220.08</c:v>
                </c:pt>
                <c:pt idx="1290">
                  <c:v>3203.53</c:v>
                </c:pt>
                <c:pt idx="1291">
                  <c:v>3186.73</c:v>
                </c:pt>
                <c:pt idx="1292">
                  <c:v>3162.58</c:v>
                </c:pt>
                <c:pt idx="1293">
                  <c:v>3158</c:v>
                </c:pt>
                <c:pt idx="1294">
                  <c:v>3177.29</c:v>
                </c:pt>
                <c:pt idx="1295">
                  <c:v>3104.2</c:v>
                </c:pt>
                <c:pt idx="1296">
                  <c:v>3101.49</c:v>
                </c:pt>
                <c:pt idx="1297">
                  <c:v>3116.42</c:v>
                </c:pt>
                <c:pt idx="1298">
                  <c:v>3156.97</c:v>
                </c:pt>
                <c:pt idx="1299">
                  <c:v>3165.12</c:v>
                </c:pt>
                <c:pt idx="1300">
                  <c:v>3240.96</c:v>
                </c:pt>
                <c:pt idx="1301">
                  <c:v>3236.08</c:v>
                </c:pt>
                <c:pt idx="1302">
                  <c:v>3201.65</c:v>
                </c:pt>
                <c:pt idx="1303">
                  <c:v>3206.18</c:v>
                </c:pt>
                <c:pt idx="1304">
                  <c:v>3206.52</c:v>
                </c:pt>
                <c:pt idx="1305">
                  <c:v>3185.27</c:v>
                </c:pt>
                <c:pt idx="1306">
                  <c:v>3172.69</c:v>
                </c:pt>
                <c:pt idx="1307">
                  <c:v>3283.96</c:v>
                </c:pt>
                <c:pt idx="1308">
                  <c:v>3322</c:v>
                </c:pt>
                <c:pt idx="1309">
                  <c:v>3285.85</c:v>
                </c:pt>
                <c:pt idx="1310">
                  <c:v>3256.93</c:v>
                </c:pt>
                <c:pt idx="1311">
                  <c:v>3186.63</c:v>
                </c:pt>
                <c:pt idx="1312">
                  <c:v>3218.51</c:v>
                </c:pt>
                <c:pt idx="1313">
                  <c:v>3138.38</c:v>
                </c:pt>
                <c:pt idx="1314">
                  <c:v>3162.16</c:v>
                </c:pt>
                <c:pt idx="1315">
                  <c:v>3182.7</c:v>
                </c:pt>
                <c:pt idx="1316">
                  <c:v>3114.21</c:v>
                </c:pt>
                <c:pt idx="1317">
                  <c:v>3120.83</c:v>
                </c:pt>
                <c:pt idx="1318">
                  <c:v>3165.89</c:v>
                </c:pt>
                <c:pt idx="1319">
                  <c:v>3127.47</c:v>
                </c:pt>
                <c:pt idx="1320">
                  <c:v>3104.25</c:v>
                </c:pt>
                <c:pt idx="1321">
                  <c:v>3120.76</c:v>
                </c:pt>
                <c:pt idx="1322">
                  <c:v>3263.38</c:v>
                </c:pt>
                <c:pt idx="1323">
                  <c:v>3306.99</c:v>
                </c:pt>
                <c:pt idx="1324">
                  <c:v>3292.23</c:v>
                </c:pt>
                <c:pt idx="1325">
                  <c:v>3294</c:v>
                </c:pt>
                <c:pt idx="1326">
                  <c:v>3326.13</c:v>
                </c:pt>
                <c:pt idx="1327">
                  <c:v>3232.58</c:v>
                </c:pt>
                <c:pt idx="1328">
                  <c:v>3237.62</c:v>
                </c:pt>
                <c:pt idx="1329">
                  <c:v>3206.2</c:v>
                </c:pt>
                <c:pt idx="1330">
                  <c:v>3342.88</c:v>
                </c:pt>
                <c:pt idx="1331">
                  <c:v>3380</c:v>
                </c:pt>
                <c:pt idx="1332">
                  <c:v>3312.53</c:v>
                </c:pt>
                <c:pt idx="1333">
                  <c:v>3331</c:v>
                </c:pt>
                <c:pt idx="1334">
                  <c:v>3352.15</c:v>
                </c:pt>
                <c:pt idx="1335">
                  <c:v>3322.94</c:v>
                </c:pt>
                <c:pt idx="1336">
                  <c:v>3305</c:v>
                </c:pt>
                <c:pt idx="1337">
                  <c:v>3286.58</c:v>
                </c:pt>
                <c:pt idx="1338">
                  <c:v>3262.13</c:v>
                </c:pt>
                <c:pt idx="1339">
                  <c:v>3277.71</c:v>
                </c:pt>
                <c:pt idx="1340">
                  <c:v>3268.95</c:v>
                </c:pt>
                <c:pt idx="1341">
                  <c:v>3308.64</c:v>
                </c:pt>
                <c:pt idx="1342">
                  <c:v>3328.23</c:v>
                </c:pt>
                <c:pt idx="1343">
                  <c:v>3249.9</c:v>
                </c:pt>
                <c:pt idx="1344">
                  <c:v>3180.74</c:v>
                </c:pt>
                <c:pt idx="1345">
                  <c:v>3194.5</c:v>
                </c:pt>
                <c:pt idx="1346">
                  <c:v>3159.53</c:v>
                </c:pt>
                <c:pt idx="1347">
                  <c:v>3057.16</c:v>
                </c:pt>
                <c:pt idx="1348">
                  <c:v>3092.93</c:v>
                </c:pt>
                <c:pt idx="1349">
                  <c:v>3146.14</c:v>
                </c:pt>
                <c:pt idx="1350">
                  <c:v>3094.53</c:v>
                </c:pt>
                <c:pt idx="1351">
                  <c:v>3005</c:v>
                </c:pt>
                <c:pt idx="1352">
                  <c:v>2977.57</c:v>
                </c:pt>
                <c:pt idx="1353">
                  <c:v>3000.46</c:v>
                </c:pt>
                <c:pt idx="1354">
                  <c:v>2951.95</c:v>
                </c:pt>
                <c:pt idx="1355">
                  <c:v>3062.85</c:v>
                </c:pt>
                <c:pt idx="1356">
                  <c:v>3057.64</c:v>
                </c:pt>
                <c:pt idx="1357">
                  <c:v>3113.59</c:v>
                </c:pt>
                <c:pt idx="1358">
                  <c:v>3089.49</c:v>
                </c:pt>
                <c:pt idx="1359">
                  <c:v>3081.68</c:v>
                </c:pt>
                <c:pt idx="1360">
                  <c:v>3091.86</c:v>
                </c:pt>
                <c:pt idx="1361">
                  <c:v>3135.73</c:v>
                </c:pt>
                <c:pt idx="1362">
                  <c:v>3027.99</c:v>
                </c:pt>
                <c:pt idx="1363">
                  <c:v>3074.96</c:v>
                </c:pt>
              </c:numCache>
            </c:numRef>
          </c:val>
          <c:smooth val="0"/>
          <c:extLst>
            <c:ext xmlns:c16="http://schemas.microsoft.com/office/drawing/2014/chart" uri="{C3380CC4-5D6E-409C-BE32-E72D297353CC}">
              <c16:uniqueId val="{00000000-EC42-437A-AEDD-FD2DCA8E9B51}"/>
            </c:ext>
          </c:extLst>
        </c:ser>
        <c:dLbls>
          <c:showLegendKey val="0"/>
          <c:showVal val="0"/>
          <c:showCatName val="0"/>
          <c:showSerName val="0"/>
          <c:showPercent val="0"/>
          <c:showBubbleSize val="0"/>
        </c:dLbls>
        <c:smooth val="0"/>
        <c:axId val="522446752"/>
        <c:axId val="522449376"/>
      </c:lineChart>
      <c:dateAx>
        <c:axId val="52244675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rial Narrow" panose="020B0606020202030204" pitchFamily="34" charset="0"/>
                <a:ea typeface="+mn-ea"/>
                <a:cs typeface="+mn-cs"/>
              </a:defRPr>
            </a:pPr>
            <a:endParaRPr lang="pt-BR"/>
          </a:p>
        </c:txPr>
        <c:crossAx val="522449376"/>
        <c:crosses val="autoZero"/>
        <c:auto val="1"/>
        <c:lblOffset val="100"/>
        <c:baseTimeUnit val="days"/>
        <c:majorUnit val="1"/>
        <c:majorTimeUnit val="years"/>
      </c:dateAx>
      <c:valAx>
        <c:axId val="522449376"/>
        <c:scaling>
          <c:orientation val="minMax"/>
        </c:scaling>
        <c:delete val="0"/>
        <c:axPos val="l"/>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rial Narrow" panose="020B0606020202030204" pitchFamily="34" charset="0"/>
                <a:ea typeface="+mn-ea"/>
                <a:cs typeface="+mn-cs"/>
              </a:defRPr>
            </a:pPr>
            <a:endParaRPr lang="pt-BR"/>
          </a:p>
        </c:txPr>
        <c:crossAx val="522446752"/>
        <c:crosses val="autoZero"/>
        <c:crossBetween val="between"/>
        <c:majorUnit val="1000"/>
        <c:minorUnit val="500"/>
      </c:valAx>
      <c:spPr>
        <a:noFill/>
        <a:ln w="25400">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00">
          <a:latin typeface="Arial Narrow" panose="020B0606020202030204" pitchFamily="34" charset="0"/>
        </a:defRPr>
      </a:pPr>
      <a:endParaRPr lang="pt-B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Narrow" panose="020B0606020202030204" pitchFamily="34" charset="0"/>
                <a:ea typeface="+mn-ea"/>
                <a:cs typeface="+mn-cs"/>
              </a:defRPr>
            </a:pPr>
            <a:r>
              <a:rPr lang="en-US" b="1"/>
              <a:t>Total Revenue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Narrow" panose="020B0606020202030204" pitchFamily="34" charset="0"/>
              <a:ea typeface="+mn-ea"/>
              <a:cs typeface="+mn-cs"/>
            </a:defRPr>
          </a:pPr>
          <a:endParaRPr lang="pt-BR"/>
        </a:p>
      </c:txPr>
    </c:title>
    <c:autoTitleDeleted val="0"/>
    <c:plotArea>
      <c:layout/>
      <c:barChart>
        <c:barDir val="col"/>
        <c:grouping val="clustered"/>
        <c:varyColors val="0"/>
        <c:ser>
          <c:idx val="0"/>
          <c:order val="0"/>
          <c:tx>
            <c:strRef>
              <c:f>Dashboard!$AF$39</c:f>
              <c:strCache>
                <c:ptCount val="1"/>
                <c:pt idx="0">
                  <c:v>Total</c:v>
                </c:pt>
              </c:strCache>
            </c:strRef>
          </c:tx>
          <c:spPr>
            <a:solidFill>
              <a:srgbClr val="25A2AF"/>
            </a:solidFill>
            <a:ln>
              <a:noFill/>
            </a:ln>
            <a:effectLst/>
          </c:spPr>
          <c:invertIfNegative val="0"/>
          <c:cat>
            <c:numRef>
              <c:f>Dashboard!$AH$32:$AO$32</c:f>
              <c:numCache>
                <c:formatCode>0"A"</c:formatCode>
                <c:ptCount val="8"/>
                <c:pt idx="0">
                  <c:v>2018</c:v>
                </c:pt>
                <c:pt idx="1">
                  <c:v>2019</c:v>
                </c:pt>
                <c:pt idx="2">
                  <c:v>2020</c:v>
                </c:pt>
                <c:pt idx="3" formatCode="0&quot;E&quot;">
                  <c:v>2021</c:v>
                </c:pt>
                <c:pt idx="4" formatCode="0&quot;E&quot;">
                  <c:v>2022</c:v>
                </c:pt>
                <c:pt idx="5" formatCode="0&quot;E&quot;">
                  <c:v>2023</c:v>
                </c:pt>
                <c:pt idx="6" formatCode="0&quot;E&quot;">
                  <c:v>2024</c:v>
                </c:pt>
                <c:pt idx="7" formatCode="0&quot;E&quot;">
                  <c:v>2025</c:v>
                </c:pt>
              </c:numCache>
            </c:numRef>
          </c:cat>
          <c:val>
            <c:numRef>
              <c:f>Dashboard!$AH$39:$AO$39</c:f>
              <c:numCache>
                <c:formatCode>"$"#,##0;\-"$"#,##0</c:formatCode>
                <c:ptCount val="8"/>
                <c:pt idx="0">
                  <c:v>232887</c:v>
                </c:pt>
                <c:pt idx="1">
                  <c:v>280522</c:v>
                </c:pt>
                <c:pt idx="2">
                  <c:v>386064</c:v>
                </c:pt>
                <c:pt idx="3">
                  <c:v>501746.89221783733</c:v>
                </c:pt>
                <c:pt idx="4">
                  <c:v>627105.7885271376</c:v>
                </c:pt>
                <c:pt idx="5">
                  <c:v>757039.18970139662</c:v>
                </c:pt>
                <c:pt idx="6">
                  <c:v>886470.93194407481</c:v>
                </c:pt>
                <c:pt idx="7">
                  <c:v>1010963.5118962658</c:v>
                </c:pt>
              </c:numCache>
            </c:numRef>
          </c:val>
          <c:extLst>
            <c:ext xmlns:c16="http://schemas.microsoft.com/office/drawing/2014/chart" uri="{C3380CC4-5D6E-409C-BE32-E72D297353CC}">
              <c16:uniqueId val="{00000000-EDDC-498C-826A-32A3BBFF343A}"/>
            </c:ext>
          </c:extLst>
        </c:ser>
        <c:dLbls>
          <c:showLegendKey val="0"/>
          <c:showVal val="0"/>
          <c:showCatName val="0"/>
          <c:showSerName val="0"/>
          <c:showPercent val="0"/>
          <c:showBubbleSize val="0"/>
        </c:dLbls>
        <c:gapWidth val="70"/>
        <c:overlap val="-27"/>
        <c:axId val="1217181792"/>
        <c:axId val="914393184"/>
      </c:barChart>
      <c:catAx>
        <c:axId val="1217181792"/>
        <c:scaling>
          <c:orientation val="minMax"/>
        </c:scaling>
        <c:delete val="0"/>
        <c:axPos val="b"/>
        <c:numFmt formatCode="0&quot;A&quot;"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Narrow" panose="020B0606020202030204" pitchFamily="34" charset="0"/>
                <a:ea typeface="+mn-ea"/>
                <a:cs typeface="+mn-cs"/>
              </a:defRPr>
            </a:pPr>
            <a:endParaRPr lang="pt-BR"/>
          </a:p>
        </c:txPr>
        <c:crossAx val="914393184"/>
        <c:crosses val="autoZero"/>
        <c:auto val="1"/>
        <c:lblAlgn val="ctr"/>
        <c:lblOffset val="100"/>
        <c:noMultiLvlLbl val="0"/>
      </c:catAx>
      <c:valAx>
        <c:axId val="914393184"/>
        <c:scaling>
          <c:orientation val="minMax"/>
        </c:scaling>
        <c:delete val="0"/>
        <c:axPos val="l"/>
        <c:numFmt formatCode="&quot;$&quot;#,##0_);\(&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Narrow" panose="020B0606020202030204" pitchFamily="34" charset="0"/>
                <a:ea typeface="+mn-ea"/>
                <a:cs typeface="+mn-cs"/>
              </a:defRPr>
            </a:pPr>
            <a:endParaRPr lang="pt-BR"/>
          </a:p>
        </c:txPr>
        <c:crossAx val="1217181792"/>
        <c:crosses val="autoZero"/>
        <c:crossBetween val="between"/>
        <c:dispUnits>
          <c:builtInUnit val="thousands"/>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Narrow" panose="020B0606020202030204" pitchFamily="34" charset="0"/>
        </a:defRPr>
      </a:pPr>
      <a:endParaRPr lang="pt-B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150991740494912"/>
          <c:y val="4.9724928954217471E-2"/>
          <c:w val="0.77197011096219004"/>
          <c:h val="0.77750354517031051"/>
        </c:manualLayout>
      </c:layout>
      <c:barChart>
        <c:barDir val="bar"/>
        <c:grouping val="clustered"/>
        <c:varyColors val="0"/>
        <c:ser>
          <c:idx val="1"/>
          <c:order val="0"/>
          <c:spPr>
            <a:solidFill>
              <a:srgbClr val="1E8496"/>
            </a:solidFill>
            <a:ln>
              <a:noFill/>
            </a:ln>
            <a:effectLst/>
          </c:spPr>
          <c:invertIfNegative val="0"/>
          <c:dPt>
            <c:idx val="0"/>
            <c:invertIfNegative val="0"/>
            <c:bubble3D val="0"/>
            <c:spPr>
              <a:solidFill>
                <a:srgbClr val="FA621C"/>
              </a:solidFill>
              <a:ln>
                <a:noFill/>
              </a:ln>
              <a:effectLst/>
            </c:spPr>
            <c:extLst>
              <c:ext xmlns:c16="http://schemas.microsoft.com/office/drawing/2014/chart" uri="{C3380CC4-5D6E-409C-BE32-E72D297353CC}">
                <c16:uniqueId val="{00000004-91F3-46E2-9CC8-5C7C5C493A76}"/>
              </c:ext>
            </c:extLst>
          </c:dPt>
          <c:dPt>
            <c:idx val="1"/>
            <c:invertIfNegative val="0"/>
            <c:bubble3D val="0"/>
            <c:spPr>
              <a:solidFill>
                <a:srgbClr val="FA621C"/>
              </a:solidFill>
              <a:ln>
                <a:noFill/>
              </a:ln>
              <a:effectLst/>
            </c:spPr>
            <c:extLst>
              <c:ext xmlns:c16="http://schemas.microsoft.com/office/drawing/2014/chart" uri="{C3380CC4-5D6E-409C-BE32-E72D297353CC}">
                <c16:uniqueId val="{00000003-91F3-46E2-9CC8-5C7C5C493A76}"/>
              </c:ext>
            </c:extLst>
          </c:dPt>
          <c:dPt>
            <c:idx val="2"/>
            <c:invertIfNegative val="0"/>
            <c:bubble3D val="0"/>
            <c:spPr>
              <a:solidFill>
                <a:srgbClr val="25A2AF"/>
              </a:solidFill>
              <a:ln>
                <a:noFill/>
              </a:ln>
              <a:effectLst/>
            </c:spPr>
            <c:extLst>
              <c:ext xmlns:c16="http://schemas.microsoft.com/office/drawing/2014/chart" uri="{C3380CC4-5D6E-409C-BE32-E72D297353CC}">
                <c16:uniqueId val="{00000007-315E-486C-81DA-31B96CDC05B8}"/>
              </c:ext>
            </c:extLst>
          </c:dPt>
          <c:dPt>
            <c:idx val="3"/>
            <c:invertIfNegative val="0"/>
            <c:bubble3D val="0"/>
            <c:spPr>
              <a:solidFill>
                <a:srgbClr val="25A2AF"/>
              </a:solidFill>
              <a:ln>
                <a:noFill/>
              </a:ln>
              <a:effectLst/>
            </c:spPr>
            <c:extLst>
              <c:ext xmlns:c16="http://schemas.microsoft.com/office/drawing/2014/chart" uri="{C3380CC4-5D6E-409C-BE32-E72D297353CC}">
                <c16:uniqueId val="{00000005-315E-486C-81DA-31B96CDC05B8}"/>
              </c:ext>
            </c:extLst>
          </c:dPt>
          <c:dPt>
            <c:idx val="4"/>
            <c:invertIfNegative val="0"/>
            <c:bubble3D val="0"/>
            <c:spPr>
              <a:solidFill>
                <a:srgbClr val="25A2AF"/>
              </a:solidFill>
              <a:ln>
                <a:noFill/>
              </a:ln>
              <a:effectLst/>
            </c:spPr>
            <c:extLst>
              <c:ext xmlns:c16="http://schemas.microsoft.com/office/drawing/2014/chart" uri="{C3380CC4-5D6E-409C-BE32-E72D297353CC}">
                <c16:uniqueId val="{00000006-315E-486C-81DA-31B96CDC05B8}"/>
              </c:ext>
            </c:extLst>
          </c:dPt>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Dashboard!$AF$24:$AF$28</c:f>
              <c:strCache>
                <c:ptCount val="5"/>
                <c:pt idx="0">
                  <c:v>52-Week Trading</c:v>
                </c:pt>
                <c:pt idx="1">
                  <c:v>Consensus Research </c:v>
                </c:pt>
                <c:pt idx="2">
                  <c:v>Precedent Tx</c:v>
                </c:pt>
                <c:pt idx="3">
                  <c:v>SOTP</c:v>
                </c:pt>
                <c:pt idx="4">
                  <c:v>DCF</c:v>
                </c:pt>
              </c:strCache>
            </c:strRef>
          </c:cat>
          <c:val>
            <c:numRef>
              <c:f>Dashboard!$AH$24:$AH$28</c:f>
              <c:numCache>
                <c:formatCode>"$"#,##0;\-"$"#,##0</c:formatCode>
                <c:ptCount val="5"/>
                <c:pt idx="0">
                  <c:v>3531.45</c:v>
                </c:pt>
                <c:pt idx="1">
                  <c:v>5200</c:v>
                </c:pt>
                <c:pt idx="2">
                  <c:v>2119.4930799564122</c:v>
                </c:pt>
                <c:pt idx="3">
                  <c:v>7472.4371101109646</c:v>
                </c:pt>
                <c:pt idx="4">
                  <c:v>6162.6674221040385</c:v>
                </c:pt>
              </c:numCache>
            </c:numRef>
          </c:val>
          <c:extLst>
            <c:ext xmlns:c16="http://schemas.microsoft.com/office/drawing/2014/chart" uri="{C3380CC4-5D6E-409C-BE32-E72D297353CC}">
              <c16:uniqueId val="{00000001-91F3-46E2-9CC8-5C7C5C493A76}"/>
            </c:ext>
          </c:extLst>
        </c:ser>
        <c:ser>
          <c:idx val="0"/>
          <c:order val="1"/>
          <c:spPr>
            <a:solidFill>
              <a:schemeClr val="bg1"/>
            </a:solidFill>
            <a:ln>
              <a:solidFill>
                <a:schemeClr val="bg1"/>
              </a:solidFill>
            </a:ln>
            <a:effectLst/>
          </c:spPr>
          <c:invertIfNegative val="0"/>
          <c:dLbls>
            <c:numFmt formatCode="&quot;$&quot;#,##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pt-B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Dashboard!$AF$24:$AF$28</c:f>
              <c:strCache>
                <c:ptCount val="5"/>
                <c:pt idx="0">
                  <c:v>52-Week Trading</c:v>
                </c:pt>
                <c:pt idx="1">
                  <c:v>Consensus Research </c:v>
                </c:pt>
                <c:pt idx="2">
                  <c:v>Precedent Tx</c:v>
                </c:pt>
                <c:pt idx="3">
                  <c:v>SOTP</c:v>
                </c:pt>
                <c:pt idx="4">
                  <c:v>DCF</c:v>
                </c:pt>
              </c:strCache>
            </c:strRef>
          </c:cat>
          <c:val>
            <c:numRef>
              <c:f>Dashboard!$AG$24:$AG$28</c:f>
              <c:numCache>
                <c:formatCode>"$"#,##0;\-"$"#,##0</c:formatCode>
                <c:ptCount val="5"/>
                <c:pt idx="0">
                  <c:v>1846.09</c:v>
                </c:pt>
                <c:pt idx="1">
                  <c:v>3700</c:v>
                </c:pt>
                <c:pt idx="2">
                  <c:v>524.71239093804593</c:v>
                </c:pt>
                <c:pt idx="3">
                  <c:v>2455.8132600349263</c:v>
                </c:pt>
                <c:pt idx="4">
                  <c:v>3375.3624374697561</c:v>
                </c:pt>
              </c:numCache>
            </c:numRef>
          </c:val>
          <c:extLst>
            <c:ext xmlns:c16="http://schemas.microsoft.com/office/drawing/2014/chart" uri="{C3380CC4-5D6E-409C-BE32-E72D297353CC}">
              <c16:uniqueId val="{00000000-91F3-46E2-9CC8-5C7C5C493A76}"/>
            </c:ext>
          </c:extLst>
        </c:ser>
        <c:dLbls>
          <c:dLblPos val="outEnd"/>
          <c:showLegendKey val="0"/>
          <c:showVal val="1"/>
          <c:showCatName val="0"/>
          <c:showSerName val="0"/>
          <c:showPercent val="0"/>
          <c:showBubbleSize val="0"/>
        </c:dLbls>
        <c:gapWidth val="182"/>
        <c:overlap val="100"/>
        <c:axId val="1750772160"/>
        <c:axId val="1750839968"/>
      </c:barChart>
      <c:scatterChart>
        <c:scatterStyle val="lineMarker"/>
        <c:varyColors val="0"/>
        <c:ser>
          <c:idx val="2"/>
          <c:order val="2"/>
          <c:tx>
            <c:strRef>
              <c:f>Dashboard!$AI$22</c:f>
              <c:strCache>
                <c:ptCount val="1"/>
                <c:pt idx="0">
                  <c:v>Current Share Price</c:v>
                </c:pt>
              </c:strCache>
            </c:strRef>
          </c:tx>
          <c:spPr>
            <a:ln w="28575" cap="rnd">
              <a:solidFill>
                <a:srgbClr val="ED942D"/>
              </a:solidFill>
              <a:prstDash val="sysDash"/>
              <a:round/>
            </a:ln>
            <a:effectLst/>
          </c:spPr>
          <c:marker>
            <c:symbol val="none"/>
          </c:marker>
          <c:dLbls>
            <c:dLbl>
              <c:idx val="0"/>
              <c:layout>
                <c:manualLayout>
                  <c:x val="-0.18445633621798321"/>
                  <c:y val="0.11376045754053438"/>
                </c:manualLayout>
              </c:layout>
              <c:tx>
                <c:rich>
                  <a:bodyPr/>
                  <a:lstStyle/>
                  <a:p>
                    <a:fld id="{37908EFC-8CDF-47D3-87D8-09DF8E7E8D80}" type="SERIESNAME">
                      <a:rPr lang="en-US">
                        <a:solidFill>
                          <a:srgbClr val="ED942D"/>
                        </a:solidFill>
                      </a:rPr>
                      <a:pPr/>
                      <a:t>[NOME DA SÉRIE]</a:t>
                    </a:fld>
                    <a:r>
                      <a:rPr lang="en-US">
                        <a:solidFill>
                          <a:srgbClr val="ED942D"/>
                        </a:solidFill>
                      </a:rPr>
                      <a:t>: $3,075</a:t>
                    </a:r>
                  </a:p>
                </c:rich>
              </c:tx>
              <c:showLegendKey val="0"/>
              <c:showVal val="1"/>
              <c:showCatName val="0"/>
              <c:showSerName val="0"/>
              <c:showPercent val="0"/>
              <c:showBubbleSize val="0"/>
              <c:extLst>
                <c:ext xmlns:c15="http://schemas.microsoft.com/office/drawing/2012/chart" uri="{CE6537A1-D6FC-4f65-9D91-7224C49458BB}">
                  <c15:layout>
                    <c:manualLayout>
                      <c:w val="0.24484703357134224"/>
                      <c:h val="4.6696228736096954E-2"/>
                    </c:manualLayout>
                  </c15:layout>
                  <c15:dlblFieldTable/>
                  <c15:showDataLabelsRange val="0"/>
                </c:ext>
                <c:ext xmlns:c16="http://schemas.microsoft.com/office/drawing/2014/chart" uri="{C3380CC4-5D6E-409C-BE32-E72D297353CC}">
                  <c16:uniqueId val="{00000007-91F3-46E2-9CC8-5C7C5C493A76}"/>
                </c:ext>
              </c:extLst>
            </c:dLbl>
            <c:dLbl>
              <c:idx val="1"/>
              <c:delete val="1"/>
              <c:extLst>
                <c:ext xmlns:c15="http://schemas.microsoft.com/office/drawing/2012/chart" uri="{CE6537A1-D6FC-4f65-9D91-7224C49458BB}"/>
                <c:ext xmlns:c16="http://schemas.microsoft.com/office/drawing/2014/chart" uri="{C3380CC4-5D6E-409C-BE32-E72D297353CC}">
                  <c16:uniqueId val="{00000006-91F3-46E2-9CC8-5C7C5C493A76}"/>
                </c:ext>
              </c:extLst>
            </c:dLbl>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Arial Narrow" panose="020B0606020202030204" pitchFamily="34" charset="0"/>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numRef>
              <c:f>Dashboard!$AI$24:$AI$25</c:f>
              <c:numCache>
                <c:formatCode>"$"#,##0;\-"$"#,##0</c:formatCode>
                <c:ptCount val="2"/>
                <c:pt idx="0">
                  <c:v>3074.96</c:v>
                </c:pt>
                <c:pt idx="1">
                  <c:v>3074.96</c:v>
                </c:pt>
              </c:numCache>
            </c:numRef>
          </c:xVal>
          <c:yVal>
            <c:numRef>
              <c:f>Dashboard!$AJ$24:$AJ$25</c:f>
              <c:numCache>
                <c:formatCode>"$"#,##0;\-"$"#,##0</c:formatCode>
                <c:ptCount val="2"/>
                <c:pt idx="0">
                  <c:v>0</c:v>
                </c:pt>
                <c:pt idx="1">
                  <c:v>5</c:v>
                </c:pt>
              </c:numCache>
            </c:numRef>
          </c:yVal>
          <c:smooth val="0"/>
          <c:extLst>
            <c:ext xmlns:c16="http://schemas.microsoft.com/office/drawing/2014/chart" uri="{C3380CC4-5D6E-409C-BE32-E72D297353CC}">
              <c16:uniqueId val="{00000005-91F3-46E2-9CC8-5C7C5C493A76}"/>
            </c:ext>
          </c:extLst>
        </c:ser>
        <c:ser>
          <c:idx val="3"/>
          <c:order val="3"/>
          <c:tx>
            <c:strRef>
              <c:f>Dashboard!$AK$22</c:f>
              <c:strCache>
                <c:ptCount val="1"/>
                <c:pt idx="0">
                  <c:v>Average Implied Value</c:v>
                </c:pt>
              </c:strCache>
            </c:strRef>
          </c:tx>
          <c:spPr>
            <a:ln w="28575" cap="rnd">
              <a:solidFill>
                <a:srgbClr val="132E57"/>
              </a:solidFill>
              <a:prstDash val="sysDash"/>
              <a:round/>
            </a:ln>
            <a:effectLst/>
          </c:spPr>
          <c:marker>
            <c:symbol val="none"/>
          </c:marker>
          <c:dLbls>
            <c:dLbl>
              <c:idx val="0"/>
              <c:layout>
                <c:manualLayout>
                  <c:x val="-5.17708507101235E-4"/>
                  <c:y val="0.11518920388858182"/>
                </c:manualLayout>
              </c:layout>
              <c:tx>
                <c:rich>
                  <a:bodyPr/>
                  <a:lstStyle/>
                  <a:p>
                    <a:fld id="{E73014D8-C610-4777-8969-7E4CB5EE84AD}" type="SERIESNAME">
                      <a:rPr lang="en-US"/>
                      <a:pPr/>
                      <a:t>[NOME DA SÉRIE]</a:t>
                    </a:fld>
                    <a:r>
                      <a:rPr lang="en-US"/>
                      <a:t>: $3,735</a:t>
                    </a:r>
                  </a:p>
                </c:rich>
              </c:tx>
              <c:showLegendKey val="0"/>
              <c:showVal val="1"/>
              <c:showCatName val="0"/>
              <c:showSerName val="0"/>
              <c:showPercent val="0"/>
              <c:showBubbleSize val="0"/>
              <c:extLst>
                <c:ext xmlns:c15="http://schemas.microsoft.com/office/drawing/2012/chart" uri="{CE6537A1-D6FC-4f65-9D91-7224C49458BB}">
                  <c15:layout>
                    <c:manualLayout>
                      <c:w val="0.2478632197689048"/>
                      <c:h val="6.4778021083085127E-2"/>
                    </c:manualLayout>
                  </c15:layout>
                  <c15:dlblFieldTable/>
                  <c15:showDataLabelsRange val="0"/>
                </c:ext>
                <c:ext xmlns:c16="http://schemas.microsoft.com/office/drawing/2014/chart" uri="{C3380CC4-5D6E-409C-BE32-E72D297353CC}">
                  <c16:uniqueId val="{0000002C-91F3-46E2-9CC8-5C7C5C493A76}"/>
                </c:ext>
              </c:extLst>
            </c:dLbl>
            <c:dLbl>
              <c:idx val="1"/>
              <c:delete val="1"/>
              <c:extLst>
                <c:ext xmlns:c15="http://schemas.microsoft.com/office/drawing/2012/chart" uri="{CE6537A1-D6FC-4f65-9D91-7224C49458BB}"/>
                <c:ext xmlns:c16="http://schemas.microsoft.com/office/drawing/2014/chart" uri="{C3380CC4-5D6E-409C-BE32-E72D297353CC}">
                  <c16:uniqueId val="{0000002D-91F3-46E2-9CC8-5C7C5C493A76}"/>
                </c:ext>
              </c:extLst>
            </c:dLbl>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Arial Narrow" panose="020B0606020202030204" pitchFamily="34" charset="0"/>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numRef>
              <c:f>Dashboard!$AK$24:$AK$25</c:f>
              <c:numCache>
                <c:formatCode>"$"#,##0;\-"$"#,##0</c:formatCode>
                <c:ptCount val="2"/>
                <c:pt idx="0">
                  <c:v>3685.0809501023573</c:v>
                </c:pt>
                <c:pt idx="1">
                  <c:v>3685.0809501023573</c:v>
                </c:pt>
              </c:numCache>
            </c:numRef>
          </c:xVal>
          <c:yVal>
            <c:numRef>
              <c:f>Dashboard!$AL$24:$AL$25</c:f>
              <c:numCache>
                <c:formatCode>"$"#,##0;\-"$"#,##0</c:formatCode>
                <c:ptCount val="2"/>
                <c:pt idx="0">
                  <c:v>0</c:v>
                </c:pt>
                <c:pt idx="1">
                  <c:v>5</c:v>
                </c:pt>
              </c:numCache>
            </c:numRef>
          </c:yVal>
          <c:smooth val="0"/>
          <c:extLst>
            <c:ext xmlns:c16="http://schemas.microsoft.com/office/drawing/2014/chart" uri="{C3380CC4-5D6E-409C-BE32-E72D297353CC}">
              <c16:uniqueId val="{0000002A-91F3-46E2-9CC8-5C7C5C493A76}"/>
            </c:ext>
          </c:extLst>
        </c:ser>
        <c:dLbls>
          <c:showLegendKey val="0"/>
          <c:showVal val="0"/>
          <c:showCatName val="0"/>
          <c:showSerName val="0"/>
          <c:showPercent val="0"/>
          <c:showBubbleSize val="0"/>
        </c:dLbls>
        <c:axId val="1578216256"/>
        <c:axId val="1578215008"/>
      </c:scatterChart>
      <c:catAx>
        <c:axId val="17507721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mn-cs"/>
              </a:defRPr>
            </a:pPr>
            <a:endParaRPr lang="pt-BR"/>
          </a:p>
        </c:txPr>
        <c:crossAx val="1750839968"/>
        <c:crosses val="autoZero"/>
        <c:auto val="1"/>
        <c:lblAlgn val="ctr"/>
        <c:lblOffset val="100"/>
        <c:noMultiLvlLbl val="0"/>
      </c:catAx>
      <c:valAx>
        <c:axId val="1750839968"/>
        <c:scaling>
          <c:orientation val="minMax"/>
          <c:max val="11000"/>
          <c:min val="0"/>
        </c:scaling>
        <c:delete val="0"/>
        <c:axPos val="b"/>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Narrow" panose="020B0606020202030204" pitchFamily="34" charset="0"/>
                <a:ea typeface="+mn-ea"/>
                <a:cs typeface="+mn-cs"/>
              </a:defRPr>
            </a:pPr>
            <a:endParaRPr lang="pt-BR"/>
          </a:p>
        </c:txPr>
        <c:crossAx val="1750772160"/>
        <c:crosses val="autoZero"/>
        <c:crossBetween val="between"/>
      </c:valAx>
      <c:valAx>
        <c:axId val="1578215008"/>
        <c:scaling>
          <c:orientation val="minMax"/>
          <c:max val="5"/>
        </c:scaling>
        <c:delete val="1"/>
        <c:axPos val="r"/>
        <c:numFmt formatCode="&quot;$&quot;#,##0;\-&quot;$&quot;#,##0" sourceLinked="1"/>
        <c:majorTickMark val="out"/>
        <c:minorTickMark val="none"/>
        <c:tickLblPos val="nextTo"/>
        <c:crossAx val="1578216256"/>
        <c:crosses val="max"/>
        <c:crossBetween val="midCat"/>
      </c:valAx>
      <c:valAx>
        <c:axId val="1578216256"/>
        <c:scaling>
          <c:orientation val="minMax"/>
        </c:scaling>
        <c:delete val="1"/>
        <c:axPos val="b"/>
        <c:numFmt formatCode="&quot;$&quot;#,##0;\-&quot;$&quot;#,##0" sourceLinked="1"/>
        <c:majorTickMark val="out"/>
        <c:minorTickMark val="none"/>
        <c:tickLblPos val="nextTo"/>
        <c:crossAx val="157821500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Narrow" panose="020B0606020202030204" pitchFamily="34" charset="0"/>
        </a:defRPr>
      </a:pPr>
      <a:endParaRPr lang="pt-B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Narrow" panose="020B0606020202030204" pitchFamily="34" charset="0"/>
                <a:ea typeface="+mn-ea"/>
                <a:cs typeface="+mn-cs"/>
              </a:defRPr>
            </a:pPr>
            <a:r>
              <a:rPr lang="en-US" sz="1400" b="1" i="0" u="none" strike="noStrike" baseline="0">
                <a:effectLst/>
              </a:rPr>
              <a:t> Net Earnings &amp; </a:t>
            </a:r>
            <a:r>
              <a:rPr lang="en-US" b="1"/>
              <a:t>EBITDA </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Narrow" panose="020B0606020202030204" pitchFamily="34" charset="0"/>
              <a:ea typeface="+mn-ea"/>
              <a:cs typeface="+mn-cs"/>
            </a:defRPr>
          </a:pPr>
          <a:endParaRPr lang="pt-BR"/>
        </a:p>
      </c:txPr>
    </c:title>
    <c:autoTitleDeleted val="0"/>
    <c:plotArea>
      <c:layout>
        <c:manualLayout>
          <c:layoutTarget val="inner"/>
          <c:xMode val="edge"/>
          <c:yMode val="edge"/>
          <c:x val="0.13427467272112459"/>
          <c:y val="0.15975724087120688"/>
          <c:w val="0.82073555222775063"/>
          <c:h val="0.73628954275452407"/>
        </c:manualLayout>
      </c:layout>
      <c:barChart>
        <c:barDir val="col"/>
        <c:grouping val="clustered"/>
        <c:varyColors val="0"/>
        <c:ser>
          <c:idx val="1"/>
          <c:order val="0"/>
          <c:tx>
            <c:strRef>
              <c:f>Dashboard!$AF$16</c:f>
              <c:strCache>
                <c:ptCount val="1"/>
                <c:pt idx="0">
                  <c:v>Net Earnings</c:v>
                </c:pt>
              </c:strCache>
            </c:strRef>
          </c:tx>
          <c:spPr>
            <a:solidFill>
              <a:srgbClr val="FA621C"/>
            </a:solidFill>
            <a:ln>
              <a:noFill/>
            </a:ln>
            <a:effectLst/>
          </c:spPr>
          <c:invertIfNegative val="0"/>
          <c:cat>
            <c:numRef>
              <c:f>Dashboard!$AH$13:$AO$13</c:f>
              <c:numCache>
                <c:formatCode>0"A"</c:formatCode>
                <c:ptCount val="8"/>
                <c:pt idx="0">
                  <c:v>2018</c:v>
                </c:pt>
                <c:pt idx="1">
                  <c:v>2019</c:v>
                </c:pt>
                <c:pt idx="2">
                  <c:v>2020</c:v>
                </c:pt>
                <c:pt idx="3" formatCode="0&quot;E&quot;">
                  <c:v>2021</c:v>
                </c:pt>
                <c:pt idx="4" formatCode="0&quot;E&quot;">
                  <c:v>2022</c:v>
                </c:pt>
                <c:pt idx="5" formatCode="0&quot;E&quot;">
                  <c:v>2023</c:v>
                </c:pt>
                <c:pt idx="6" formatCode="0&quot;E&quot;">
                  <c:v>2024</c:v>
                </c:pt>
                <c:pt idx="7" formatCode="0&quot;E&quot;">
                  <c:v>2025</c:v>
                </c:pt>
              </c:numCache>
            </c:numRef>
          </c:cat>
          <c:val>
            <c:numRef>
              <c:f>Dashboard!$AH$16:$AO$16</c:f>
              <c:numCache>
                <c:formatCode>"$"#,##0;\-"$"#,##0</c:formatCode>
                <c:ptCount val="8"/>
                <c:pt idx="0">
                  <c:v>10073</c:v>
                </c:pt>
                <c:pt idx="1">
                  <c:v>11588</c:v>
                </c:pt>
                <c:pt idx="2">
                  <c:v>21331</c:v>
                </c:pt>
                <c:pt idx="3">
                  <c:v>15971.634341949975</c:v>
                </c:pt>
                <c:pt idx="4">
                  <c:v>19829.125474541652</c:v>
                </c:pt>
                <c:pt idx="5">
                  <c:v>24144.008065277267</c:v>
                </c:pt>
                <c:pt idx="6">
                  <c:v>28514.286746040711</c:v>
                </c:pt>
                <c:pt idx="7">
                  <c:v>32788.30168889997</c:v>
                </c:pt>
              </c:numCache>
            </c:numRef>
          </c:val>
          <c:extLst>
            <c:ext xmlns:c16="http://schemas.microsoft.com/office/drawing/2014/chart" uri="{C3380CC4-5D6E-409C-BE32-E72D297353CC}">
              <c16:uniqueId val="{00000001-C403-4C00-AB88-A7DBA5F9E12E}"/>
            </c:ext>
          </c:extLst>
        </c:ser>
        <c:ser>
          <c:idx val="0"/>
          <c:order val="1"/>
          <c:tx>
            <c:strRef>
              <c:f>Dashboard!$AF$14</c:f>
              <c:strCache>
                <c:ptCount val="1"/>
                <c:pt idx="0">
                  <c:v>EBITDA (Excluding SBC)</c:v>
                </c:pt>
              </c:strCache>
            </c:strRef>
          </c:tx>
          <c:spPr>
            <a:solidFill>
              <a:srgbClr val="25A2AF"/>
            </a:solidFill>
            <a:ln>
              <a:noFill/>
            </a:ln>
            <a:effectLst/>
          </c:spPr>
          <c:invertIfNegative val="0"/>
          <c:cat>
            <c:numRef>
              <c:f>Dashboard!$AH$13:$AO$13</c:f>
              <c:numCache>
                <c:formatCode>0"A"</c:formatCode>
                <c:ptCount val="8"/>
                <c:pt idx="0">
                  <c:v>2018</c:v>
                </c:pt>
                <c:pt idx="1">
                  <c:v>2019</c:v>
                </c:pt>
                <c:pt idx="2">
                  <c:v>2020</c:v>
                </c:pt>
                <c:pt idx="3" formatCode="0&quot;E&quot;">
                  <c:v>2021</c:v>
                </c:pt>
                <c:pt idx="4" formatCode="0&quot;E&quot;">
                  <c:v>2022</c:v>
                </c:pt>
                <c:pt idx="5" formatCode="0&quot;E&quot;">
                  <c:v>2023</c:v>
                </c:pt>
                <c:pt idx="6" formatCode="0&quot;E&quot;">
                  <c:v>2024</c:v>
                </c:pt>
                <c:pt idx="7" formatCode="0&quot;E&quot;">
                  <c:v>2025</c:v>
                </c:pt>
              </c:numCache>
            </c:numRef>
          </c:cat>
          <c:val>
            <c:numRef>
              <c:f>Dashboard!$AH$14:$AO$14</c:f>
              <c:numCache>
                <c:formatCode>"$"#,##0;\-"$"#,##0</c:formatCode>
                <c:ptCount val="8"/>
                <c:pt idx="0">
                  <c:v>33180</c:v>
                </c:pt>
                <c:pt idx="1">
                  <c:v>43194</c:v>
                </c:pt>
                <c:pt idx="2">
                  <c:v>57358</c:v>
                </c:pt>
                <c:pt idx="3">
                  <c:v>52050.653549403178</c:v>
                </c:pt>
                <c:pt idx="4">
                  <c:v>66876.696503684972</c:v>
                </c:pt>
                <c:pt idx="5">
                  <c:v>83338.572240235488</c:v>
                </c:pt>
                <c:pt idx="6">
                  <c:v>101090.50096847929</c:v>
                </c:pt>
                <c:pt idx="7">
                  <c:v>119784.17885472803</c:v>
                </c:pt>
              </c:numCache>
            </c:numRef>
          </c:val>
          <c:extLst>
            <c:ext xmlns:c16="http://schemas.microsoft.com/office/drawing/2014/chart" uri="{C3380CC4-5D6E-409C-BE32-E72D297353CC}">
              <c16:uniqueId val="{00000000-EDDC-498C-826A-32A3BBFF343A}"/>
            </c:ext>
          </c:extLst>
        </c:ser>
        <c:dLbls>
          <c:showLegendKey val="0"/>
          <c:showVal val="0"/>
          <c:showCatName val="0"/>
          <c:showSerName val="0"/>
          <c:showPercent val="0"/>
          <c:showBubbleSize val="0"/>
        </c:dLbls>
        <c:gapWidth val="70"/>
        <c:overlap val="-27"/>
        <c:axId val="1217181792"/>
        <c:axId val="914393184"/>
      </c:barChart>
      <c:catAx>
        <c:axId val="1217181792"/>
        <c:scaling>
          <c:orientation val="minMax"/>
        </c:scaling>
        <c:delete val="0"/>
        <c:axPos val="b"/>
        <c:numFmt formatCode="0&quot;A&quot;"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Narrow" panose="020B0606020202030204" pitchFamily="34" charset="0"/>
                <a:ea typeface="+mn-ea"/>
                <a:cs typeface="+mn-cs"/>
              </a:defRPr>
            </a:pPr>
            <a:endParaRPr lang="pt-BR"/>
          </a:p>
        </c:txPr>
        <c:crossAx val="914393184"/>
        <c:crosses val="autoZero"/>
        <c:auto val="1"/>
        <c:lblAlgn val="ctr"/>
        <c:lblOffset val="100"/>
        <c:noMultiLvlLbl val="0"/>
      </c:catAx>
      <c:valAx>
        <c:axId val="914393184"/>
        <c:scaling>
          <c:orientation val="minMax"/>
        </c:scaling>
        <c:delete val="0"/>
        <c:axPos val="l"/>
        <c:numFmt formatCode="&quot;$&quot;#,##0_);\(&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Narrow" panose="020B0606020202030204" pitchFamily="34" charset="0"/>
                <a:ea typeface="+mn-ea"/>
                <a:cs typeface="+mn-cs"/>
              </a:defRPr>
            </a:pPr>
            <a:endParaRPr lang="pt-BR"/>
          </a:p>
        </c:txPr>
        <c:crossAx val="1217181792"/>
        <c:crosses val="autoZero"/>
        <c:crossBetween val="between"/>
        <c:dispUnits>
          <c:builtInUnit val="thousands"/>
        </c:dispUnits>
      </c:valAx>
      <c:spPr>
        <a:noFill/>
        <a:ln>
          <a:noFill/>
        </a:ln>
        <a:effectLst/>
      </c:spPr>
    </c:plotArea>
    <c:legend>
      <c:legendPos val="t"/>
      <c:layout>
        <c:manualLayout>
          <c:xMode val="edge"/>
          <c:yMode val="edge"/>
          <c:x val="0.13869732541101074"/>
          <c:y val="0.14998830409356728"/>
          <c:w val="0.43221680112071881"/>
          <c:h val="0.1454414513975226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Narrow" panose="020B0606020202030204" pitchFamily="34" charset="0"/>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Narrow" panose="020B0606020202030204" pitchFamily="34" charset="0"/>
        </a:defRPr>
      </a:pPr>
      <a:endParaRPr lang="pt-B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Narrow" panose="020B0606020202030204" pitchFamily="34" charset="0"/>
                <a:ea typeface="+mn-ea"/>
                <a:cs typeface="+mn-cs"/>
              </a:defRPr>
            </a:pPr>
            <a:r>
              <a:rPr lang="en-US" b="1"/>
              <a:t>Revenue Composition (2020A)</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Narrow" panose="020B0606020202030204" pitchFamily="34" charset="0"/>
              <a:ea typeface="+mn-ea"/>
              <a:cs typeface="+mn-cs"/>
            </a:defRPr>
          </a:pPr>
          <a:endParaRPr lang="pt-BR"/>
        </a:p>
      </c:txPr>
    </c:title>
    <c:autoTitleDeleted val="0"/>
    <c:plotArea>
      <c:layout/>
      <c:pieChart>
        <c:varyColors val="1"/>
        <c:ser>
          <c:idx val="0"/>
          <c:order val="0"/>
          <c:dPt>
            <c:idx val="0"/>
            <c:bubble3D val="0"/>
            <c:spPr>
              <a:solidFill>
                <a:srgbClr val="25A2AF"/>
              </a:solidFill>
              <a:ln>
                <a:noFill/>
              </a:ln>
              <a:effectLst/>
            </c:spPr>
            <c:extLst>
              <c:ext xmlns:c16="http://schemas.microsoft.com/office/drawing/2014/chart" uri="{C3380CC4-5D6E-409C-BE32-E72D297353CC}">
                <c16:uniqueId val="{00000002-5ADE-4813-A211-B4C297FBA7DE}"/>
              </c:ext>
            </c:extLst>
          </c:dPt>
          <c:dPt>
            <c:idx val="1"/>
            <c:bubble3D val="0"/>
            <c:spPr>
              <a:solidFill>
                <a:srgbClr val="FA621C"/>
              </a:solidFill>
              <a:ln>
                <a:noFill/>
              </a:ln>
              <a:effectLst/>
            </c:spPr>
            <c:extLst>
              <c:ext xmlns:c16="http://schemas.microsoft.com/office/drawing/2014/chart" uri="{C3380CC4-5D6E-409C-BE32-E72D297353CC}">
                <c16:uniqueId val="{00000003-5ADE-4813-A211-B4C297FBA7DE}"/>
              </c:ext>
            </c:extLst>
          </c:dPt>
          <c:dPt>
            <c:idx val="2"/>
            <c:bubble3D val="0"/>
            <c:spPr>
              <a:solidFill>
                <a:srgbClr val="B7276E"/>
              </a:solidFill>
              <a:ln>
                <a:noFill/>
              </a:ln>
              <a:effectLst/>
            </c:spPr>
            <c:extLst>
              <c:ext xmlns:c16="http://schemas.microsoft.com/office/drawing/2014/chart" uri="{C3380CC4-5D6E-409C-BE32-E72D297353CC}">
                <c16:uniqueId val="{00000006-5ADE-4813-A211-B4C297FBA7DE}"/>
              </c:ext>
            </c:extLst>
          </c:dPt>
          <c:dPt>
            <c:idx val="3"/>
            <c:bubble3D val="0"/>
            <c:spPr>
              <a:solidFill>
                <a:srgbClr val="ED942D"/>
              </a:solidFill>
              <a:ln>
                <a:noFill/>
              </a:ln>
              <a:effectLst/>
            </c:spPr>
            <c:extLst>
              <c:ext xmlns:c16="http://schemas.microsoft.com/office/drawing/2014/chart" uri="{C3380CC4-5D6E-409C-BE32-E72D297353CC}">
                <c16:uniqueId val="{00000001-5ADE-4813-A211-B4C297FBA7DE}"/>
              </c:ext>
            </c:extLst>
          </c:dPt>
          <c:dPt>
            <c:idx val="4"/>
            <c:bubble3D val="0"/>
            <c:spPr>
              <a:solidFill>
                <a:srgbClr val="3271D2"/>
              </a:solidFill>
              <a:ln>
                <a:noFill/>
              </a:ln>
              <a:effectLst/>
            </c:spPr>
            <c:extLst>
              <c:ext xmlns:c16="http://schemas.microsoft.com/office/drawing/2014/chart" uri="{C3380CC4-5D6E-409C-BE32-E72D297353CC}">
                <c16:uniqueId val="{00000004-5ADE-4813-A211-B4C297FBA7DE}"/>
              </c:ext>
            </c:extLst>
          </c:dPt>
          <c:dPt>
            <c:idx val="5"/>
            <c:bubble3D val="0"/>
            <c:spPr>
              <a:solidFill>
                <a:srgbClr val="1F995B"/>
              </a:solidFill>
              <a:ln>
                <a:noFill/>
              </a:ln>
              <a:effectLst/>
            </c:spPr>
            <c:extLst>
              <c:ext xmlns:c16="http://schemas.microsoft.com/office/drawing/2014/chart" uri="{C3380CC4-5D6E-409C-BE32-E72D297353CC}">
                <c16:uniqueId val="{00000005-5ADE-4813-A211-B4C297FBA7DE}"/>
              </c:ext>
            </c:extLst>
          </c:dPt>
          <c:dLbls>
            <c:dLbl>
              <c:idx val="1"/>
              <c:layout>
                <c:manualLayout>
                  <c:x val="2.875853739529791E-2"/>
                  <c:y val="-9.206819761896172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5ADE-4813-A211-B4C297FBA7DE}"/>
                </c:ext>
              </c:extLst>
            </c:dLbl>
            <c:dLbl>
              <c:idx val="3"/>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Narrow" panose="020B0606020202030204" pitchFamily="34" charset="0"/>
                      <a:ea typeface="+mn-ea"/>
                      <a:cs typeface="+mn-cs"/>
                    </a:defRPr>
                  </a:pPr>
                  <a:endParaRPr lang="pt-BR"/>
                </a:p>
              </c:txPr>
              <c:showLegendKey val="0"/>
              <c:showVal val="0"/>
              <c:showCatName val="0"/>
              <c:showSerName val="0"/>
              <c:showPercent val="1"/>
              <c:showBubbleSize val="0"/>
              <c:extLst>
                <c:ext xmlns:c16="http://schemas.microsoft.com/office/drawing/2014/chart" uri="{C3380CC4-5D6E-409C-BE32-E72D297353CC}">
                  <c16:uniqueId val="{00000001-5ADE-4813-A211-B4C297FBA7DE}"/>
                </c:ext>
              </c:extLst>
            </c:dLbl>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rial Narrow" panose="020B0606020202030204" pitchFamily="34" charset="0"/>
                    <a:ea typeface="+mn-ea"/>
                    <a:cs typeface="+mn-cs"/>
                  </a:defRPr>
                </a:pPr>
                <a:endParaRPr lang="pt-BR"/>
              </a:p>
            </c:txPr>
            <c:showLegendKey val="0"/>
            <c:showVal val="0"/>
            <c:showCatName val="0"/>
            <c:showSerName val="0"/>
            <c:showPercent val="1"/>
            <c:showBubbleSize val="0"/>
            <c:showLeaderLines val="0"/>
            <c:extLst>
              <c:ext xmlns:c15="http://schemas.microsoft.com/office/drawing/2012/chart" uri="{CE6537A1-D6FC-4f65-9D91-7224C49458BB}"/>
            </c:extLst>
          </c:dLbls>
          <c:cat>
            <c:strRef>
              <c:f>Dashboard!$AF$33:$AF$38</c:f>
              <c:strCache>
                <c:ptCount val="6"/>
                <c:pt idx="0">
                  <c:v>Online Stores</c:v>
                </c:pt>
                <c:pt idx="1">
                  <c:v>Physical Stores</c:v>
                </c:pt>
                <c:pt idx="2">
                  <c:v>Retail Third-Party Seller Services</c:v>
                </c:pt>
                <c:pt idx="3">
                  <c:v>Subscription Services</c:v>
                </c:pt>
                <c:pt idx="4">
                  <c:v>AWS</c:v>
                </c:pt>
                <c:pt idx="5">
                  <c:v>Other</c:v>
                </c:pt>
              </c:strCache>
            </c:strRef>
          </c:cat>
          <c:val>
            <c:numRef>
              <c:f>Dashboard!$AJ$33:$AJ$38</c:f>
              <c:numCache>
                <c:formatCode>"$"#,##0;\-"$"#,##0</c:formatCode>
                <c:ptCount val="6"/>
                <c:pt idx="0">
                  <c:v>197346</c:v>
                </c:pt>
                <c:pt idx="1">
                  <c:v>16227</c:v>
                </c:pt>
                <c:pt idx="2">
                  <c:v>80461</c:v>
                </c:pt>
                <c:pt idx="3">
                  <c:v>25207</c:v>
                </c:pt>
                <c:pt idx="4">
                  <c:v>45370</c:v>
                </c:pt>
                <c:pt idx="5">
                  <c:v>21453</c:v>
                </c:pt>
              </c:numCache>
            </c:numRef>
          </c:val>
          <c:extLst>
            <c:ext xmlns:c16="http://schemas.microsoft.com/office/drawing/2014/chart" uri="{C3380CC4-5D6E-409C-BE32-E72D297353CC}">
              <c16:uniqueId val="{00000000-EDDC-498C-826A-32A3BBFF343A}"/>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Narrow" panose="020B0606020202030204" pitchFamily="34" charset="0"/>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Narrow" panose="020B0606020202030204" pitchFamily="34" charset="0"/>
        </a:defRPr>
      </a:pPr>
      <a:endParaRPr lang="pt-B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Narrow" panose="020B0606020202030204" pitchFamily="34" charset="0"/>
                <a:ea typeface="+mn-ea"/>
                <a:cs typeface="+mn-cs"/>
              </a:defRPr>
            </a:pPr>
            <a:r>
              <a:rPr lang="en-CA" b="1"/>
              <a:t>Implied Enterprise Value Summary </a:t>
            </a:r>
            <a:r>
              <a:rPr lang="en-CA" b="1" i="1"/>
              <a:t>(US$ Billions)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Narrow" panose="020B0606020202030204" pitchFamily="34" charset="0"/>
              <a:ea typeface="+mn-ea"/>
              <a:cs typeface="+mn-cs"/>
            </a:defRPr>
          </a:pPr>
          <a:endParaRPr lang="pt-BR"/>
        </a:p>
      </c:txPr>
    </c:title>
    <c:autoTitleDeleted val="0"/>
    <c:plotArea>
      <c:layout/>
      <c:barChart>
        <c:barDir val="bar"/>
        <c:grouping val="clustered"/>
        <c:varyColors val="0"/>
        <c:ser>
          <c:idx val="1"/>
          <c:order val="0"/>
          <c:spPr>
            <a:solidFill>
              <a:srgbClr val="132E57"/>
            </a:solidFill>
            <a:ln>
              <a:noFill/>
            </a:ln>
            <a:effectLst/>
          </c:spPr>
          <c:invertIfNegative val="0"/>
          <c:dPt>
            <c:idx val="0"/>
            <c:invertIfNegative val="0"/>
            <c:bubble3D val="0"/>
            <c:spPr>
              <a:solidFill>
                <a:srgbClr val="FFC000"/>
              </a:solidFill>
              <a:ln>
                <a:noFill/>
              </a:ln>
              <a:effectLst/>
            </c:spPr>
            <c:extLst>
              <c:ext xmlns:c16="http://schemas.microsoft.com/office/drawing/2014/chart" uri="{C3380CC4-5D6E-409C-BE32-E72D297353CC}">
                <c16:uniqueId val="{00000006-B5F1-4421-83FD-3463009103CD}"/>
              </c:ext>
            </c:extLst>
          </c:dPt>
          <c:dPt>
            <c:idx val="1"/>
            <c:invertIfNegative val="0"/>
            <c:bubble3D val="0"/>
            <c:spPr>
              <a:solidFill>
                <a:srgbClr val="FFC000"/>
              </a:solidFill>
              <a:ln>
                <a:noFill/>
              </a:ln>
              <a:effectLst/>
            </c:spPr>
            <c:extLst>
              <c:ext xmlns:c16="http://schemas.microsoft.com/office/drawing/2014/chart" uri="{C3380CC4-5D6E-409C-BE32-E72D297353CC}">
                <c16:uniqueId val="{00000005-B5F1-4421-83FD-3463009103CD}"/>
              </c:ext>
            </c:extLst>
          </c:dPt>
          <c:dLbls>
            <c:numFmt formatCode="&quot;$&quot;#,##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'Implied Value Summary'!$S$17:$S$21</c:f>
              <c:strCache>
                <c:ptCount val="5"/>
                <c:pt idx="0">
                  <c:v>52-Week Trading</c:v>
                </c:pt>
                <c:pt idx="1">
                  <c:v>Consensus Research </c:v>
                </c:pt>
                <c:pt idx="2">
                  <c:v>Precedents</c:v>
                </c:pt>
                <c:pt idx="3">
                  <c:v>SOTP</c:v>
                </c:pt>
                <c:pt idx="4">
                  <c:v>DCF</c:v>
                </c:pt>
              </c:strCache>
            </c:strRef>
          </c:cat>
          <c:val>
            <c:numRef>
              <c:f>'Implied Value Summary'!$U$17:$U$21</c:f>
              <c:numCache>
                <c:formatCode>_(* #,##0_);_(* \(#,##0\);_(* "-"??_);_(@_)</c:formatCode>
                <c:ptCount val="5"/>
                <c:pt idx="0">
                  <c:v>1889.1043900000002</c:v>
                </c:pt>
                <c:pt idx="1">
                  <c:v>2753.7470000000003</c:v>
                </c:pt>
                <c:pt idx="2">
                  <c:v>1157.4283140334128</c:v>
                </c:pt>
                <c:pt idx="3">
                  <c:v>3931.3239104595023</c:v>
                </c:pt>
                <c:pt idx="4">
                  <c:v>3252.601258134313</c:v>
                </c:pt>
              </c:numCache>
            </c:numRef>
          </c:val>
          <c:extLst>
            <c:ext xmlns:c16="http://schemas.microsoft.com/office/drawing/2014/chart" uri="{C3380CC4-5D6E-409C-BE32-E72D297353CC}">
              <c16:uniqueId val="{00000001-B5F1-4421-83FD-3463009103CD}"/>
            </c:ext>
          </c:extLst>
        </c:ser>
        <c:ser>
          <c:idx val="0"/>
          <c:order val="1"/>
          <c:spPr>
            <a:solidFill>
              <a:schemeClr val="bg1"/>
            </a:solidFill>
            <a:ln>
              <a:noFill/>
            </a:ln>
            <a:effectLst/>
          </c:spPr>
          <c:invertIfNegative val="0"/>
          <c:dLbls>
            <c:numFmt formatCode="&quot;$&quot;#,##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rial Narrow" panose="020B0606020202030204" pitchFamily="34" charset="0"/>
                    <a:ea typeface="+mn-ea"/>
                    <a:cs typeface="+mn-cs"/>
                  </a:defRPr>
                </a:pPr>
                <a:endParaRPr lang="pt-B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'Implied Value Summary'!$S$17:$S$21</c:f>
              <c:strCache>
                <c:ptCount val="5"/>
                <c:pt idx="0">
                  <c:v>52-Week Trading</c:v>
                </c:pt>
                <c:pt idx="1">
                  <c:v>Consensus Research </c:v>
                </c:pt>
                <c:pt idx="2">
                  <c:v>Precedents</c:v>
                </c:pt>
                <c:pt idx="3">
                  <c:v>SOTP</c:v>
                </c:pt>
                <c:pt idx="4">
                  <c:v>DCF</c:v>
                </c:pt>
              </c:strCache>
            </c:strRef>
          </c:cat>
          <c:val>
            <c:numRef>
              <c:f>'Implied Value Summary'!$T$17:$T$21</c:f>
              <c:numCache>
                <c:formatCode>_(* #,##0_);_(* \(#,##0\);_(* "-"??_);_(@_)</c:formatCode>
                <c:ptCount val="5"/>
                <c:pt idx="0">
                  <c:v>1015.750838</c:v>
                </c:pt>
                <c:pt idx="1">
                  <c:v>1976.4470000000003</c:v>
                </c:pt>
                <c:pt idx="2">
                  <c:v>331.0129609840954</c:v>
                </c:pt>
                <c:pt idx="3">
                  <c:v>1331.7094313500988</c:v>
                </c:pt>
                <c:pt idx="4">
                  <c:v>1808.2198150968277</c:v>
                </c:pt>
              </c:numCache>
            </c:numRef>
          </c:val>
          <c:extLst>
            <c:ext xmlns:c16="http://schemas.microsoft.com/office/drawing/2014/chart" uri="{C3380CC4-5D6E-409C-BE32-E72D297353CC}">
              <c16:uniqueId val="{00000000-B5F1-4421-83FD-3463009103CD}"/>
            </c:ext>
          </c:extLst>
        </c:ser>
        <c:dLbls>
          <c:showLegendKey val="0"/>
          <c:showVal val="0"/>
          <c:showCatName val="0"/>
          <c:showSerName val="0"/>
          <c:showPercent val="0"/>
          <c:showBubbleSize val="0"/>
        </c:dLbls>
        <c:gapWidth val="70"/>
        <c:overlap val="100"/>
        <c:axId val="2088793888"/>
        <c:axId val="2088791808"/>
      </c:barChart>
      <c:catAx>
        <c:axId val="2088793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Narrow" panose="020B0606020202030204" pitchFamily="34" charset="0"/>
                <a:ea typeface="+mn-ea"/>
                <a:cs typeface="+mn-cs"/>
              </a:defRPr>
            </a:pPr>
            <a:endParaRPr lang="pt-BR"/>
          </a:p>
        </c:txPr>
        <c:crossAx val="2088791808"/>
        <c:crosses val="autoZero"/>
        <c:auto val="1"/>
        <c:lblAlgn val="ctr"/>
        <c:lblOffset val="100"/>
        <c:noMultiLvlLbl val="0"/>
      </c:catAx>
      <c:valAx>
        <c:axId val="2088791808"/>
        <c:scaling>
          <c:orientation val="minMax"/>
          <c:max val="6000"/>
        </c:scaling>
        <c:delete val="0"/>
        <c:axPos val="b"/>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Narrow" panose="020B0606020202030204" pitchFamily="34" charset="0"/>
                <a:ea typeface="+mn-ea"/>
                <a:cs typeface="+mn-cs"/>
              </a:defRPr>
            </a:pPr>
            <a:endParaRPr lang="pt-BR"/>
          </a:p>
        </c:txPr>
        <c:crossAx val="2088793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Narrow" panose="020B0606020202030204" pitchFamily="34" charset="0"/>
        </a:defRPr>
      </a:pPr>
      <a:endParaRPr lang="pt-B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52635640411789664"/>
          <c:y val="2.9534730872960619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Arial Narrow" panose="020B0606020202030204" pitchFamily="34" charset="0"/>
              <a:ea typeface="+mn-ea"/>
              <a:cs typeface="+mn-cs"/>
            </a:defRPr>
          </a:pPr>
          <a:endParaRPr lang="pt-BR"/>
        </a:p>
      </c:txPr>
    </c:title>
    <c:autoTitleDeleted val="0"/>
    <c:plotArea>
      <c:layout>
        <c:manualLayout>
          <c:layoutTarget val="inner"/>
          <c:xMode val="edge"/>
          <c:yMode val="edge"/>
          <c:x val="0.39623080839895813"/>
          <c:y val="0.23668022642988837"/>
          <c:w val="0.35549589199274545"/>
          <c:h val="0.65318311167341736"/>
        </c:manualLayout>
      </c:layout>
      <c:pieChart>
        <c:varyColors val="1"/>
        <c:ser>
          <c:idx val="0"/>
          <c:order val="0"/>
          <c:tx>
            <c:strRef>
              <c:f>Outputs!$S$50</c:f>
              <c:strCache>
                <c:ptCount val="1"/>
                <c:pt idx="0">
                  <c:v>2020A</c:v>
                </c:pt>
              </c:strCache>
            </c:strRef>
          </c:tx>
          <c:dPt>
            <c:idx val="0"/>
            <c:bubble3D val="0"/>
            <c:spPr>
              <a:solidFill>
                <a:srgbClr val="25A2AF"/>
              </a:solidFill>
              <a:ln>
                <a:noFill/>
              </a:ln>
              <a:effectLst/>
            </c:spPr>
            <c:extLst>
              <c:ext xmlns:c16="http://schemas.microsoft.com/office/drawing/2014/chart" uri="{C3380CC4-5D6E-409C-BE32-E72D297353CC}">
                <c16:uniqueId val="{00000001-5826-4CAA-A380-8F7BF99B8392}"/>
              </c:ext>
            </c:extLst>
          </c:dPt>
          <c:dPt>
            <c:idx val="1"/>
            <c:bubble3D val="0"/>
            <c:spPr>
              <a:solidFill>
                <a:schemeClr val="accent2"/>
              </a:solidFill>
              <a:ln>
                <a:noFill/>
              </a:ln>
              <a:effectLst/>
            </c:spPr>
            <c:extLst>
              <c:ext xmlns:c16="http://schemas.microsoft.com/office/drawing/2014/chart" uri="{C3380CC4-5D6E-409C-BE32-E72D297353CC}">
                <c16:uniqueId val="{00000003-5826-4CAA-A380-8F7BF99B8392}"/>
              </c:ext>
            </c:extLst>
          </c:dPt>
          <c:dPt>
            <c:idx val="2"/>
            <c:bubble3D val="0"/>
            <c:spPr>
              <a:solidFill>
                <a:srgbClr val="B7276E"/>
              </a:solidFill>
              <a:ln>
                <a:noFill/>
              </a:ln>
              <a:effectLst/>
            </c:spPr>
            <c:extLst>
              <c:ext xmlns:c16="http://schemas.microsoft.com/office/drawing/2014/chart" uri="{C3380CC4-5D6E-409C-BE32-E72D297353CC}">
                <c16:uniqueId val="{00000005-5826-4CAA-A380-8F7BF99B8392}"/>
              </c:ext>
            </c:extLst>
          </c:dPt>
          <c:dPt>
            <c:idx val="3"/>
            <c:bubble3D val="0"/>
            <c:spPr>
              <a:solidFill>
                <a:schemeClr val="accent4"/>
              </a:solidFill>
              <a:ln>
                <a:noFill/>
              </a:ln>
              <a:effectLst/>
            </c:spPr>
            <c:extLst>
              <c:ext xmlns:c16="http://schemas.microsoft.com/office/drawing/2014/chart" uri="{C3380CC4-5D6E-409C-BE32-E72D297353CC}">
                <c16:uniqueId val="{00000007-5826-4CAA-A380-8F7BF99B8392}"/>
              </c:ext>
            </c:extLst>
          </c:dPt>
          <c:dPt>
            <c:idx val="4"/>
            <c:bubble3D val="0"/>
            <c:spPr>
              <a:solidFill>
                <a:schemeClr val="accent5"/>
              </a:solidFill>
              <a:ln>
                <a:noFill/>
              </a:ln>
              <a:effectLst/>
            </c:spPr>
            <c:extLst>
              <c:ext xmlns:c16="http://schemas.microsoft.com/office/drawing/2014/chart" uri="{C3380CC4-5D6E-409C-BE32-E72D297353CC}">
                <c16:uniqueId val="{00000009-5826-4CAA-A380-8F7BF99B8392}"/>
              </c:ext>
            </c:extLst>
          </c:dPt>
          <c:dPt>
            <c:idx val="5"/>
            <c:bubble3D val="0"/>
            <c:spPr>
              <a:solidFill>
                <a:schemeClr val="accent6"/>
              </a:solidFill>
              <a:ln>
                <a:noFill/>
              </a:ln>
              <a:effectLst/>
            </c:spPr>
            <c:extLst>
              <c:ext xmlns:c16="http://schemas.microsoft.com/office/drawing/2014/chart" uri="{C3380CC4-5D6E-409C-BE32-E72D297353CC}">
                <c16:uniqueId val="{0000000B-5826-4CAA-A380-8F7BF99B8392}"/>
              </c:ext>
            </c:extLst>
          </c:dPt>
          <c:dLbls>
            <c:dLbl>
              <c:idx val="0"/>
              <c:tx>
                <c:rich>
                  <a:bodyPr/>
                  <a:lstStyle/>
                  <a:p>
                    <a:fld id="{0E5BC6E7-EC1C-4852-9C7F-716809366E8C}" type="PERCENTAGE">
                      <a:rPr lang="en-US"/>
                      <a:pPr/>
                      <a:t>[PORCENTAGEM]</a:t>
                    </a:fld>
                    <a:endParaRPr lang="pt-BR"/>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5826-4CAA-A380-8F7BF99B8392}"/>
                </c:ext>
              </c:extLst>
            </c:dLbl>
            <c:dLbl>
              <c:idx val="1"/>
              <c:tx>
                <c:rich>
                  <a:bodyPr/>
                  <a:lstStyle/>
                  <a:p>
                    <a:fld id="{F6DAD4CB-F5BA-4023-8E40-D60670729DCE}" type="PERCENTAGE">
                      <a:rPr lang="en-US"/>
                      <a:pPr/>
                      <a:t>[PORCENTAGEM]</a:t>
                    </a:fld>
                    <a:endParaRPr lang="pt-BR"/>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5826-4CAA-A380-8F7BF99B8392}"/>
                </c:ext>
              </c:extLst>
            </c:dLbl>
            <c:dLbl>
              <c:idx val="2"/>
              <c:tx>
                <c:rich>
                  <a:bodyPr/>
                  <a:lstStyle/>
                  <a:p>
                    <a:fld id="{ABAEB17A-65B2-4259-944B-5BD4F5583B69}" type="PERCENTAGE">
                      <a:rPr lang="en-US"/>
                      <a:pPr/>
                      <a:t>[PORCENTAGEM]</a:t>
                    </a:fld>
                    <a:endParaRPr lang="pt-BR"/>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5826-4CAA-A380-8F7BF99B8392}"/>
                </c:ext>
              </c:extLst>
            </c:dLbl>
            <c:dLbl>
              <c:idx val="3"/>
              <c:tx>
                <c:rich>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Narrow" panose="020B0606020202030204" pitchFamily="34" charset="0"/>
                        <a:ea typeface="+mn-ea"/>
                        <a:cs typeface="+mn-cs"/>
                      </a:defRPr>
                    </a:pPr>
                    <a:fld id="{42001CBF-E05C-4E65-AE3D-9B1700699903}" type="PERCENTAGE">
                      <a:rPr lang="en-US">
                        <a:solidFill>
                          <a:sysClr val="windowText" lastClr="000000"/>
                        </a:solidFill>
                      </a:rPr>
                      <a:pPr>
                        <a:defRPr>
                          <a:solidFill>
                            <a:sysClr val="windowText" lastClr="000000"/>
                          </a:solidFill>
                        </a:defRPr>
                      </a:pPr>
                      <a:t>[PORCENTAGEM]</a:t>
                    </a:fld>
                    <a:endParaRPr lang="pt-B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Narrow" panose="020B0606020202030204" pitchFamily="34" charset="0"/>
                      <a:ea typeface="+mn-ea"/>
                      <a:cs typeface="+mn-cs"/>
                    </a:defRPr>
                  </a:pPr>
                  <a:endParaRPr lang="pt-BR"/>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7-5826-4CAA-A380-8F7BF99B8392}"/>
                </c:ext>
              </c:extLst>
            </c:dLbl>
            <c:dLbl>
              <c:idx val="4"/>
              <c:tx>
                <c:rich>
                  <a:bodyPr/>
                  <a:lstStyle/>
                  <a:p>
                    <a:fld id="{C6FB5D2B-4CBE-4A6E-ACD9-7328FC58ECD5}" type="PERCENTAGE">
                      <a:rPr lang="en-US"/>
                      <a:pPr/>
                      <a:t>[PORCENTAGEM]</a:t>
                    </a:fld>
                    <a:endParaRPr lang="pt-BR"/>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9-5826-4CAA-A380-8F7BF99B8392}"/>
                </c:ext>
              </c:extLst>
            </c:dLbl>
            <c:dLbl>
              <c:idx val="5"/>
              <c:tx>
                <c:rich>
                  <a:bodyPr/>
                  <a:lstStyle/>
                  <a:p>
                    <a:fld id="{6F9C9ED2-B6ED-4739-9841-B39B41D59999}" type="PERCENTAGE">
                      <a:rPr lang="en-US"/>
                      <a:pPr/>
                      <a:t>[PORCENTAGEM]</a:t>
                    </a:fld>
                    <a:endParaRPr lang="pt-BR"/>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B-5826-4CAA-A380-8F7BF99B839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rial Narrow" panose="020B0606020202030204" pitchFamily="34" charset="0"/>
                    <a:ea typeface="+mn-ea"/>
                    <a:cs typeface="+mn-cs"/>
                  </a:defRPr>
                </a:pPr>
                <a:endParaRPr lang="pt-BR"/>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Outputs!$Q$51:$R$56</c:f>
              <c:strCache>
                <c:ptCount val="6"/>
                <c:pt idx="0">
                  <c:v>Online Stores</c:v>
                </c:pt>
                <c:pt idx="1">
                  <c:v>Physical Stores</c:v>
                </c:pt>
                <c:pt idx="2">
                  <c:v>Retail Third-Party Seller Services</c:v>
                </c:pt>
                <c:pt idx="3">
                  <c:v>Subscription Services</c:v>
                </c:pt>
                <c:pt idx="4">
                  <c:v>AWS</c:v>
                </c:pt>
                <c:pt idx="5">
                  <c:v>Other</c:v>
                </c:pt>
              </c:strCache>
            </c:strRef>
          </c:cat>
          <c:val>
            <c:numRef>
              <c:f>Outputs!$S$51:$S$56</c:f>
              <c:numCache>
                <c:formatCode>"$"#,##0;\-"$"#,##0</c:formatCode>
                <c:ptCount val="6"/>
                <c:pt idx="0">
                  <c:v>197346</c:v>
                </c:pt>
                <c:pt idx="1">
                  <c:v>16227</c:v>
                </c:pt>
                <c:pt idx="2">
                  <c:v>80461</c:v>
                </c:pt>
                <c:pt idx="3">
                  <c:v>25207</c:v>
                </c:pt>
                <c:pt idx="4">
                  <c:v>45370</c:v>
                </c:pt>
                <c:pt idx="5">
                  <c:v>21453</c:v>
                </c:pt>
              </c:numCache>
            </c:numRef>
          </c:val>
          <c:extLst>
            <c:ext xmlns:c16="http://schemas.microsoft.com/office/drawing/2014/chart" uri="{C3380CC4-5D6E-409C-BE32-E72D297353CC}">
              <c16:uniqueId val="{0000000C-5826-4CAA-A380-8F7BF99B8392}"/>
            </c:ext>
          </c:extLst>
        </c:ser>
        <c:dLbls>
          <c:showLegendKey val="0"/>
          <c:showVal val="0"/>
          <c:showCatName val="0"/>
          <c:showSerName val="0"/>
          <c:showPercent val="0"/>
          <c:showBubbleSize val="0"/>
          <c:showLeaderLines val="1"/>
        </c:dLbls>
        <c:firstSliceAng val="0"/>
      </c:pieChart>
      <c:spPr>
        <a:noFill/>
        <a:ln>
          <a:noFill/>
        </a:ln>
        <a:effectLst/>
      </c:spPr>
    </c:plotArea>
    <c:legend>
      <c:legendPos val="l"/>
      <c:layout>
        <c:manualLayout>
          <c:xMode val="edge"/>
          <c:yMode val="edge"/>
          <c:x val="2.6259483444307126E-2"/>
          <c:y val="0.32410051377109217"/>
          <c:w val="0.3328542984490479"/>
          <c:h val="0.4874332018576245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Narrow" panose="020B0606020202030204" pitchFamily="34" charset="0"/>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atin typeface="Arial Narrow" panose="020B0606020202030204" pitchFamily="34" charset="0"/>
        </a:defRPr>
      </a:pPr>
      <a:endParaRPr lang="pt-B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308488211766582"/>
          <c:y val="6.5565685868213819E-2"/>
          <c:w val="0.82507720181865829"/>
          <c:h val="0.79424920569139379"/>
        </c:manualLayout>
      </c:layout>
      <c:barChart>
        <c:barDir val="col"/>
        <c:grouping val="clustered"/>
        <c:varyColors val="0"/>
        <c:ser>
          <c:idx val="0"/>
          <c:order val="0"/>
          <c:tx>
            <c:strRef>
              <c:f>Outputs!$Q$8:$R$8</c:f>
              <c:strCache>
                <c:ptCount val="2"/>
                <c:pt idx="0">
                  <c:v>Base Case</c:v>
                </c:pt>
              </c:strCache>
            </c:strRef>
          </c:tx>
          <c:spPr>
            <a:solidFill>
              <a:srgbClr val="132E57"/>
            </a:solidFill>
            <a:ln>
              <a:noFill/>
            </a:ln>
            <a:effectLst/>
          </c:spPr>
          <c:invertIfNegative val="0"/>
          <c:cat>
            <c:numRef>
              <c:f>Outputs!$S$7:$AC$7</c:f>
              <c:numCache>
                <c:formatCode>0"E"</c:formatCode>
                <c:ptCount val="11"/>
                <c:pt idx="0">
                  <c:v>2021</c:v>
                </c:pt>
                <c:pt idx="1">
                  <c:v>2022</c:v>
                </c:pt>
                <c:pt idx="2">
                  <c:v>2023</c:v>
                </c:pt>
                <c:pt idx="3">
                  <c:v>2024</c:v>
                </c:pt>
                <c:pt idx="4">
                  <c:v>2025</c:v>
                </c:pt>
                <c:pt idx="5">
                  <c:v>2026</c:v>
                </c:pt>
                <c:pt idx="6">
                  <c:v>2027</c:v>
                </c:pt>
                <c:pt idx="7">
                  <c:v>2028</c:v>
                </c:pt>
                <c:pt idx="8">
                  <c:v>2029</c:v>
                </c:pt>
                <c:pt idx="9">
                  <c:v>2030</c:v>
                </c:pt>
                <c:pt idx="10">
                  <c:v>2031</c:v>
                </c:pt>
              </c:numCache>
            </c:numRef>
          </c:cat>
          <c:val>
            <c:numRef>
              <c:f>Outputs!$S$8:$AC$8</c:f>
              <c:numCache>
                <c:formatCode>"$"#,##0;\-"$"#,##0</c:formatCode>
                <c:ptCount val="11"/>
                <c:pt idx="0">
                  <c:v>501746.89221783733</c:v>
                </c:pt>
                <c:pt idx="1">
                  <c:v>627105.7885271376</c:v>
                </c:pt>
                <c:pt idx="2">
                  <c:v>757039.18970139662</c:v>
                </c:pt>
                <c:pt idx="3">
                  <c:v>886470.93194407481</c:v>
                </c:pt>
                <c:pt idx="4">
                  <c:v>1010963.5118962658</c:v>
                </c:pt>
                <c:pt idx="5">
                  <c:v>1127102.7717632158</c:v>
                </c:pt>
                <c:pt idx="6">
                  <c:v>1232634.7958348214</c:v>
                </c:pt>
                <c:pt idx="7">
                  <c:v>1326401.9983294045</c:v>
                </c:pt>
                <c:pt idx="8">
                  <c:v>1408155.103729395</c:v>
                </c:pt>
                <c:pt idx="9">
                  <c:v>1478315.5105760412</c:v>
                </c:pt>
                <c:pt idx="10">
                  <c:v>1537742.7122168522</c:v>
                </c:pt>
              </c:numCache>
            </c:numRef>
          </c:val>
          <c:extLst>
            <c:ext xmlns:c16="http://schemas.microsoft.com/office/drawing/2014/chart" uri="{C3380CC4-5D6E-409C-BE32-E72D297353CC}">
              <c16:uniqueId val="{00000000-D3F4-4663-BDD5-C52F9EB94CC6}"/>
            </c:ext>
          </c:extLst>
        </c:ser>
        <c:ser>
          <c:idx val="1"/>
          <c:order val="1"/>
          <c:tx>
            <c:strRef>
              <c:f>Outputs!$Q$9:$R$9</c:f>
              <c:strCache>
                <c:ptCount val="2"/>
                <c:pt idx="0">
                  <c:v>Bull Case</c:v>
                </c:pt>
              </c:strCache>
            </c:strRef>
          </c:tx>
          <c:spPr>
            <a:solidFill>
              <a:srgbClr val="25A2AF"/>
            </a:solidFill>
            <a:ln>
              <a:noFill/>
            </a:ln>
            <a:effectLst/>
          </c:spPr>
          <c:invertIfNegative val="0"/>
          <c:cat>
            <c:numRef>
              <c:f>Outputs!$S$7:$AC$7</c:f>
              <c:numCache>
                <c:formatCode>0"E"</c:formatCode>
                <c:ptCount val="11"/>
                <c:pt idx="0">
                  <c:v>2021</c:v>
                </c:pt>
                <c:pt idx="1">
                  <c:v>2022</c:v>
                </c:pt>
                <c:pt idx="2">
                  <c:v>2023</c:v>
                </c:pt>
                <c:pt idx="3">
                  <c:v>2024</c:v>
                </c:pt>
                <c:pt idx="4">
                  <c:v>2025</c:v>
                </c:pt>
                <c:pt idx="5">
                  <c:v>2026</c:v>
                </c:pt>
                <c:pt idx="6">
                  <c:v>2027</c:v>
                </c:pt>
                <c:pt idx="7">
                  <c:v>2028</c:v>
                </c:pt>
                <c:pt idx="8">
                  <c:v>2029</c:v>
                </c:pt>
                <c:pt idx="9">
                  <c:v>2030</c:v>
                </c:pt>
                <c:pt idx="10">
                  <c:v>2031</c:v>
                </c:pt>
              </c:numCache>
            </c:numRef>
          </c:cat>
          <c:val>
            <c:numRef>
              <c:f>Outputs!$S$9:$AC$9</c:f>
              <c:numCache>
                <c:formatCode>"$"#,##0;\-"$"#,##0</c:formatCode>
                <c:ptCount val="11"/>
                <c:pt idx="0">
                  <c:v>530667.61527229671</c:v>
                </c:pt>
                <c:pt idx="1">
                  <c:v>697620.16770111886</c:v>
                </c:pt>
                <c:pt idx="2">
                  <c:v>880881.96269561234</c:v>
                </c:pt>
                <c:pt idx="3">
                  <c:v>1073034.6541610602</c:v>
                </c:pt>
                <c:pt idx="4">
                  <c:v>1266392.1354114546</c:v>
                </c:pt>
                <c:pt idx="5">
                  <c:v>1453999.6289424305</c:v>
                </c:pt>
                <c:pt idx="6">
                  <c:v>1630318.6763404976</c:v>
                </c:pt>
                <c:pt idx="7">
                  <c:v>1791530.8754619965</c:v>
                </c:pt>
                <c:pt idx="8">
                  <c:v>1935510.0991608407</c:v>
                </c:pt>
                <c:pt idx="9">
                  <c:v>2061574.8111342755</c:v>
                </c:pt>
                <c:pt idx="10">
                  <c:v>2170139.1910049575</c:v>
                </c:pt>
              </c:numCache>
            </c:numRef>
          </c:val>
          <c:extLst>
            <c:ext xmlns:c16="http://schemas.microsoft.com/office/drawing/2014/chart" uri="{C3380CC4-5D6E-409C-BE32-E72D297353CC}">
              <c16:uniqueId val="{00000001-D3F4-4663-BDD5-C52F9EB94CC6}"/>
            </c:ext>
          </c:extLst>
        </c:ser>
        <c:ser>
          <c:idx val="2"/>
          <c:order val="2"/>
          <c:tx>
            <c:strRef>
              <c:f>Outputs!$Q$10:$R$10</c:f>
              <c:strCache>
                <c:ptCount val="2"/>
                <c:pt idx="0">
                  <c:v>Bear Case</c:v>
                </c:pt>
              </c:strCache>
            </c:strRef>
          </c:tx>
          <c:spPr>
            <a:solidFill>
              <a:schemeClr val="accent3"/>
            </a:solidFill>
            <a:ln>
              <a:noFill/>
            </a:ln>
            <a:effectLst/>
          </c:spPr>
          <c:invertIfNegative val="0"/>
          <c:cat>
            <c:numRef>
              <c:f>Outputs!$S$7:$AC$7</c:f>
              <c:numCache>
                <c:formatCode>0"E"</c:formatCode>
                <c:ptCount val="11"/>
                <c:pt idx="0">
                  <c:v>2021</c:v>
                </c:pt>
                <c:pt idx="1">
                  <c:v>2022</c:v>
                </c:pt>
                <c:pt idx="2">
                  <c:v>2023</c:v>
                </c:pt>
                <c:pt idx="3">
                  <c:v>2024</c:v>
                </c:pt>
                <c:pt idx="4">
                  <c:v>2025</c:v>
                </c:pt>
                <c:pt idx="5">
                  <c:v>2026</c:v>
                </c:pt>
                <c:pt idx="6">
                  <c:v>2027</c:v>
                </c:pt>
                <c:pt idx="7">
                  <c:v>2028</c:v>
                </c:pt>
                <c:pt idx="8">
                  <c:v>2029</c:v>
                </c:pt>
                <c:pt idx="9">
                  <c:v>2030</c:v>
                </c:pt>
                <c:pt idx="10">
                  <c:v>2031</c:v>
                </c:pt>
              </c:numCache>
            </c:numRef>
          </c:cat>
          <c:val>
            <c:numRef>
              <c:f>Outputs!$S$10:$AC$10</c:f>
              <c:numCache>
                <c:formatCode>"$"#,##0;\-"$"#,##0</c:formatCode>
                <c:ptCount val="11"/>
                <c:pt idx="0">
                  <c:v>472826.16916337796</c:v>
                </c:pt>
                <c:pt idx="1">
                  <c:v>560692.9821700349</c:v>
                </c:pt>
                <c:pt idx="2">
                  <c:v>646446.59111951489</c:v>
                </c:pt>
                <c:pt idx="3">
                  <c:v>727471.12372385256</c:v>
                </c:pt>
                <c:pt idx="4">
                  <c:v>801911.23216879996</c:v>
                </c:pt>
                <c:pt idx="5">
                  <c:v>868679.99388210382</c:v>
                </c:pt>
                <c:pt idx="6">
                  <c:v>927361.87185068533</c:v>
                </c:pt>
                <c:pt idx="7">
                  <c:v>978062.61471281771</c:v>
                </c:pt>
                <c:pt idx="8">
                  <c:v>1021248.6647696287</c:v>
                </c:pt>
                <c:pt idx="9">
                  <c:v>1057603.3113400955</c:v>
                </c:pt>
                <c:pt idx="10">
                  <c:v>1087912.3867459062</c:v>
                </c:pt>
              </c:numCache>
            </c:numRef>
          </c:val>
          <c:extLst>
            <c:ext xmlns:c16="http://schemas.microsoft.com/office/drawing/2014/chart" uri="{C3380CC4-5D6E-409C-BE32-E72D297353CC}">
              <c16:uniqueId val="{00000002-D3F4-4663-BDD5-C52F9EB94CC6}"/>
            </c:ext>
          </c:extLst>
        </c:ser>
        <c:dLbls>
          <c:showLegendKey val="0"/>
          <c:showVal val="0"/>
          <c:showCatName val="0"/>
          <c:showSerName val="0"/>
          <c:showPercent val="0"/>
          <c:showBubbleSize val="0"/>
        </c:dLbls>
        <c:gapWidth val="60"/>
        <c:overlap val="-27"/>
        <c:axId val="221970591"/>
        <c:axId val="221950623"/>
      </c:barChart>
      <c:catAx>
        <c:axId val="221970591"/>
        <c:scaling>
          <c:orientation val="minMax"/>
        </c:scaling>
        <c:delete val="0"/>
        <c:axPos val="b"/>
        <c:numFmt formatCode="0&quot;E&quot;"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Arial Narrow" panose="020B0606020202030204" pitchFamily="34" charset="0"/>
                <a:ea typeface="+mn-ea"/>
                <a:cs typeface="+mn-cs"/>
              </a:defRPr>
            </a:pPr>
            <a:endParaRPr lang="pt-BR"/>
          </a:p>
        </c:txPr>
        <c:crossAx val="221950623"/>
        <c:crosses val="autoZero"/>
        <c:auto val="1"/>
        <c:lblAlgn val="ctr"/>
        <c:lblOffset val="100"/>
        <c:noMultiLvlLbl val="0"/>
      </c:catAx>
      <c:valAx>
        <c:axId val="221950623"/>
        <c:scaling>
          <c:orientation val="minMax"/>
        </c:scaling>
        <c:delete val="0"/>
        <c:axPos val="l"/>
        <c:numFmt formatCode="&quot;$&quot;#,##0;\-&quot;$&quot;#,##0" sourceLinked="1"/>
        <c:majorTickMark val="none"/>
        <c:minorTickMark val="none"/>
        <c:tickLblPos val="nextTo"/>
        <c:spPr>
          <a:solidFill>
            <a:srgbClr val="FCFCFC"/>
          </a:solidFill>
          <a:ln>
            <a:noFill/>
          </a:ln>
          <a:effectLst/>
        </c:spPr>
        <c:txPr>
          <a:bodyPr rot="-60000000" spcFirstLastPara="1" vertOverflow="ellipsis" vert="horz" wrap="square" anchor="ctr" anchorCtr="1"/>
          <a:lstStyle/>
          <a:p>
            <a:pPr>
              <a:defRPr sz="1000" b="0" i="0" u="none" strike="noStrike" kern="1200" baseline="0">
                <a:solidFill>
                  <a:schemeClr val="tx1"/>
                </a:solidFill>
                <a:latin typeface="Arial Narrow" panose="020B0606020202030204" pitchFamily="34" charset="0"/>
                <a:ea typeface="+mn-ea"/>
                <a:cs typeface="+mn-cs"/>
              </a:defRPr>
            </a:pPr>
            <a:endParaRPr lang="pt-BR"/>
          </a:p>
        </c:txPr>
        <c:crossAx val="221970591"/>
        <c:crosses val="autoZero"/>
        <c:crossBetween val="between"/>
      </c:valAx>
      <c:spPr>
        <a:noFill/>
        <a:ln>
          <a:noFill/>
        </a:ln>
        <a:effectLst/>
      </c:spPr>
    </c:plotArea>
    <c:legend>
      <c:legendPos val="t"/>
      <c:layout>
        <c:manualLayout>
          <c:xMode val="edge"/>
          <c:yMode val="edge"/>
          <c:x val="0.1303182652096129"/>
          <c:y val="2.6191590916000367E-2"/>
          <c:w val="0.3496148508850826"/>
          <c:h val="9.166944498612937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Arial Narrow" panose="020B0606020202030204" pitchFamily="34" charset="0"/>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00">
          <a:solidFill>
            <a:schemeClr val="tx1"/>
          </a:solidFill>
          <a:latin typeface="Arial Narrow" panose="020B0606020202030204" pitchFamily="34" charset="0"/>
        </a:defRPr>
      </a:pPr>
      <a:endParaRPr lang="pt-B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308488211766582"/>
          <c:y val="6.5565685868213819E-2"/>
          <c:w val="0.82507720181865829"/>
          <c:h val="0.79424920569139379"/>
        </c:manualLayout>
      </c:layout>
      <c:barChart>
        <c:barDir val="col"/>
        <c:grouping val="clustered"/>
        <c:varyColors val="0"/>
        <c:ser>
          <c:idx val="1"/>
          <c:order val="0"/>
          <c:tx>
            <c:strRef>
              <c:f>Outputs!$Q$14</c:f>
              <c:strCache>
                <c:ptCount val="1"/>
                <c:pt idx="0">
                  <c:v>Base Case EBITDA</c:v>
                </c:pt>
              </c:strCache>
            </c:strRef>
          </c:tx>
          <c:spPr>
            <a:solidFill>
              <a:srgbClr val="25A2AF"/>
            </a:solidFill>
            <a:ln>
              <a:noFill/>
            </a:ln>
            <a:effectLst/>
          </c:spPr>
          <c:invertIfNegative val="0"/>
          <c:val>
            <c:numRef>
              <c:f>Outputs!$S$14:$AC$14</c:f>
              <c:numCache>
                <c:formatCode>"$"#,##0;\-"$"#,##0</c:formatCode>
                <c:ptCount val="11"/>
                <c:pt idx="0">
                  <c:v>52050.653549403178</c:v>
                </c:pt>
                <c:pt idx="1">
                  <c:v>66876.696503684972</c:v>
                </c:pt>
                <c:pt idx="2">
                  <c:v>83338.572240235488</c:v>
                </c:pt>
                <c:pt idx="3">
                  <c:v>101090.50096847929</c:v>
                </c:pt>
                <c:pt idx="4">
                  <c:v>119784.17885472803</c:v>
                </c:pt>
                <c:pt idx="5">
                  <c:v>139105.05923457351</c:v>
                </c:pt>
                <c:pt idx="6">
                  <c:v>154715.98602949275</c:v>
                </c:pt>
                <c:pt idx="7">
                  <c:v>173554.43966811278</c:v>
                </c:pt>
                <c:pt idx="8">
                  <c:v>193442.11218799016</c:v>
                </c:pt>
                <c:pt idx="9">
                  <c:v>213269.36750927678</c:v>
                </c:pt>
                <c:pt idx="10">
                  <c:v>219701.27222934866</c:v>
                </c:pt>
              </c:numCache>
            </c:numRef>
          </c:val>
          <c:extLst>
            <c:ext xmlns:c16="http://schemas.microsoft.com/office/drawing/2014/chart" uri="{C3380CC4-5D6E-409C-BE32-E72D297353CC}">
              <c16:uniqueId val="{00000000-6ECE-4653-B1F3-65494F0A412D}"/>
            </c:ext>
          </c:extLst>
        </c:ser>
        <c:ser>
          <c:idx val="0"/>
          <c:order val="1"/>
          <c:tx>
            <c:strRef>
              <c:f>Outputs!$Q$20:$R$20</c:f>
              <c:strCache>
                <c:ptCount val="2"/>
                <c:pt idx="0">
                  <c:v>Base Case FCFF</c:v>
                </c:pt>
              </c:strCache>
            </c:strRef>
          </c:tx>
          <c:spPr>
            <a:solidFill>
              <a:schemeClr val="accent1"/>
            </a:solidFill>
            <a:ln>
              <a:noFill/>
            </a:ln>
            <a:effectLst/>
          </c:spPr>
          <c:invertIfNegative val="0"/>
          <c:cat>
            <c:numRef>
              <c:f>Outputs!$S$13:$AC$13</c:f>
              <c:numCache>
                <c:formatCode>0"E"</c:formatCode>
                <c:ptCount val="11"/>
                <c:pt idx="0">
                  <c:v>2021</c:v>
                </c:pt>
                <c:pt idx="1">
                  <c:v>2022</c:v>
                </c:pt>
                <c:pt idx="2">
                  <c:v>2023</c:v>
                </c:pt>
                <c:pt idx="3">
                  <c:v>2024</c:v>
                </c:pt>
                <c:pt idx="4">
                  <c:v>2025</c:v>
                </c:pt>
                <c:pt idx="5">
                  <c:v>2026</c:v>
                </c:pt>
                <c:pt idx="6">
                  <c:v>2027</c:v>
                </c:pt>
                <c:pt idx="7">
                  <c:v>2028</c:v>
                </c:pt>
                <c:pt idx="8">
                  <c:v>2029</c:v>
                </c:pt>
                <c:pt idx="9">
                  <c:v>2030</c:v>
                </c:pt>
                <c:pt idx="10">
                  <c:v>2031</c:v>
                </c:pt>
              </c:numCache>
            </c:numRef>
          </c:cat>
          <c:val>
            <c:numRef>
              <c:f>Outputs!$S$20:$AC$20</c:f>
              <c:numCache>
                <c:formatCode>"$"#,##0;\-"$"#,##0</c:formatCode>
                <c:ptCount val="11"/>
                <c:pt idx="0">
                  <c:v>20613.91861976662</c:v>
                </c:pt>
                <c:pt idx="1">
                  <c:v>40835.291584577695</c:v>
                </c:pt>
                <c:pt idx="2">
                  <c:v>48539.052532119618</c:v>
                </c:pt>
                <c:pt idx="3">
                  <c:v>56623.673220765355</c:v>
                </c:pt>
                <c:pt idx="4">
                  <c:v>65479.927654103223</c:v>
                </c:pt>
                <c:pt idx="5">
                  <c:v>74757.792302876289</c:v>
                </c:pt>
                <c:pt idx="6">
                  <c:v>80788.986434201812</c:v>
                </c:pt>
                <c:pt idx="7">
                  <c:v>90596.367911423586</c:v>
                </c:pt>
                <c:pt idx="8">
                  <c:v>102613.82876121055</c:v>
                </c:pt>
                <c:pt idx="9">
                  <c:v>115156.95899070214</c:v>
                </c:pt>
                <c:pt idx="10">
                  <c:v>115341.71151043949</c:v>
                </c:pt>
              </c:numCache>
            </c:numRef>
          </c:val>
          <c:extLst>
            <c:ext xmlns:c16="http://schemas.microsoft.com/office/drawing/2014/chart" uri="{C3380CC4-5D6E-409C-BE32-E72D297353CC}">
              <c16:uniqueId val="{00000001-6ECE-4653-B1F3-65494F0A412D}"/>
            </c:ext>
          </c:extLst>
        </c:ser>
        <c:dLbls>
          <c:showLegendKey val="0"/>
          <c:showVal val="0"/>
          <c:showCatName val="0"/>
          <c:showSerName val="0"/>
          <c:showPercent val="0"/>
          <c:showBubbleSize val="0"/>
        </c:dLbls>
        <c:gapWidth val="60"/>
        <c:overlap val="-27"/>
        <c:axId val="221970591"/>
        <c:axId val="221950623"/>
      </c:barChart>
      <c:catAx>
        <c:axId val="221970591"/>
        <c:scaling>
          <c:orientation val="minMax"/>
        </c:scaling>
        <c:delete val="0"/>
        <c:axPos val="b"/>
        <c:numFmt formatCode="0&quot;E&quot;"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Arial Narrow" panose="020B0606020202030204" pitchFamily="34" charset="0"/>
                <a:ea typeface="+mn-ea"/>
                <a:cs typeface="+mn-cs"/>
              </a:defRPr>
            </a:pPr>
            <a:endParaRPr lang="pt-BR"/>
          </a:p>
        </c:txPr>
        <c:crossAx val="221950623"/>
        <c:crosses val="autoZero"/>
        <c:auto val="1"/>
        <c:lblAlgn val="ctr"/>
        <c:lblOffset val="100"/>
        <c:noMultiLvlLbl val="0"/>
      </c:catAx>
      <c:valAx>
        <c:axId val="221950623"/>
        <c:scaling>
          <c:orientation val="minMax"/>
        </c:scaling>
        <c:delete val="0"/>
        <c:axPos val="l"/>
        <c:numFmt formatCode="&quot;$&quot;#,##0;\-&quot;$&quot;#,##0" sourceLinked="1"/>
        <c:majorTickMark val="none"/>
        <c:minorTickMark val="none"/>
        <c:tickLblPos val="nextTo"/>
        <c:spPr>
          <a:solidFill>
            <a:srgbClr val="FCFCFC"/>
          </a:solidFill>
          <a:ln>
            <a:noFill/>
          </a:ln>
          <a:effectLst/>
        </c:spPr>
        <c:txPr>
          <a:bodyPr rot="-60000000" spcFirstLastPara="1" vertOverflow="ellipsis" vert="horz" wrap="square" anchor="ctr" anchorCtr="1"/>
          <a:lstStyle/>
          <a:p>
            <a:pPr>
              <a:defRPr sz="1000" b="0" i="0" u="none" strike="noStrike" kern="1200" baseline="0">
                <a:solidFill>
                  <a:schemeClr val="tx1"/>
                </a:solidFill>
                <a:latin typeface="Arial Narrow" panose="020B0606020202030204" pitchFamily="34" charset="0"/>
                <a:ea typeface="+mn-ea"/>
                <a:cs typeface="+mn-cs"/>
              </a:defRPr>
            </a:pPr>
            <a:endParaRPr lang="pt-BR"/>
          </a:p>
        </c:txPr>
        <c:crossAx val="221970591"/>
        <c:crosses val="autoZero"/>
        <c:crossBetween val="between"/>
      </c:valAx>
      <c:spPr>
        <a:noFill/>
        <a:ln>
          <a:noFill/>
        </a:ln>
        <a:effectLst/>
      </c:spPr>
    </c:plotArea>
    <c:legend>
      <c:legendPos val="t"/>
      <c:layout>
        <c:manualLayout>
          <c:xMode val="edge"/>
          <c:yMode val="edge"/>
          <c:x val="0.1303182652096129"/>
          <c:y val="2.6191590916000367E-2"/>
          <c:w val="0.44683498428435203"/>
          <c:h val="0.1007906887956243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Arial Narrow" panose="020B0606020202030204" pitchFamily="34" charset="0"/>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00">
          <a:solidFill>
            <a:schemeClr val="tx1"/>
          </a:solidFill>
          <a:latin typeface="Arial Narrow" panose="020B0606020202030204" pitchFamily="34" charset="0"/>
        </a:defRPr>
      </a:pPr>
      <a:endParaRPr lang="pt-BR"/>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6437018876245886"/>
          <c:y val="3.029775295641656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Arial Narrow" panose="020B0606020202030204" pitchFamily="34" charset="0"/>
              <a:ea typeface="+mn-ea"/>
              <a:cs typeface="+mn-cs"/>
            </a:defRPr>
          </a:pPr>
          <a:endParaRPr lang="pt-BR"/>
        </a:p>
      </c:txPr>
    </c:title>
    <c:autoTitleDeleted val="0"/>
    <c:plotArea>
      <c:layout>
        <c:manualLayout>
          <c:layoutTarget val="inner"/>
          <c:xMode val="edge"/>
          <c:yMode val="edge"/>
          <c:x val="0.1296021974806234"/>
          <c:y val="0.23668022642988837"/>
          <c:w val="0.6101267468361854"/>
          <c:h val="0.64707096543128295"/>
        </c:manualLayout>
      </c:layout>
      <c:pieChart>
        <c:varyColors val="1"/>
        <c:ser>
          <c:idx val="0"/>
          <c:order val="0"/>
          <c:tx>
            <c:strRef>
              <c:f>Outputs!$T$50</c:f>
              <c:strCache>
                <c:ptCount val="1"/>
                <c:pt idx="0">
                  <c:v>2031E</c:v>
                </c:pt>
              </c:strCache>
            </c:strRef>
          </c:tx>
          <c:dPt>
            <c:idx val="0"/>
            <c:bubble3D val="0"/>
            <c:spPr>
              <a:solidFill>
                <a:srgbClr val="25A2AF"/>
              </a:solidFill>
              <a:ln>
                <a:noFill/>
              </a:ln>
              <a:effectLst/>
            </c:spPr>
            <c:extLst>
              <c:ext xmlns:c16="http://schemas.microsoft.com/office/drawing/2014/chart" uri="{C3380CC4-5D6E-409C-BE32-E72D297353CC}">
                <c16:uniqueId val="{00000001-B53A-46DA-BF7E-7044C7834D16}"/>
              </c:ext>
            </c:extLst>
          </c:dPt>
          <c:dPt>
            <c:idx val="1"/>
            <c:bubble3D val="0"/>
            <c:spPr>
              <a:solidFill>
                <a:schemeClr val="accent2"/>
              </a:solidFill>
              <a:ln>
                <a:noFill/>
              </a:ln>
              <a:effectLst/>
            </c:spPr>
            <c:extLst>
              <c:ext xmlns:c16="http://schemas.microsoft.com/office/drawing/2014/chart" uri="{C3380CC4-5D6E-409C-BE32-E72D297353CC}">
                <c16:uniqueId val="{00000003-B53A-46DA-BF7E-7044C7834D16}"/>
              </c:ext>
            </c:extLst>
          </c:dPt>
          <c:dPt>
            <c:idx val="2"/>
            <c:bubble3D val="0"/>
            <c:spPr>
              <a:solidFill>
                <a:srgbClr val="B7276E"/>
              </a:solidFill>
              <a:ln>
                <a:noFill/>
              </a:ln>
              <a:effectLst/>
            </c:spPr>
            <c:extLst>
              <c:ext xmlns:c16="http://schemas.microsoft.com/office/drawing/2014/chart" uri="{C3380CC4-5D6E-409C-BE32-E72D297353CC}">
                <c16:uniqueId val="{00000005-B53A-46DA-BF7E-7044C7834D16}"/>
              </c:ext>
            </c:extLst>
          </c:dPt>
          <c:dPt>
            <c:idx val="3"/>
            <c:bubble3D val="0"/>
            <c:spPr>
              <a:solidFill>
                <a:schemeClr val="accent4"/>
              </a:solidFill>
              <a:ln>
                <a:noFill/>
              </a:ln>
              <a:effectLst/>
            </c:spPr>
            <c:extLst>
              <c:ext xmlns:c16="http://schemas.microsoft.com/office/drawing/2014/chart" uri="{C3380CC4-5D6E-409C-BE32-E72D297353CC}">
                <c16:uniqueId val="{00000007-B53A-46DA-BF7E-7044C7834D16}"/>
              </c:ext>
            </c:extLst>
          </c:dPt>
          <c:dPt>
            <c:idx val="4"/>
            <c:bubble3D val="0"/>
            <c:spPr>
              <a:solidFill>
                <a:schemeClr val="accent5"/>
              </a:solidFill>
              <a:ln>
                <a:noFill/>
              </a:ln>
              <a:effectLst/>
            </c:spPr>
            <c:extLst>
              <c:ext xmlns:c16="http://schemas.microsoft.com/office/drawing/2014/chart" uri="{C3380CC4-5D6E-409C-BE32-E72D297353CC}">
                <c16:uniqueId val="{00000009-B53A-46DA-BF7E-7044C7834D16}"/>
              </c:ext>
            </c:extLst>
          </c:dPt>
          <c:dPt>
            <c:idx val="5"/>
            <c:bubble3D val="0"/>
            <c:spPr>
              <a:solidFill>
                <a:schemeClr val="accent6"/>
              </a:solidFill>
              <a:ln>
                <a:noFill/>
              </a:ln>
              <a:effectLst/>
            </c:spPr>
            <c:extLst>
              <c:ext xmlns:c16="http://schemas.microsoft.com/office/drawing/2014/chart" uri="{C3380CC4-5D6E-409C-BE32-E72D297353CC}">
                <c16:uniqueId val="{0000000B-B53A-46DA-BF7E-7044C7834D16}"/>
              </c:ext>
            </c:extLst>
          </c:dPt>
          <c:dLbls>
            <c:dLbl>
              <c:idx val="0"/>
              <c:tx>
                <c:rich>
                  <a:bodyPr/>
                  <a:lstStyle/>
                  <a:p>
                    <a:fld id="{5359BCEB-B67D-410C-B8BC-FC8FF4591CE0}" type="PERCENTAGE">
                      <a:rPr lang="en-US"/>
                      <a:pPr/>
                      <a:t>[PORCENTAGEM]</a:t>
                    </a:fld>
                    <a:endParaRPr lang="pt-BR"/>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B53A-46DA-BF7E-7044C7834D16}"/>
                </c:ext>
              </c:extLst>
            </c:dLbl>
            <c:dLbl>
              <c:idx val="1"/>
              <c:tx>
                <c:rich>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Narrow" panose="020B0606020202030204" pitchFamily="34" charset="0"/>
                        <a:ea typeface="+mn-ea"/>
                        <a:cs typeface="+mn-cs"/>
                      </a:defRPr>
                    </a:pPr>
                    <a:fld id="{95EE3001-5859-483D-A4E9-B9685AE09AC8}" type="PERCENTAGE">
                      <a:rPr lang="en-US">
                        <a:solidFill>
                          <a:sysClr val="windowText" lastClr="000000"/>
                        </a:solidFill>
                      </a:rPr>
                      <a:pPr>
                        <a:defRPr>
                          <a:solidFill>
                            <a:sysClr val="windowText" lastClr="000000"/>
                          </a:solidFill>
                        </a:defRPr>
                      </a:pPr>
                      <a:t>[PORCENTAGEM]</a:t>
                    </a:fld>
                    <a:endParaRPr lang="pt-B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Narrow" panose="020B0606020202030204" pitchFamily="34" charset="0"/>
                      <a:ea typeface="+mn-ea"/>
                      <a:cs typeface="+mn-cs"/>
                    </a:defRPr>
                  </a:pPr>
                  <a:endParaRPr lang="pt-BR"/>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B53A-46DA-BF7E-7044C7834D16}"/>
                </c:ext>
              </c:extLst>
            </c:dLbl>
            <c:dLbl>
              <c:idx val="2"/>
              <c:tx>
                <c:rich>
                  <a:bodyPr/>
                  <a:lstStyle/>
                  <a:p>
                    <a:fld id="{B820E2E7-1381-487E-A7A2-8E3D562CE252}" type="PERCENTAGE">
                      <a:rPr lang="en-US"/>
                      <a:pPr/>
                      <a:t>[PORCENTAGEM]</a:t>
                    </a:fld>
                    <a:endParaRPr lang="pt-BR"/>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B53A-46DA-BF7E-7044C7834D16}"/>
                </c:ext>
              </c:extLst>
            </c:dLbl>
            <c:dLbl>
              <c:idx val="3"/>
              <c:tx>
                <c:rich>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Narrow" panose="020B0606020202030204" pitchFamily="34" charset="0"/>
                        <a:ea typeface="+mn-ea"/>
                        <a:cs typeface="+mn-cs"/>
                      </a:defRPr>
                    </a:pPr>
                    <a:fld id="{FB84D6C4-1D4E-4BC0-97F7-F3B38849CCD5}" type="PERCENTAGE">
                      <a:rPr lang="en-US">
                        <a:solidFill>
                          <a:sysClr val="windowText" lastClr="000000"/>
                        </a:solidFill>
                      </a:rPr>
                      <a:pPr>
                        <a:defRPr>
                          <a:solidFill>
                            <a:sysClr val="windowText" lastClr="000000"/>
                          </a:solidFill>
                        </a:defRPr>
                      </a:pPr>
                      <a:t>[PORCENTAGEM]</a:t>
                    </a:fld>
                    <a:endParaRPr lang="pt-B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Narrow" panose="020B0606020202030204" pitchFamily="34" charset="0"/>
                      <a:ea typeface="+mn-ea"/>
                      <a:cs typeface="+mn-cs"/>
                    </a:defRPr>
                  </a:pPr>
                  <a:endParaRPr lang="pt-BR"/>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7-B53A-46DA-BF7E-7044C7834D16}"/>
                </c:ext>
              </c:extLst>
            </c:dLbl>
            <c:dLbl>
              <c:idx val="4"/>
              <c:tx>
                <c:rich>
                  <a:bodyPr/>
                  <a:lstStyle/>
                  <a:p>
                    <a:fld id="{594B35E7-EA10-45F3-9C61-61BF2C3F17B9}" type="PERCENTAGE">
                      <a:rPr lang="en-US"/>
                      <a:pPr/>
                      <a:t>[PORCENTAGEM]</a:t>
                    </a:fld>
                    <a:endParaRPr lang="pt-BR"/>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9-B53A-46DA-BF7E-7044C7834D16}"/>
                </c:ext>
              </c:extLst>
            </c:dLbl>
            <c:dLbl>
              <c:idx val="5"/>
              <c:tx>
                <c:rich>
                  <a:bodyPr/>
                  <a:lstStyle/>
                  <a:p>
                    <a:fld id="{0971EA00-931F-4E38-AB84-049B5E7A2FC8}" type="PERCENTAGE">
                      <a:rPr lang="en-US"/>
                      <a:pPr/>
                      <a:t>[PORCENTAGEM]</a:t>
                    </a:fld>
                    <a:endParaRPr lang="pt-BR"/>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B-B53A-46DA-BF7E-7044C7834D1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rial Narrow" panose="020B0606020202030204" pitchFamily="34" charset="0"/>
                    <a:ea typeface="+mn-ea"/>
                    <a:cs typeface="+mn-cs"/>
                  </a:defRPr>
                </a:pPr>
                <a:endParaRPr lang="pt-BR"/>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Outputs!$Q$51:$R$56</c:f>
              <c:strCache>
                <c:ptCount val="6"/>
                <c:pt idx="0">
                  <c:v>Online Stores</c:v>
                </c:pt>
                <c:pt idx="1">
                  <c:v>Physical Stores</c:v>
                </c:pt>
                <c:pt idx="2">
                  <c:v>Retail Third-Party Seller Services</c:v>
                </c:pt>
                <c:pt idx="3">
                  <c:v>Subscription Services</c:v>
                </c:pt>
                <c:pt idx="4">
                  <c:v>AWS</c:v>
                </c:pt>
                <c:pt idx="5">
                  <c:v>Other</c:v>
                </c:pt>
              </c:strCache>
            </c:strRef>
          </c:cat>
          <c:val>
            <c:numRef>
              <c:f>Outputs!$T$51:$T$56</c:f>
              <c:numCache>
                <c:formatCode>"$"#,##0;\-"$"#,##0</c:formatCode>
                <c:ptCount val="6"/>
                <c:pt idx="0">
                  <c:v>500569.77360541123</c:v>
                </c:pt>
                <c:pt idx="1">
                  <c:v>20324.719506691192</c:v>
                </c:pt>
                <c:pt idx="2">
                  <c:v>372394.30086936732</c:v>
                </c:pt>
                <c:pt idx="3">
                  <c:v>135965.74923780258</c:v>
                </c:pt>
                <c:pt idx="4">
                  <c:v>225739.553331409</c:v>
                </c:pt>
                <c:pt idx="5">
                  <c:v>282748.61566617095</c:v>
                </c:pt>
              </c:numCache>
            </c:numRef>
          </c:val>
          <c:extLst>
            <c:ext xmlns:c16="http://schemas.microsoft.com/office/drawing/2014/chart" uri="{C3380CC4-5D6E-409C-BE32-E72D297353CC}">
              <c16:uniqueId val="{0000000C-B53A-46DA-BF7E-7044C7834D16}"/>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atin typeface="Arial Narrow" panose="020B0606020202030204" pitchFamily="34" charset="0"/>
        </a:defRPr>
      </a:pPr>
      <a:endParaRPr lang="pt-BR"/>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308488211766582"/>
          <c:y val="6.5565685868213819E-2"/>
          <c:w val="0.82507720181865829"/>
          <c:h val="0.79424920569139379"/>
        </c:manualLayout>
      </c:layout>
      <c:barChart>
        <c:barDir val="col"/>
        <c:grouping val="clustered"/>
        <c:varyColors val="0"/>
        <c:ser>
          <c:idx val="0"/>
          <c:order val="0"/>
          <c:tx>
            <c:strRef>
              <c:f>Outputs!$Q$26:$R$26</c:f>
              <c:strCache>
                <c:ptCount val="2"/>
                <c:pt idx="0">
                  <c:v>Base Case Net Earnings</c:v>
                </c:pt>
              </c:strCache>
            </c:strRef>
          </c:tx>
          <c:spPr>
            <a:solidFill>
              <a:srgbClr val="132E57"/>
            </a:solidFill>
            <a:ln>
              <a:noFill/>
            </a:ln>
            <a:effectLst/>
          </c:spPr>
          <c:invertIfNegative val="0"/>
          <c:cat>
            <c:numRef>
              <c:f>Outputs!$S$25:$AC$25</c:f>
              <c:numCache>
                <c:formatCode>0"E"</c:formatCode>
                <c:ptCount val="11"/>
                <c:pt idx="0">
                  <c:v>2021</c:v>
                </c:pt>
                <c:pt idx="1">
                  <c:v>2022</c:v>
                </c:pt>
                <c:pt idx="2">
                  <c:v>2023</c:v>
                </c:pt>
                <c:pt idx="3">
                  <c:v>2024</c:v>
                </c:pt>
                <c:pt idx="4">
                  <c:v>2025</c:v>
                </c:pt>
                <c:pt idx="5">
                  <c:v>2026</c:v>
                </c:pt>
                <c:pt idx="6">
                  <c:v>2027</c:v>
                </c:pt>
                <c:pt idx="7">
                  <c:v>2028</c:v>
                </c:pt>
                <c:pt idx="8">
                  <c:v>2029</c:v>
                </c:pt>
                <c:pt idx="9">
                  <c:v>2030</c:v>
                </c:pt>
                <c:pt idx="10">
                  <c:v>2031</c:v>
                </c:pt>
              </c:numCache>
            </c:numRef>
          </c:cat>
          <c:val>
            <c:numRef>
              <c:f>Outputs!$S$26:$AC$26</c:f>
              <c:numCache>
                <c:formatCode>"$"#,##0;\-"$"#,##0</c:formatCode>
                <c:ptCount val="11"/>
                <c:pt idx="0">
                  <c:v>15971.634341949975</c:v>
                </c:pt>
                <c:pt idx="1">
                  <c:v>19829.125474541652</c:v>
                </c:pt>
                <c:pt idx="2">
                  <c:v>24144.008065277267</c:v>
                </c:pt>
                <c:pt idx="3">
                  <c:v>28514.286746040711</c:v>
                </c:pt>
                <c:pt idx="4">
                  <c:v>32788.30168889997</c:v>
                </c:pt>
                <c:pt idx="5">
                  <c:v>36930.058621146483</c:v>
                </c:pt>
                <c:pt idx="6">
                  <c:v>40844.263538067127</c:v>
                </c:pt>
                <c:pt idx="7">
                  <c:v>44465.748016040947</c:v>
                </c:pt>
                <c:pt idx="8">
                  <c:v>47859.329993839317</c:v>
                </c:pt>
                <c:pt idx="9">
                  <c:v>51086.897686528631</c:v>
                </c:pt>
                <c:pt idx="10">
                  <c:v>54179.892068825371</c:v>
                </c:pt>
              </c:numCache>
            </c:numRef>
          </c:val>
          <c:extLst>
            <c:ext xmlns:c16="http://schemas.microsoft.com/office/drawing/2014/chart" uri="{C3380CC4-5D6E-409C-BE32-E72D297353CC}">
              <c16:uniqueId val="{00000001-141A-4D2D-AC30-FE9D63D28096}"/>
            </c:ext>
          </c:extLst>
        </c:ser>
        <c:dLbls>
          <c:showLegendKey val="0"/>
          <c:showVal val="0"/>
          <c:showCatName val="0"/>
          <c:showSerName val="0"/>
          <c:showPercent val="0"/>
          <c:showBubbleSize val="0"/>
        </c:dLbls>
        <c:gapWidth val="60"/>
        <c:overlap val="-27"/>
        <c:axId val="221970591"/>
        <c:axId val="221950623"/>
      </c:barChart>
      <c:catAx>
        <c:axId val="221970591"/>
        <c:scaling>
          <c:orientation val="minMax"/>
        </c:scaling>
        <c:delete val="0"/>
        <c:axPos val="b"/>
        <c:numFmt formatCode="0&quot;E&quot;"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Arial Narrow" panose="020B0606020202030204" pitchFamily="34" charset="0"/>
                <a:ea typeface="+mn-ea"/>
                <a:cs typeface="+mn-cs"/>
              </a:defRPr>
            </a:pPr>
            <a:endParaRPr lang="pt-BR"/>
          </a:p>
        </c:txPr>
        <c:crossAx val="221950623"/>
        <c:crosses val="autoZero"/>
        <c:auto val="1"/>
        <c:lblAlgn val="ctr"/>
        <c:lblOffset val="100"/>
        <c:noMultiLvlLbl val="0"/>
      </c:catAx>
      <c:valAx>
        <c:axId val="221950623"/>
        <c:scaling>
          <c:orientation val="minMax"/>
        </c:scaling>
        <c:delete val="0"/>
        <c:axPos val="l"/>
        <c:numFmt formatCode="&quot;$&quot;#,##0;\-&quot;$&quot;#,##0" sourceLinked="1"/>
        <c:majorTickMark val="none"/>
        <c:minorTickMark val="none"/>
        <c:tickLblPos val="nextTo"/>
        <c:spPr>
          <a:solidFill>
            <a:srgbClr val="FCFCFC"/>
          </a:solidFill>
          <a:ln>
            <a:noFill/>
          </a:ln>
          <a:effectLst/>
        </c:spPr>
        <c:txPr>
          <a:bodyPr rot="-60000000" spcFirstLastPara="1" vertOverflow="ellipsis" vert="horz" wrap="square" anchor="ctr" anchorCtr="1"/>
          <a:lstStyle/>
          <a:p>
            <a:pPr>
              <a:defRPr sz="1000" b="0" i="0" u="none" strike="noStrike" kern="1200" baseline="0">
                <a:solidFill>
                  <a:schemeClr val="tx1"/>
                </a:solidFill>
                <a:latin typeface="Arial Narrow" panose="020B0606020202030204" pitchFamily="34" charset="0"/>
                <a:ea typeface="+mn-ea"/>
                <a:cs typeface="+mn-cs"/>
              </a:defRPr>
            </a:pPr>
            <a:endParaRPr lang="pt-BR"/>
          </a:p>
        </c:txPr>
        <c:crossAx val="221970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00">
          <a:solidFill>
            <a:schemeClr val="tx1"/>
          </a:solidFill>
          <a:latin typeface="Arial Narrow" panose="020B0606020202030204" pitchFamily="34" charset="0"/>
        </a:defRPr>
      </a:pPr>
      <a:endParaRPr lang="pt-BR"/>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'Market Size'!$B$8</c:f>
              <c:strCache>
                <c:ptCount val="1"/>
                <c:pt idx="0">
                  <c:v>Ecommerce</c:v>
                </c:pt>
              </c:strCache>
            </c:strRef>
          </c:tx>
          <c:spPr>
            <a:solidFill>
              <a:schemeClr val="accent1"/>
            </a:solidFill>
            <a:ln>
              <a:noFill/>
            </a:ln>
            <a:effectLst/>
          </c:spPr>
          <c:invertIfNegative val="0"/>
          <c:cat>
            <c:numRef>
              <c:f>'Market Size'!$I$5:$R$5</c:f>
              <c:numCache>
                <c:formatCode>0"E"</c:formatCode>
                <c:ptCount val="10"/>
                <c:pt idx="0">
                  <c:v>2021</c:v>
                </c:pt>
                <c:pt idx="1">
                  <c:v>2022</c:v>
                </c:pt>
                <c:pt idx="2">
                  <c:v>2023</c:v>
                </c:pt>
                <c:pt idx="3">
                  <c:v>2024</c:v>
                </c:pt>
                <c:pt idx="4">
                  <c:v>2025</c:v>
                </c:pt>
                <c:pt idx="5">
                  <c:v>2026</c:v>
                </c:pt>
                <c:pt idx="6">
                  <c:v>2027</c:v>
                </c:pt>
                <c:pt idx="7">
                  <c:v>2028</c:v>
                </c:pt>
                <c:pt idx="8">
                  <c:v>2029</c:v>
                </c:pt>
                <c:pt idx="9">
                  <c:v>2030</c:v>
                </c:pt>
              </c:numCache>
            </c:numRef>
          </c:cat>
          <c:val>
            <c:numRef>
              <c:f>'Market Size'!$I$8:$R$8</c:f>
              <c:numCache>
                <c:formatCode>#,##0_);\(#,##0\)</c:formatCode>
                <c:ptCount val="10"/>
                <c:pt idx="0">
                  <c:v>619.61790000000008</c:v>
                </c:pt>
                <c:pt idx="1">
                  <c:v>670.84319999999991</c:v>
                </c:pt>
                <c:pt idx="2">
                  <c:v>722.90609999999992</c:v>
                </c:pt>
                <c:pt idx="3">
                  <c:v>775.88969999999995</c:v>
                </c:pt>
                <c:pt idx="4">
                  <c:v>831.47329999999999</c:v>
                </c:pt>
                <c:pt idx="5">
                  <c:v>888.28399999999999</c:v>
                </c:pt>
                <c:pt idx="6">
                  <c:v>948.97631067167163</c:v>
                </c:pt>
                <c:pt idx="7">
                  <c:v>1013.8154444029353</c:v>
                </c:pt>
                <c:pt idx="8">
                  <c:v>1083.0847343095888</c:v>
                </c:pt>
                <c:pt idx="9">
                  <c:v>1157.0868723402889</c:v>
                </c:pt>
              </c:numCache>
            </c:numRef>
          </c:val>
          <c:extLst>
            <c:ext xmlns:c16="http://schemas.microsoft.com/office/drawing/2014/chart" uri="{C3380CC4-5D6E-409C-BE32-E72D297353CC}">
              <c16:uniqueId val="{00000000-D915-4574-BBCD-1382F61FB4F5}"/>
            </c:ext>
          </c:extLst>
        </c:ser>
        <c:ser>
          <c:idx val="1"/>
          <c:order val="1"/>
          <c:tx>
            <c:strRef>
              <c:f>'Market Size'!$B$9</c:f>
              <c:strCache>
                <c:ptCount val="1"/>
                <c:pt idx="0">
                  <c:v>Advertising</c:v>
                </c:pt>
              </c:strCache>
            </c:strRef>
          </c:tx>
          <c:spPr>
            <a:solidFill>
              <a:schemeClr val="accent2"/>
            </a:solidFill>
            <a:ln>
              <a:noFill/>
            </a:ln>
            <a:effectLst/>
          </c:spPr>
          <c:invertIfNegative val="0"/>
          <c:cat>
            <c:numRef>
              <c:f>'Market Size'!$I$5:$R$5</c:f>
              <c:numCache>
                <c:formatCode>0"E"</c:formatCode>
                <c:ptCount val="10"/>
                <c:pt idx="0">
                  <c:v>2021</c:v>
                </c:pt>
                <c:pt idx="1">
                  <c:v>2022</c:v>
                </c:pt>
                <c:pt idx="2">
                  <c:v>2023</c:v>
                </c:pt>
                <c:pt idx="3">
                  <c:v>2024</c:v>
                </c:pt>
                <c:pt idx="4">
                  <c:v>2025</c:v>
                </c:pt>
                <c:pt idx="5">
                  <c:v>2026</c:v>
                </c:pt>
                <c:pt idx="6">
                  <c:v>2027</c:v>
                </c:pt>
                <c:pt idx="7">
                  <c:v>2028</c:v>
                </c:pt>
                <c:pt idx="8">
                  <c:v>2029</c:v>
                </c:pt>
                <c:pt idx="9">
                  <c:v>2030</c:v>
                </c:pt>
              </c:numCache>
            </c:numRef>
          </c:cat>
          <c:val>
            <c:numRef>
              <c:f>'Market Size'!$I$9:$R$9</c:f>
              <c:numCache>
                <c:formatCode>#,##0_);\(#,##0\)</c:formatCode>
                <c:ptCount val="10"/>
                <c:pt idx="0">
                  <c:v>312.83</c:v>
                </c:pt>
                <c:pt idx="1">
                  <c:v>336.09</c:v>
                </c:pt>
                <c:pt idx="2">
                  <c:v>350.01</c:v>
                </c:pt>
                <c:pt idx="3">
                  <c:v>360.36</c:v>
                </c:pt>
                <c:pt idx="4">
                  <c:v>368.35</c:v>
                </c:pt>
                <c:pt idx="5">
                  <c:v>376.39</c:v>
                </c:pt>
                <c:pt idx="6">
                  <c:v>390.64</c:v>
                </c:pt>
                <c:pt idx="7">
                  <c:v>405.42950025239776</c:v>
                </c:pt>
                <c:pt idx="8">
                  <c:v>420.77892605700646</c:v>
                </c:pt>
                <c:pt idx="9">
                  <c:v>436.7094760086851</c:v>
                </c:pt>
              </c:numCache>
            </c:numRef>
          </c:val>
          <c:extLst>
            <c:ext xmlns:c16="http://schemas.microsoft.com/office/drawing/2014/chart" uri="{C3380CC4-5D6E-409C-BE32-E72D297353CC}">
              <c16:uniqueId val="{00000001-D915-4574-BBCD-1382F61FB4F5}"/>
            </c:ext>
          </c:extLst>
        </c:ser>
        <c:ser>
          <c:idx val="2"/>
          <c:order val="2"/>
          <c:tx>
            <c:strRef>
              <c:f>'Market Size'!$B$10</c:f>
              <c:strCache>
                <c:ptCount val="1"/>
                <c:pt idx="0">
                  <c:v>Cloud</c:v>
                </c:pt>
              </c:strCache>
            </c:strRef>
          </c:tx>
          <c:spPr>
            <a:solidFill>
              <a:schemeClr val="accent3"/>
            </a:solidFill>
            <a:ln>
              <a:noFill/>
            </a:ln>
            <a:effectLst/>
          </c:spPr>
          <c:invertIfNegative val="0"/>
          <c:cat>
            <c:numRef>
              <c:f>'Market Size'!$I$5:$R$5</c:f>
              <c:numCache>
                <c:formatCode>0"E"</c:formatCode>
                <c:ptCount val="10"/>
                <c:pt idx="0">
                  <c:v>2021</c:v>
                </c:pt>
                <c:pt idx="1">
                  <c:v>2022</c:v>
                </c:pt>
                <c:pt idx="2">
                  <c:v>2023</c:v>
                </c:pt>
                <c:pt idx="3">
                  <c:v>2024</c:v>
                </c:pt>
                <c:pt idx="4">
                  <c:v>2025</c:v>
                </c:pt>
                <c:pt idx="5">
                  <c:v>2026</c:v>
                </c:pt>
                <c:pt idx="6">
                  <c:v>2027</c:v>
                </c:pt>
                <c:pt idx="7">
                  <c:v>2028</c:v>
                </c:pt>
                <c:pt idx="8">
                  <c:v>2029</c:v>
                </c:pt>
                <c:pt idx="9">
                  <c:v>2030</c:v>
                </c:pt>
              </c:numCache>
            </c:numRef>
          </c:cat>
          <c:val>
            <c:numRef>
              <c:f>'Market Size'!$I$10:$R$10</c:f>
              <c:numCache>
                <c:formatCode>#,##0_);\(#,##0\)</c:formatCode>
                <c:ptCount val="10"/>
                <c:pt idx="0">
                  <c:v>167.29139999999998</c:v>
                </c:pt>
                <c:pt idx="1">
                  <c:v>178.96220000000002</c:v>
                </c:pt>
                <c:pt idx="2">
                  <c:v>195.3485</c:v>
                </c:pt>
                <c:pt idx="3">
                  <c:v>205.12700000000001</c:v>
                </c:pt>
                <c:pt idx="4">
                  <c:v>217.0162</c:v>
                </c:pt>
                <c:pt idx="5">
                  <c:v>227.67949999999999</c:v>
                </c:pt>
                <c:pt idx="6">
                  <c:v>238.86675151555502</c:v>
                </c:pt>
                <c:pt idx="7">
                  <c:v>250.60369940901097</c:v>
                </c:pt>
                <c:pt idx="8">
                  <c:v>262.91735354132044</c:v>
                </c:pt>
                <c:pt idx="9">
                  <c:v>275.83605092896778</c:v>
                </c:pt>
              </c:numCache>
            </c:numRef>
          </c:val>
          <c:extLst>
            <c:ext xmlns:c16="http://schemas.microsoft.com/office/drawing/2014/chart" uri="{C3380CC4-5D6E-409C-BE32-E72D297353CC}">
              <c16:uniqueId val="{00000002-D915-4574-BBCD-1382F61FB4F5}"/>
            </c:ext>
          </c:extLst>
        </c:ser>
        <c:ser>
          <c:idx val="3"/>
          <c:order val="3"/>
          <c:tx>
            <c:strRef>
              <c:f>'Market Size'!$B$11</c:f>
              <c:strCache>
                <c:ptCount val="1"/>
                <c:pt idx="0">
                  <c:v>Physical Stores</c:v>
                </c:pt>
              </c:strCache>
            </c:strRef>
          </c:tx>
          <c:spPr>
            <a:solidFill>
              <a:schemeClr val="accent4"/>
            </a:solidFill>
            <a:ln>
              <a:noFill/>
            </a:ln>
            <a:effectLst/>
          </c:spPr>
          <c:invertIfNegative val="0"/>
          <c:cat>
            <c:numRef>
              <c:f>'Market Size'!$I$5:$R$5</c:f>
              <c:numCache>
                <c:formatCode>0"E"</c:formatCode>
                <c:ptCount val="10"/>
                <c:pt idx="0">
                  <c:v>2021</c:v>
                </c:pt>
                <c:pt idx="1">
                  <c:v>2022</c:v>
                </c:pt>
                <c:pt idx="2">
                  <c:v>2023</c:v>
                </c:pt>
                <c:pt idx="3">
                  <c:v>2024</c:v>
                </c:pt>
                <c:pt idx="4">
                  <c:v>2025</c:v>
                </c:pt>
                <c:pt idx="5">
                  <c:v>2026</c:v>
                </c:pt>
                <c:pt idx="6">
                  <c:v>2027</c:v>
                </c:pt>
                <c:pt idx="7">
                  <c:v>2028</c:v>
                </c:pt>
                <c:pt idx="8">
                  <c:v>2029</c:v>
                </c:pt>
                <c:pt idx="9">
                  <c:v>2030</c:v>
                </c:pt>
              </c:numCache>
            </c:numRef>
          </c:cat>
          <c:val>
            <c:numRef>
              <c:f>'Market Size'!$I$11:$R$11</c:f>
              <c:numCache>
                <c:formatCode>#,##0_);\(#,##0\)</c:formatCode>
                <c:ptCount val="10"/>
                <c:pt idx="0">
                  <c:v>658.0693</c:v>
                </c:pt>
                <c:pt idx="1">
                  <c:v>660.17899999999997</c:v>
                </c:pt>
                <c:pt idx="2">
                  <c:v>665.26409999999998</c:v>
                </c:pt>
                <c:pt idx="3">
                  <c:v>669.85769999999991</c:v>
                </c:pt>
                <c:pt idx="4">
                  <c:v>675.05939999999998</c:v>
                </c:pt>
                <c:pt idx="5">
                  <c:v>679.93589999999995</c:v>
                </c:pt>
                <c:pt idx="6">
                  <c:v>684.84762690336572</c:v>
                </c:pt>
                <c:pt idx="7">
                  <c:v>689.79483518251004</c:v>
                </c:pt>
                <c:pt idx="8">
                  <c:v>694.77778114810576</c:v>
                </c:pt>
                <c:pt idx="9">
                  <c:v>699.79672296236492</c:v>
                </c:pt>
              </c:numCache>
            </c:numRef>
          </c:val>
          <c:extLst>
            <c:ext xmlns:c16="http://schemas.microsoft.com/office/drawing/2014/chart" uri="{C3380CC4-5D6E-409C-BE32-E72D297353CC}">
              <c16:uniqueId val="{00000003-D915-4574-BBCD-1382F61FB4F5}"/>
            </c:ext>
          </c:extLst>
        </c:ser>
        <c:dLbls>
          <c:showLegendKey val="0"/>
          <c:showVal val="0"/>
          <c:showCatName val="0"/>
          <c:showSerName val="0"/>
          <c:showPercent val="0"/>
          <c:showBubbleSize val="0"/>
        </c:dLbls>
        <c:gapWidth val="219"/>
        <c:overlap val="-27"/>
        <c:axId val="449737856"/>
        <c:axId val="449741600"/>
      </c:barChart>
      <c:catAx>
        <c:axId val="449737856"/>
        <c:scaling>
          <c:orientation val="minMax"/>
        </c:scaling>
        <c:delete val="0"/>
        <c:axPos val="b"/>
        <c:numFmt formatCode="0&quot;E&quot;"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Arial Narrow" panose="020B0606020202030204" pitchFamily="34" charset="0"/>
                <a:ea typeface="+mn-ea"/>
                <a:cs typeface="+mn-cs"/>
              </a:defRPr>
            </a:pPr>
            <a:endParaRPr lang="pt-BR"/>
          </a:p>
        </c:txPr>
        <c:crossAx val="449741600"/>
        <c:crosses val="autoZero"/>
        <c:auto val="1"/>
        <c:lblAlgn val="ctr"/>
        <c:lblOffset val="100"/>
        <c:noMultiLvlLbl val="0"/>
      </c:catAx>
      <c:valAx>
        <c:axId val="449741600"/>
        <c:scaling>
          <c:orientation val="minMax"/>
          <c:max val="1200"/>
        </c:scaling>
        <c:delete val="0"/>
        <c:axPos val="l"/>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Arial Narrow" panose="020B0606020202030204" pitchFamily="34" charset="0"/>
                <a:ea typeface="+mn-ea"/>
                <a:cs typeface="+mn-cs"/>
              </a:defRPr>
            </a:pPr>
            <a:endParaRPr lang="pt-BR"/>
          </a:p>
        </c:txPr>
        <c:crossAx val="449737856"/>
        <c:crosses val="autoZero"/>
        <c:crossBetween val="between"/>
      </c:valAx>
      <c:spPr>
        <a:noFill/>
        <a:ln>
          <a:noFill/>
        </a:ln>
        <a:effectLst/>
      </c:spPr>
    </c:plotArea>
    <c:legend>
      <c:legendPos val="t"/>
      <c:layout>
        <c:manualLayout>
          <c:xMode val="edge"/>
          <c:yMode val="edge"/>
          <c:x val="0.10094440249763301"/>
          <c:y val="5.6125015885267061E-2"/>
          <c:w val="0.37077637555579523"/>
          <c:h val="5.9997315630032334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Arial Narrow" panose="020B0606020202030204" pitchFamily="34" charset="0"/>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atin typeface="Arial Narrow" panose="020B0606020202030204" pitchFamily="34" charset="0"/>
        </a:defRPr>
      </a:pPr>
      <a:endParaRPr lang="pt-BR"/>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Macro!$B$9</c:f>
              <c:strCache>
                <c:ptCount val="1"/>
                <c:pt idx="0">
                  <c:v>Inflation</c:v>
                </c:pt>
              </c:strCache>
            </c:strRef>
          </c:tx>
          <c:spPr>
            <a:ln w="28575" cap="rnd">
              <a:solidFill>
                <a:schemeClr val="accent1"/>
              </a:solidFill>
              <a:round/>
            </a:ln>
            <a:effectLst/>
          </c:spPr>
          <c:marker>
            <c:symbol val="none"/>
          </c:marker>
          <c:cat>
            <c:strRef>
              <c:f>Macro!$C$5:$F$5</c:f>
              <c:strCache>
                <c:ptCount val="4"/>
                <c:pt idx="0">
                  <c:v>2020E</c:v>
                </c:pt>
                <c:pt idx="1">
                  <c:v>2021E</c:v>
                </c:pt>
                <c:pt idx="2">
                  <c:v>2022E</c:v>
                </c:pt>
                <c:pt idx="3">
                  <c:v>2023-2027E</c:v>
                </c:pt>
              </c:strCache>
            </c:strRef>
          </c:cat>
          <c:val>
            <c:numRef>
              <c:f>Macro!$C$9:$F$9</c:f>
              <c:numCache>
                <c:formatCode>0.0%</c:formatCode>
                <c:ptCount val="4"/>
                <c:pt idx="0">
                  <c:v>2.5000000000000001E-2</c:v>
                </c:pt>
                <c:pt idx="1">
                  <c:v>2.4E-2</c:v>
                </c:pt>
                <c:pt idx="2">
                  <c:v>2.5000000000000001E-2</c:v>
                </c:pt>
                <c:pt idx="3">
                  <c:v>2.8000000000000001E-2</c:v>
                </c:pt>
              </c:numCache>
            </c:numRef>
          </c:val>
          <c:smooth val="0"/>
          <c:extLst>
            <c:ext xmlns:c16="http://schemas.microsoft.com/office/drawing/2014/chart" uri="{C3380CC4-5D6E-409C-BE32-E72D297353CC}">
              <c16:uniqueId val="{00000000-94BA-488F-8566-EE83437D40C6}"/>
            </c:ext>
          </c:extLst>
        </c:ser>
        <c:ser>
          <c:idx val="1"/>
          <c:order val="1"/>
          <c:tx>
            <c:strRef>
              <c:f>Macro!$B$10</c:f>
              <c:strCache>
                <c:ptCount val="1"/>
                <c:pt idx="0">
                  <c:v>GDP Growth</c:v>
                </c:pt>
              </c:strCache>
            </c:strRef>
          </c:tx>
          <c:spPr>
            <a:ln w="28575" cap="rnd">
              <a:solidFill>
                <a:schemeClr val="accent2"/>
              </a:solidFill>
              <a:round/>
            </a:ln>
            <a:effectLst/>
          </c:spPr>
          <c:marker>
            <c:symbol val="none"/>
          </c:marker>
          <c:cat>
            <c:strRef>
              <c:f>Macro!$C$5:$F$5</c:f>
              <c:strCache>
                <c:ptCount val="4"/>
                <c:pt idx="0">
                  <c:v>2020E</c:v>
                </c:pt>
                <c:pt idx="1">
                  <c:v>2021E</c:v>
                </c:pt>
                <c:pt idx="2">
                  <c:v>2022E</c:v>
                </c:pt>
                <c:pt idx="3">
                  <c:v>2023-2027E</c:v>
                </c:pt>
              </c:strCache>
            </c:strRef>
          </c:cat>
          <c:val>
            <c:numRef>
              <c:f>Macro!$C$10:$F$10</c:f>
              <c:numCache>
                <c:formatCode>0.0%</c:formatCode>
                <c:ptCount val="4"/>
                <c:pt idx="0">
                  <c:v>-3.9E-2</c:v>
                </c:pt>
                <c:pt idx="1">
                  <c:v>5.0999999999999997E-2</c:v>
                </c:pt>
                <c:pt idx="2">
                  <c:v>4.1000000000000002E-2</c:v>
                </c:pt>
                <c:pt idx="3">
                  <c:v>3.4000000000000002E-2</c:v>
                </c:pt>
              </c:numCache>
            </c:numRef>
          </c:val>
          <c:smooth val="0"/>
          <c:extLst>
            <c:ext xmlns:c16="http://schemas.microsoft.com/office/drawing/2014/chart" uri="{C3380CC4-5D6E-409C-BE32-E72D297353CC}">
              <c16:uniqueId val="{00000001-94BA-488F-8566-EE83437D40C6}"/>
            </c:ext>
          </c:extLst>
        </c:ser>
        <c:ser>
          <c:idx val="2"/>
          <c:order val="2"/>
          <c:tx>
            <c:strRef>
              <c:f>Macro!$B$11</c:f>
              <c:strCache>
                <c:ptCount val="1"/>
                <c:pt idx="0">
                  <c:v>US Unemployment Rate </c:v>
                </c:pt>
              </c:strCache>
            </c:strRef>
          </c:tx>
          <c:spPr>
            <a:ln w="28575" cap="rnd">
              <a:solidFill>
                <a:schemeClr val="accent3"/>
              </a:solidFill>
              <a:round/>
            </a:ln>
            <a:effectLst/>
          </c:spPr>
          <c:marker>
            <c:symbol val="none"/>
          </c:marker>
          <c:cat>
            <c:strRef>
              <c:f>Macro!$C$5:$F$5</c:f>
              <c:strCache>
                <c:ptCount val="4"/>
                <c:pt idx="0">
                  <c:v>2020E</c:v>
                </c:pt>
                <c:pt idx="1">
                  <c:v>2021E</c:v>
                </c:pt>
                <c:pt idx="2">
                  <c:v>2022E</c:v>
                </c:pt>
                <c:pt idx="3">
                  <c:v>2023-2027E</c:v>
                </c:pt>
              </c:strCache>
            </c:strRef>
          </c:cat>
          <c:val>
            <c:numRef>
              <c:f>Macro!$C$11:$F$11</c:f>
              <c:numCache>
                <c:formatCode>0.0%</c:formatCode>
                <c:ptCount val="4"/>
                <c:pt idx="0">
                  <c:v>0.106</c:v>
                </c:pt>
                <c:pt idx="1">
                  <c:v>8.4000000000000005E-2</c:v>
                </c:pt>
                <c:pt idx="2">
                  <c:v>7.0999999999999994E-2</c:v>
                </c:pt>
                <c:pt idx="3">
                  <c:v>5.3999999999999999E-2</c:v>
                </c:pt>
              </c:numCache>
            </c:numRef>
          </c:val>
          <c:smooth val="0"/>
          <c:extLst>
            <c:ext xmlns:c16="http://schemas.microsoft.com/office/drawing/2014/chart" uri="{C3380CC4-5D6E-409C-BE32-E72D297353CC}">
              <c16:uniqueId val="{00000002-94BA-488F-8566-EE83437D40C6}"/>
            </c:ext>
          </c:extLst>
        </c:ser>
        <c:ser>
          <c:idx val="3"/>
          <c:order val="3"/>
          <c:tx>
            <c:strRef>
              <c:f>Macro!$B$12</c:f>
              <c:strCache>
                <c:ptCount val="1"/>
                <c:pt idx="0">
                  <c:v>US Consumer Expenditure</c:v>
                </c:pt>
              </c:strCache>
            </c:strRef>
          </c:tx>
          <c:spPr>
            <a:ln w="28575" cap="rnd">
              <a:solidFill>
                <a:schemeClr val="accent4"/>
              </a:solidFill>
              <a:round/>
            </a:ln>
            <a:effectLst/>
          </c:spPr>
          <c:marker>
            <c:symbol val="none"/>
          </c:marker>
          <c:cat>
            <c:strRef>
              <c:f>Macro!$C$5:$F$5</c:f>
              <c:strCache>
                <c:ptCount val="4"/>
                <c:pt idx="0">
                  <c:v>2020E</c:v>
                </c:pt>
                <c:pt idx="1">
                  <c:v>2021E</c:v>
                </c:pt>
                <c:pt idx="2">
                  <c:v>2022E</c:v>
                </c:pt>
                <c:pt idx="3">
                  <c:v>2023-2027E</c:v>
                </c:pt>
              </c:strCache>
            </c:strRef>
          </c:cat>
          <c:val>
            <c:numRef>
              <c:f>Macro!$C$12:$F$12</c:f>
              <c:numCache>
                <c:formatCode>0.0%</c:formatCode>
                <c:ptCount val="4"/>
                <c:pt idx="0">
                  <c:v>-3.9E-2</c:v>
                </c:pt>
                <c:pt idx="1">
                  <c:v>5.8999999999999997E-2</c:v>
                </c:pt>
                <c:pt idx="2">
                  <c:v>0.05</c:v>
                </c:pt>
                <c:pt idx="3">
                  <c:v>2.1499999999999998E-2</c:v>
                </c:pt>
              </c:numCache>
            </c:numRef>
          </c:val>
          <c:smooth val="0"/>
          <c:extLst>
            <c:ext xmlns:c16="http://schemas.microsoft.com/office/drawing/2014/chart" uri="{C3380CC4-5D6E-409C-BE32-E72D297353CC}">
              <c16:uniqueId val="{00000003-94BA-488F-8566-EE83437D40C6}"/>
            </c:ext>
          </c:extLst>
        </c:ser>
        <c:dLbls>
          <c:showLegendKey val="0"/>
          <c:showVal val="0"/>
          <c:showCatName val="0"/>
          <c:showSerName val="0"/>
          <c:showPercent val="0"/>
          <c:showBubbleSize val="0"/>
        </c:dLbls>
        <c:smooth val="0"/>
        <c:axId val="1055495503"/>
        <c:axId val="1055504239"/>
      </c:lineChart>
      <c:catAx>
        <c:axId val="10554955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pt-BR"/>
          </a:p>
        </c:txPr>
        <c:crossAx val="1055504239"/>
        <c:crosses val="autoZero"/>
        <c:auto val="1"/>
        <c:lblAlgn val="ctr"/>
        <c:lblOffset val="100"/>
        <c:noMultiLvlLbl val="0"/>
      </c:catAx>
      <c:valAx>
        <c:axId val="1055504239"/>
        <c:scaling>
          <c:orientation val="minMax"/>
          <c:min val="-4.0000000000000008E-2"/>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pt-BR"/>
          </a:p>
        </c:txPr>
        <c:crossAx val="1055495503"/>
        <c:crosses val="autoZero"/>
        <c:crossBetween val="between"/>
      </c:valAx>
      <c:spPr>
        <a:noFill/>
        <a:ln>
          <a:noFill/>
        </a:ln>
        <a:effectLst/>
      </c:spPr>
    </c:plotArea>
    <c:legend>
      <c:legendPos val="t"/>
      <c:layout>
        <c:manualLayout>
          <c:xMode val="edge"/>
          <c:yMode val="edge"/>
          <c:x val="0.11805704304810584"/>
          <c:y val="2.1887821753852198E-2"/>
          <c:w val="0.88194303340269586"/>
          <c:h val="8.17615701468827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pt-BR"/>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pt-BR"/>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spc="0" baseline="0">
                <a:solidFill>
                  <a:schemeClr val="tx1">
                    <a:lumMod val="65000"/>
                    <a:lumOff val="35000"/>
                  </a:schemeClr>
                </a:solidFill>
                <a:latin typeface="Arial Narrow" panose="020B0606020202030204" pitchFamily="34" charset="0"/>
                <a:ea typeface="+mn-ea"/>
                <a:cs typeface="+mn-cs"/>
              </a:defRPr>
            </a:pPr>
            <a:r>
              <a:rPr lang="en-CA" sz="1500" b="1"/>
              <a:t>Amazon.com, Inc. - 52-week Share Pricing</a:t>
            </a:r>
          </a:p>
        </c:rich>
      </c:tx>
      <c:overlay val="0"/>
      <c:spPr>
        <a:noFill/>
        <a:ln>
          <a:noFill/>
        </a:ln>
        <a:effectLst/>
      </c:spPr>
      <c:txPr>
        <a:bodyPr rot="0" spcFirstLastPara="1" vertOverflow="ellipsis" vert="horz" wrap="square" anchor="ctr" anchorCtr="1"/>
        <a:lstStyle/>
        <a:p>
          <a:pPr>
            <a:defRPr sz="1500" b="1" i="0" u="none" strike="noStrike" kern="1200" spc="0" baseline="0">
              <a:solidFill>
                <a:schemeClr val="tx1">
                  <a:lumMod val="65000"/>
                  <a:lumOff val="35000"/>
                </a:schemeClr>
              </a:solidFill>
              <a:latin typeface="Arial Narrow" panose="020B0606020202030204" pitchFamily="34" charset="0"/>
              <a:ea typeface="+mn-ea"/>
              <a:cs typeface="+mn-cs"/>
            </a:defRPr>
          </a:pPr>
          <a:endParaRPr lang="pt-BR"/>
        </a:p>
      </c:txPr>
    </c:title>
    <c:autoTitleDeleted val="0"/>
    <c:plotArea>
      <c:layout/>
      <c:lineChart>
        <c:grouping val="standard"/>
        <c:varyColors val="0"/>
        <c:ser>
          <c:idx val="0"/>
          <c:order val="0"/>
          <c:spPr>
            <a:ln w="28575" cap="rnd">
              <a:solidFill>
                <a:schemeClr val="accent1"/>
              </a:solidFill>
              <a:round/>
            </a:ln>
            <a:effectLst/>
          </c:spPr>
          <c:marker>
            <c:symbol val="none"/>
          </c:marker>
          <c:cat>
            <c:numRef>
              <c:f>'Share Price'!$B$1122:$B$1374</c:f>
              <c:numCache>
                <c:formatCode>[$-409]mmm\-dd\-yyyy;@</c:formatCode>
                <c:ptCount val="253"/>
                <c:pt idx="0">
                  <c:v>43909</c:v>
                </c:pt>
                <c:pt idx="1">
                  <c:v>43910</c:v>
                </c:pt>
                <c:pt idx="2">
                  <c:v>43913</c:v>
                </c:pt>
                <c:pt idx="3">
                  <c:v>43914</c:v>
                </c:pt>
                <c:pt idx="4">
                  <c:v>43915</c:v>
                </c:pt>
                <c:pt idx="5">
                  <c:v>43916</c:v>
                </c:pt>
                <c:pt idx="6">
                  <c:v>43917</c:v>
                </c:pt>
                <c:pt idx="7">
                  <c:v>43920</c:v>
                </c:pt>
                <c:pt idx="8">
                  <c:v>43921</c:v>
                </c:pt>
                <c:pt idx="9">
                  <c:v>43922</c:v>
                </c:pt>
                <c:pt idx="10">
                  <c:v>43923</c:v>
                </c:pt>
                <c:pt idx="11">
                  <c:v>43924</c:v>
                </c:pt>
                <c:pt idx="12">
                  <c:v>43927</c:v>
                </c:pt>
                <c:pt idx="13">
                  <c:v>43928</c:v>
                </c:pt>
                <c:pt idx="14">
                  <c:v>43929</c:v>
                </c:pt>
                <c:pt idx="15">
                  <c:v>43930</c:v>
                </c:pt>
                <c:pt idx="16">
                  <c:v>43934</c:v>
                </c:pt>
                <c:pt idx="17">
                  <c:v>43935</c:v>
                </c:pt>
                <c:pt idx="18">
                  <c:v>43936</c:v>
                </c:pt>
                <c:pt idx="19">
                  <c:v>43937</c:v>
                </c:pt>
                <c:pt idx="20">
                  <c:v>43938</c:v>
                </c:pt>
                <c:pt idx="21">
                  <c:v>43941</c:v>
                </c:pt>
                <c:pt idx="22">
                  <c:v>43942</c:v>
                </c:pt>
                <c:pt idx="23">
                  <c:v>43943</c:v>
                </c:pt>
                <c:pt idx="24">
                  <c:v>43944</c:v>
                </c:pt>
                <c:pt idx="25">
                  <c:v>43945</c:v>
                </c:pt>
                <c:pt idx="26">
                  <c:v>43948</c:v>
                </c:pt>
                <c:pt idx="27">
                  <c:v>43949</c:v>
                </c:pt>
                <c:pt idx="28">
                  <c:v>43950</c:v>
                </c:pt>
                <c:pt idx="29">
                  <c:v>43951</c:v>
                </c:pt>
                <c:pt idx="30">
                  <c:v>43952</c:v>
                </c:pt>
                <c:pt idx="31">
                  <c:v>43955</c:v>
                </c:pt>
                <c:pt idx="32">
                  <c:v>43956</c:v>
                </c:pt>
                <c:pt idx="33">
                  <c:v>43957</c:v>
                </c:pt>
                <c:pt idx="34">
                  <c:v>43958</c:v>
                </c:pt>
                <c:pt idx="35">
                  <c:v>43959</c:v>
                </c:pt>
                <c:pt idx="36">
                  <c:v>43962</c:v>
                </c:pt>
                <c:pt idx="37">
                  <c:v>43963</c:v>
                </c:pt>
                <c:pt idx="38">
                  <c:v>43964</c:v>
                </c:pt>
                <c:pt idx="39">
                  <c:v>43965</c:v>
                </c:pt>
                <c:pt idx="40">
                  <c:v>43966</c:v>
                </c:pt>
                <c:pt idx="41">
                  <c:v>43969</c:v>
                </c:pt>
                <c:pt idx="42">
                  <c:v>43970</c:v>
                </c:pt>
                <c:pt idx="43">
                  <c:v>43971</c:v>
                </c:pt>
                <c:pt idx="44">
                  <c:v>43972</c:v>
                </c:pt>
                <c:pt idx="45">
                  <c:v>43973</c:v>
                </c:pt>
                <c:pt idx="46">
                  <c:v>43977</c:v>
                </c:pt>
                <c:pt idx="47">
                  <c:v>43978</c:v>
                </c:pt>
                <c:pt idx="48">
                  <c:v>43979</c:v>
                </c:pt>
                <c:pt idx="49">
                  <c:v>43980</c:v>
                </c:pt>
                <c:pt idx="50">
                  <c:v>43983</c:v>
                </c:pt>
                <c:pt idx="51">
                  <c:v>43984</c:v>
                </c:pt>
                <c:pt idx="52">
                  <c:v>43985</c:v>
                </c:pt>
                <c:pt idx="53">
                  <c:v>43986</c:v>
                </c:pt>
                <c:pt idx="54">
                  <c:v>43987</c:v>
                </c:pt>
                <c:pt idx="55">
                  <c:v>43990</c:v>
                </c:pt>
                <c:pt idx="56">
                  <c:v>43991</c:v>
                </c:pt>
                <c:pt idx="57">
                  <c:v>43992</c:v>
                </c:pt>
                <c:pt idx="58">
                  <c:v>43993</c:v>
                </c:pt>
                <c:pt idx="59">
                  <c:v>43994</c:v>
                </c:pt>
                <c:pt idx="60">
                  <c:v>43997</c:v>
                </c:pt>
                <c:pt idx="61">
                  <c:v>43998</c:v>
                </c:pt>
                <c:pt idx="62">
                  <c:v>43999</c:v>
                </c:pt>
                <c:pt idx="63">
                  <c:v>44000</c:v>
                </c:pt>
                <c:pt idx="64">
                  <c:v>44001</c:v>
                </c:pt>
                <c:pt idx="65">
                  <c:v>44004</c:v>
                </c:pt>
                <c:pt idx="66">
                  <c:v>44005</c:v>
                </c:pt>
                <c:pt idx="67">
                  <c:v>44006</c:v>
                </c:pt>
                <c:pt idx="68">
                  <c:v>44007</c:v>
                </c:pt>
                <c:pt idx="69">
                  <c:v>44008</c:v>
                </c:pt>
                <c:pt idx="70">
                  <c:v>44011</c:v>
                </c:pt>
                <c:pt idx="71">
                  <c:v>44012</c:v>
                </c:pt>
                <c:pt idx="72">
                  <c:v>44013</c:v>
                </c:pt>
                <c:pt idx="73">
                  <c:v>44014</c:v>
                </c:pt>
                <c:pt idx="74">
                  <c:v>44018</c:v>
                </c:pt>
                <c:pt idx="75">
                  <c:v>44019</c:v>
                </c:pt>
                <c:pt idx="76">
                  <c:v>44020</c:v>
                </c:pt>
                <c:pt idx="77">
                  <c:v>44021</c:v>
                </c:pt>
                <c:pt idx="78">
                  <c:v>44022</c:v>
                </c:pt>
                <c:pt idx="79">
                  <c:v>44025</c:v>
                </c:pt>
                <c:pt idx="80">
                  <c:v>44026</c:v>
                </c:pt>
                <c:pt idx="81">
                  <c:v>44027</c:v>
                </c:pt>
                <c:pt idx="82">
                  <c:v>44028</c:v>
                </c:pt>
                <c:pt idx="83">
                  <c:v>44029</c:v>
                </c:pt>
                <c:pt idx="84">
                  <c:v>44032</c:v>
                </c:pt>
                <c:pt idx="85">
                  <c:v>44033</c:v>
                </c:pt>
                <c:pt idx="86">
                  <c:v>44034</c:v>
                </c:pt>
                <c:pt idx="87">
                  <c:v>44035</c:v>
                </c:pt>
                <c:pt idx="88">
                  <c:v>44036</c:v>
                </c:pt>
                <c:pt idx="89">
                  <c:v>44039</c:v>
                </c:pt>
                <c:pt idx="90">
                  <c:v>44040</c:v>
                </c:pt>
                <c:pt idx="91">
                  <c:v>44041</c:v>
                </c:pt>
                <c:pt idx="92">
                  <c:v>44042</c:v>
                </c:pt>
                <c:pt idx="93">
                  <c:v>44043</c:v>
                </c:pt>
                <c:pt idx="94">
                  <c:v>44046</c:v>
                </c:pt>
                <c:pt idx="95">
                  <c:v>44047</c:v>
                </c:pt>
                <c:pt idx="96">
                  <c:v>44048</c:v>
                </c:pt>
                <c:pt idx="97">
                  <c:v>44049</c:v>
                </c:pt>
                <c:pt idx="98">
                  <c:v>44050</c:v>
                </c:pt>
                <c:pt idx="99">
                  <c:v>44053</c:v>
                </c:pt>
                <c:pt idx="100">
                  <c:v>44054</c:v>
                </c:pt>
                <c:pt idx="101">
                  <c:v>44055</c:v>
                </c:pt>
                <c:pt idx="102">
                  <c:v>44056</c:v>
                </c:pt>
                <c:pt idx="103">
                  <c:v>44057</c:v>
                </c:pt>
                <c:pt idx="104">
                  <c:v>44060</c:v>
                </c:pt>
                <c:pt idx="105">
                  <c:v>44061</c:v>
                </c:pt>
                <c:pt idx="106">
                  <c:v>44062</c:v>
                </c:pt>
                <c:pt idx="107">
                  <c:v>44063</c:v>
                </c:pt>
                <c:pt idx="108">
                  <c:v>44064</c:v>
                </c:pt>
                <c:pt idx="109">
                  <c:v>44067</c:v>
                </c:pt>
                <c:pt idx="110">
                  <c:v>44068</c:v>
                </c:pt>
                <c:pt idx="111">
                  <c:v>44069</c:v>
                </c:pt>
                <c:pt idx="112">
                  <c:v>44070</c:v>
                </c:pt>
                <c:pt idx="113">
                  <c:v>44071</c:v>
                </c:pt>
                <c:pt idx="114">
                  <c:v>44074</c:v>
                </c:pt>
                <c:pt idx="115">
                  <c:v>44075</c:v>
                </c:pt>
                <c:pt idx="116">
                  <c:v>44076</c:v>
                </c:pt>
                <c:pt idx="117">
                  <c:v>44077</c:v>
                </c:pt>
                <c:pt idx="118">
                  <c:v>44078</c:v>
                </c:pt>
                <c:pt idx="119">
                  <c:v>44082</c:v>
                </c:pt>
                <c:pt idx="120">
                  <c:v>44083</c:v>
                </c:pt>
                <c:pt idx="121">
                  <c:v>44084</c:v>
                </c:pt>
                <c:pt idx="122">
                  <c:v>44085</c:v>
                </c:pt>
                <c:pt idx="123">
                  <c:v>44088</c:v>
                </c:pt>
                <c:pt idx="124">
                  <c:v>44089</c:v>
                </c:pt>
                <c:pt idx="125">
                  <c:v>44090</c:v>
                </c:pt>
                <c:pt idx="126">
                  <c:v>44091</c:v>
                </c:pt>
                <c:pt idx="127">
                  <c:v>44092</c:v>
                </c:pt>
                <c:pt idx="128">
                  <c:v>44095</c:v>
                </c:pt>
                <c:pt idx="129">
                  <c:v>44096</c:v>
                </c:pt>
                <c:pt idx="130">
                  <c:v>44097</c:v>
                </c:pt>
                <c:pt idx="131">
                  <c:v>44098</c:v>
                </c:pt>
                <c:pt idx="132">
                  <c:v>44099</c:v>
                </c:pt>
                <c:pt idx="133">
                  <c:v>44102</c:v>
                </c:pt>
                <c:pt idx="134">
                  <c:v>44103</c:v>
                </c:pt>
                <c:pt idx="135">
                  <c:v>44104</c:v>
                </c:pt>
                <c:pt idx="136">
                  <c:v>44105</c:v>
                </c:pt>
                <c:pt idx="137">
                  <c:v>44106</c:v>
                </c:pt>
                <c:pt idx="138">
                  <c:v>44109</c:v>
                </c:pt>
                <c:pt idx="139">
                  <c:v>44110</c:v>
                </c:pt>
                <c:pt idx="140">
                  <c:v>44111</c:v>
                </c:pt>
                <c:pt idx="141">
                  <c:v>44112</c:v>
                </c:pt>
                <c:pt idx="142">
                  <c:v>44113</c:v>
                </c:pt>
                <c:pt idx="143">
                  <c:v>44116</c:v>
                </c:pt>
                <c:pt idx="144">
                  <c:v>44117</c:v>
                </c:pt>
                <c:pt idx="145">
                  <c:v>44118</c:v>
                </c:pt>
                <c:pt idx="146">
                  <c:v>44119</c:v>
                </c:pt>
                <c:pt idx="147">
                  <c:v>44120</c:v>
                </c:pt>
                <c:pt idx="148">
                  <c:v>44123</c:v>
                </c:pt>
                <c:pt idx="149">
                  <c:v>44124</c:v>
                </c:pt>
                <c:pt idx="150">
                  <c:v>44125</c:v>
                </c:pt>
                <c:pt idx="151">
                  <c:v>44126</c:v>
                </c:pt>
                <c:pt idx="152">
                  <c:v>44127</c:v>
                </c:pt>
                <c:pt idx="153">
                  <c:v>44130</c:v>
                </c:pt>
                <c:pt idx="154">
                  <c:v>44131</c:v>
                </c:pt>
                <c:pt idx="155">
                  <c:v>44132</c:v>
                </c:pt>
                <c:pt idx="156">
                  <c:v>44133</c:v>
                </c:pt>
                <c:pt idx="157">
                  <c:v>44134</c:v>
                </c:pt>
                <c:pt idx="158">
                  <c:v>44137</c:v>
                </c:pt>
                <c:pt idx="159">
                  <c:v>44138</c:v>
                </c:pt>
                <c:pt idx="160">
                  <c:v>44139</c:v>
                </c:pt>
                <c:pt idx="161">
                  <c:v>44140</c:v>
                </c:pt>
                <c:pt idx="162">
                  <c:v>44141</c:v>
                </c:pt>
                <c:pt idx="163">
                  <c:v>44144</c:v>
                </c:pt>
                <c:pt idx="164">
                  <c:v>44145</c:v>
                </c:pt>
                <c:pt idx="165">
                  <c:v>44146</c:v>
                </c:pt>
                <c:pt idx="166">
                  <c:v>44147</c:v>
                </c:pt>
                <c:pt idx="167">
                  <c:v>44148</c:v>
                </c:pt>
                <c:pt idx="168">
                  <c:v>44151</c:v>
                </c:pt>
                <c:pt idx="169">
                  <c:v>44152</c:v>
                </c:pt>
                <c:pt idx="170">
                  <c:v>44153</c:v>
                </c:pt>
                <c:pt idx="171">
                  <c:v>44154</c:v>
                </c:pt>
                <c:pt idx="172">
                  <c:v>44155</c:v>
                </c:pt>
                <c:pt idx="173">
                  <c:v>44158</c:v>
                </c:pt>
                <c:pt idx="174">
                  <c:v>44159</c:v>
                </c:pt>
                <c:pt idx="175">
                  <c:v>44160</c:v>
                </c:pt>
                <c:pt idx="176">
                  <c:v>44162</c:v>
                </c:pt>
                <c:pt idx="177">
                  <c:v>44165</c:v>
                </c:pt>
                <c:pt idx="178">
                  <c:v>44166</c:v>
                </c:pt>
                <c:pt idx="179">
                  <c:v>44167</c:v>
                </c:pt>
                <c:pt idx="180">
                  <c:v>44168</c:v>
                </c:pt>
                <c:pt idx="181">
                  <c:v>44169</c:v>
                </c:pt>
                <c:pt idx="182">
                  <c:v>44172</c:v>
                </c:pt>
                <c:pt idx="183">
                  <c:v>44173</c:v>
                </c:pt>
                <c:pt idx="184">
                  <c:v>44174</c:v>
                </c:pt>
                <c:pt idx="185">
                  <c:v>44175</c:v>
                </c:pt>
                <c:pt idx="186">
                  <c:v>44176</c:v>
                </c:pt>
                <c:pt idx="187">
                  <c:v>44179</c:v>
                </c:pt>
                <c:pt idx="188">
                  <c:v>44180</c:v>
                </c:pt>
                <c:pt idx="189">
                  <c:v>44181</c:v>
                </c:pt>
                <c:pt idx="190">
                  <c:v>44182</c:v>
                </c:pt>
                <c:pt idx="191">
                  <c:v>44183</c:v>
                </c:pt>
                <c:pt idx="192">
                  <c:v>44186</c:v>
                </c:pt>
                <c:pt idx="193">
                  <c:v>44187</c:v>
                </c:pt>
                <c:pt idx="194">
                  <c:v>44188</c:v>
                </c:pt>
                <c:pt idx="195">
                  <c:v>44189</c:v>
                </c:pt>
                <c:pt idx="196">
                  <c:v>44193</c:v>
                </c:pt>
                <c:pt idx="197">
                  <c:v>44194</c:v>
                </c:pt>
                <c:pt idx="198">
                  <c:v>44195</c:v>
                </c:pt>
                <c:pt idx="199">
                  <c:v>44196</c:v>
                </c:pt>
                <c:pt idx="200">
                  <c:v>44200</c:v>
                </c:pt>
                <c:pt idx="201">
                  <c:v>44201</c:v>
                </c:pt>
                <c:pt idx="202">
                  <c:v>44202</c:v>
                </c:pt>
                <c:pt idx="203">
                  <c:v>44203</c:v>
                </c:pt>
                <c:pt idx="204">
                  <c:v>44204</c:v>
                </c:pt>
                <c:pt idx="205">
                  <c:v>44207</c:v>
                </c:pt>
                <c:pt idx="206">
                  <c:v>44208</c:v>
                </c:pt>
                <c:pt idx="207">
                  <c:v>44209</c:v>
                </c:pt>
                <c:pt idx="208">
                  <c:v>44210</c:v>
                </c:pt>
                <c:pt idx="209">
                  <c:v>44211</c:v>
                </c:pt>
                <c:pt idx="210">
                  <c:v>44215</c:v>
                </c:pt>
                <c:pt idx="211">
                  <c:v>44216</c:v>
                </c:pt>
                <c:pt idx="212">
                  <c:v>44217</c:v>
                </c:pt>
                <c:pt idx="213">
                  <c:v>44218</c:v>
                </c:pt>
                <c:pt idx="214">
                  <c:v>44221</c:v>
                </c:pt>
                <c:pt idx="215">
                  <c:v>44222</c:v>
                </c:pt>
                <c:pt idx="216">
                  <c:v>44223</c:v>
                </c:pt>
                <c:pt idx="217">
                  <c:v>44224</c:v>
                </c:pt>
                <c:pt idx="218">
                  <c:v>44225</c:v>
                </c:pt>
                <c:pt idx="219">
                  <c:v>44228</c:v>
                </c:pt>
                <c:pt idx="220">
                  <c:v>44229</c:v>
                </c:pt>
                <c:pt idx="221">
                  <c:v>44230</c:v>
                </c:pt>
                <c:pt idx="222">
                  <c:v>44231</c:v>
                </c:pt>
                <c:pt idx="223">
                  <c:v>44232</c:v>
                </c:pt>
                <c:pt idx="224">
                  <c:v>44235</c:v>
                </c:pt>
                <c:pt idx="225">
                  <c:v>44236</c:v>
                </c:pt>
                <c:pt idx="226">
                  <c:v>44237</c:v>
                </c:pt>
                <c:pt idx="227">
                  <c:v>44238</c:v>
                </c:pt>
                <c:pt idx="228">
                  <c:v>44239</c:v>
                </c:pt>
                <c:pt idx="229">
                  <c:v>44243</c:v>
                </c:pt>
                <c:pt idx="230">
                  <c:v>44244</c:v>
                </c:pt>
                <c:pt idx="231">
                  <c:v>44245</c:v>
                </c:pt>
                <c:pt idx="232">
                  <c:v>44246</c:v>
                </c:pt>
                <c:pt idx="233">
                  <c:v>44249</c:v>
                </c:pt>
                <c:pt idx="234">
                  <c:v>44250</c:v>
                </c:pt>
                <c:pt idx="235">
                  <c:v>44251</c:v>
                </c:pt>
                <c:pt idx="236">
                  <c:v>44252</c:v>
                </c:pt>
                <c:pt idx="237">
                  <c:v>44253</c:v>
                </c:pt>
                <c:pt idx="238">
                  <c:v>44256</c:v>
                </c:pt>
                <c:pt idx="239">
                  <c:v>44257</c:v>
                </c:pt>
                <c:pt idx="240">
                  <c:v>44258</c:v>
                </c:pt>
                <c:pt idx="241">
                  <c:v>44259</c:v>
                </c:pt>
                <c:pt idx="242">
                  <c:v>44260</c:v>
                </c:pt>
                <c:pt idx="243">
                  <c:v>44263</c:v>
                </c:pt>
                <c:pt idx="244">
                  <c:v>44264</c:v>
                </c:pt>
                <c:pt idx="245">
                  <c:v>44265</c:v>
                </c:pt>
                <c:pt idx="246">
                  <c:v>44266</c:v>
                </c:pt>
                <c:pt idx="247">
                  <c:v>44267</c:v>
                </c:pt>
                <c:pt idx="248">
                  <c:v>44270</c:v>
                </c:pt>
                <c:pt idx="249">
                  <c:v>44271</c:v>
                </c:pt>
                <c:pt idx="250">
                  <c:v>44272</c:v>
                </c:pt>
                <c:pt idx="251">
                  <c:v>44273</c:v>
                </c:pt>
                <c:pt idx="252">
                  <c:v>44274</c:v>
                </c:pt>
              </c:numCache>
            </c:numRef>
          </c:cat>
          <c:val>
            <c:numRef>
              <c:f>'Share Price'!$C$1122:$C$1374</c:f>
              <c:numCache>
                <c:formatCode>_("$"* #,##0_);_("$"* \(#,##0\);_("$"* "-"??_);_(@_)</c:formatCode>
                <c:ptCount val="253"/>
                <c:pt idx="0">
                  <c:v>1880.93</c:v>
                </c:pt>
                <c:pt idx="1">
                  <c:v>1846.09</c:v>
                </c:pt>
                <c:pt idx="2">
                  <c:v>1902.83</c:v>
                </c:pt>
                <c:pt idx="3">
                  <c:v>1940.1</c:v>
                </c:pt>
                <c:pt idx="4">
                  <c:v>1885.84</c:v>
                </c:pt>
                <c:pt idx="5">
                  <c:v>1955.49</c:v>
                </c:pt>
                <c:pt idx="6">
                  <c:v>1900.1</c:v>
                </c:pt>
                <c:pt idx="7">
                  <c:v>1963.95</c:v>
                </c:pt>
                <c:pt idx="8">
                  <c:v>1949.72</c:v>
                </c:pt>
                <c:pt idx="9">
                  <c:v>1907.7</c:v>
                </c:pt>
                <c:pt idx="10">
                  <c:v>1918.83</c:v>
                </c:pt>
                <c:pt idx="11">
                  <c:v>1906.59</c:v>
                </c:pt>
                <c:pt idx="12">
                  <c:v>1997.59</c:v>
                </c:pt>
                <c:pt idx="13">
                  <c:v>2011.6</c:v>
                </c:pt>
                <c:pt idx="14">
                  <c:v>2043</c:v>
                </c:pt>
                <c:pt idx="15">
                  <c:v>2042.76</c:v>
                </c:pt>
                <c:pt idx="16">
                  <c:v>2168.87</c:v>
                </c:pt>
                <c:pt idx="17">
                  <c:v>2283.3200000000002</c:v>
                </c:pt>
                <c:pt idx="18">
                  <c:v>2307.6799999999998</c:v>
                </c:pt>
                <c:pt idx="19">
                  <c:v>2408.19</c:v>
                </c:pt>
                <c:pt idx="20">
                  <c:v>2375</c:v>
                </c:pt>
                <c:pt idx="21">
                  <c:v>2393.61</c:v>
                </c:pt>
                <c:pt idx="22">
                  <c:v>2328.12</c:v>
                </c:pt>
                <c:pt idx="23">
                  <c:v>2363.4899999999998</c:v>
                </c:pt>
                <c:pt idx="24">
                  <c:v>2399.4499999999998</c:v>
                </c:pt>
                <c:pt idx="25">
                  <c:v>2410.2199999999998</c:v>
                </c:pt>
                <c:pt idx="26">
                  <c:v>2376</c:v>
                </c:pt>
                <c:pt idx="27">
                  <c:v>2314.08</c:v>
                </c:pt>
                <c:pt idx="28">
                  <c:v>2372.71</c:v>
                </c:pt>
                <c:pt idx="29">
                  <c:v>2474</c:v>
                </c:pt>
                <c:pt idx="30">
                  <c:v>2286.04</c:v>
                </c:pt>
                <c:pt idx="31">
                  <c:v>2315.9899999999998</c:v>
                </c:pt>
                <c:pt idx="32">
                  <c:v>2317.8000000000002</c:v>
                </c:pt>
                <c:pt idx="33">
                  <c:v>2351.2600000000002</c:v>
                </c:pt>
                <c:pt idx="34">
                  <c:v>2367.61</c:v>
                </c:pt>
                <c:pt idx="35">
                  <c:v>2379.61</c:v>
                </c:pt>
                <c:pt idx="36">
                  <c:v>2409</c:v>
                </c:pt>
                <c:pt idx="37">
                  <c:v>2356.9499999999998</c:v>
                </c:pt>
                <c:pt idx="38">
                  <c:v>2367.92</c:v>
                </c:pt>
                <c:pt idx="39">
                  <c:v>2388.85</c:v>
                </c:pt>
                <c:pt idx="40">
                  <c:v>2409.7800000000002</c:v>
                </c:pt>
                <c:pt idx="41">
                  <c:v>2426.2600000000002</c:v>
                </c:pt>
                <c:pt idx="42">
                  <c:v>2449.33</c:v>
                </c:pt>
                <c:pt idx="43">
                  <c:v>2497.94</c:v>
                </c:pt>
                <c:pt idx="44">
                  <c:v>2446.7399999999998</c:v>
                </c:pt>
                <c:pt idx="45">
                  <c:v>2436.88</c:v>
                </c:pt>
                <c:pt idx="46">
                  <c:v>2421.86</c:v>
                </c:pt>
                <c:pt idx="47">
                  <c:v>2410.39</c:v>
                </c:pt>
                <c:pt idx="48">
                  <c:v>2401.1</c:v>
                </c:pt>
                <c:pt idx="49">
                  <c:v>2442.37</c:v>
                </c:pt>
                <c:pt idx="50">
                  <c:v>2471.04</c:v>
                </c:pt>
                <c:pt idx="51">
                  <c:v>2472.41</c:v>
                </c:pt>
                <c:pt idx="52">
                  <c:v>2478.4</c:v>
                </c:pt>
                <c:pt idx="53">
                  <c:v>2460.6</c:v>
                </c:pt>
                <c:pt idx="54">
                  <c:v>2483</c:v>
                </c:pt>
                <c:pt idx="55">
                  <c:v>2524.06</c:v>
                </c:pt>
                <c:pt idx="56">
                  <c:v>2600.86</c:v>
                </c:pt>
                <c:pt idx="57">
                  <c:v>2647.45</c:v>
                </c:pt>
                <c:pt idx="58">
                  <c:v>2557.96</c:v>
                </c:pt>
                <c:pt idx="59">
                  <c:v>2545.02</c:v>
                </c:pt>
                <c:pt idx="60">
                  <c:v>2572.6799999999998</c:v>
                </c:pt>
                <c:pt idx="61">
                  <c:v>2615.27</c:v>
                </c:pt>
                <c:pt idx="62">
                  <c:v>2640.98</c:v>
                </c:pt>
                <c:pt idx="63">
                  <c:v>2653.98</c:v>
                </c:pt>
                <c:pt idx="64">
                  <c:v>2675.01</c:v>
                </c:pt>
                <c:pt idx="65">
                  <c:v>2713.82</c:v>
                </c:pt>
                <c:pt idx="66">
                  <c:v>2764.41</c:v>
                </c:pt>
                <c:pt idx="67">
                  <c:v>2734.4</c:v>
                </c:pt>
                <c:pt idx="68">
                  <c:v>2754.58</c:v>
                </c:pt>
                <c:pt idx="69">
                  <c:v>2692.87</c:v>
                </c:pt>
                <c:pt idx="70">
                  <c:v>2680.38</c:v>
                </c:pt>
                <c:pt idx="71">
                  <c:v>2758.82</c:v>
                </c:pt>
                <c:pt idx="72">
                  <c:v>2878.7</c:v>
                </c:pt>
                <c:pt idx="73">
                  <c:v>2890.3</c:v>
                </c:pt>
                <c:pt idx="74">
                  <c:v>3057.04</c:v>
                </c:pt>
                <c:pt idx="75">
                  <c:v>3000.12</c:v>
                </c:pt>
                <c:pt idx="76">
                  <c:v>3081.11</c:v>
                </c:pt>
                <c:pt idx="77">
                  <c:v>3182.63</c:v>
                </c:pt>
                <c:pt idx="78">
                  <c:v>3200</c:v>
                </c:pt>
                <c:pt idx="79">
                  <c:v>3104</c:v>
                </c:pt>
                <c:pt idx="80">
                  <c:v>3084</c:v>
                </c:pt>
                <c:pt idx="81">
                  <c:v>3008.87</c:v>
                </c:pt>
                <c:pt idx="82">
                  <c:v>2999.9</c:v>
                </c:pt>
                <c:pt idx="83">
                  <c:v>2961.97</c:v>
                </c:pt>
                <c:pt idx="84">
                  <c:v>3196.84</c:v>
                </c:pt>
                <c:pt idx="85">
                  <c:v>3138.29</c:v>
                </c:pt>
                <c:pt idx="86">
                  <c:v>3099.91</c:v>
                </c:pt>
                <c:pt idx="87">
                  <c:v>2986.55</c:v>
                </c:pt>
                <c:pt idx="88">
                  <c:v>3008.91</c:v>
                </c:pt>
                <c:pt idx="89">
                  <c:v>3055.21</c:v>
                </c:pt>
                <c:pt idx="90">
                  <c:v>3000.33</c:v>
                </c:pt>
                <c:pt idx="91">
                  <c:v>3033.53</c:v>
                </c:pt>
                <c:pt idx="92">
                  <c:v>3051.88</c:v>
                </c:pt>
                <c:pt idx="93">
                  <c:v>3164.68</c:v>
                </c:pt>
                <c:pt idx="94">
                  <c:v>3111.89</c:v>
                </c:pt>
                <c:pt idx="95">
                  <c:v>3138.83</c:v>
                </c:pt>
                <c:pt idx="96">
                  <c:v>3205.03</c:v>
                </c:pt>
                <c:pt idx="97">
                  <c:v>3225</c:v>
                </c:pt>
                <c:pt idx="98">
                  <c:v>3167.46</c:v>
                </c:pt>
                <c:pt idx="99">
                  <c:v>3148.16</c:v>
                </c:pt>
                <c:pt idx="100">
                  <c:v>3080.67</c:v>
                </c:pt>
                <c:pt idx="101">
                  <c:v>3162.24</c:v>
                </c:pt>
                <c:pt idx="102">
                  <c:v>3161.02</c:v>
                </c:pt>
                <c:pt idx="103">
                  <c:v>3148.02</c:v>
                </c:pt>
                <c:pt idx="104">
                  <c:v>3182.41</c:v>
                </c:pt>
                <c:pt idx="105">
                  <c:v>3312.49</c:v>
                </c:pt>
                <c:pt idx="106">
                  <c:v>3260.48</c:v>
                </c:pt>
                <c:pt idx="107">
                  <c:v>3297.37</c:v>
                </c:pt>
                <c:pt idx="108">
                  <c:v>3284.72</c:v>
                </c:pt>
                <c:pt idx="109">
                  <c:v>3307.46</c:v>
                </c:pt>
                <c:pt idx="110">
                  <c:v>3346.49</c:v>
                </c:pt>
                <c:pt idx="111">
                  <c:v>3441.85</c:v>
                </c:pt>
                <c:pt idx="112">
                  <c:v>3400</c:v>
                </c:pt>
                <c:pt idx="113">
                  <c:v>3401.8</c:v>
                </c:pt>
                <c:pt idx="114">
                  <c:v>3450.96</c:v>
                </c:pt>
                <c:pt idx="115">
                  <c:v>3499.12</c:v>
                </c:pt>
                <c:pt idx="116">
                  <c:v>3531.45</c:v>
                </c:pt>
                <c:pt idx="117">
                  <c:v>3368</c:v>
                </c:pt>
                <c:pt idx="118">
                  <c:v>3294.62</c:v>
                </c:pt>
                <c:pt idx="119">
                  <c:v>3149.84</c:v>
                </c:pt>
                <c:pt idx="120">
                  <c:v>3268.61</c:v>
                </c:pt>
                <c:pt idx="121">
                  <c:v>3175.11</c:v>
                </c:pt>
                <c:pt idx="122">
                  <c:v>3116.22</c:v>
                </c:pt>
                <c:pt idx="123">
                  <c:v>3102.97</c:v>
                </c:pt>
                <c:pt idx="124">
                  <c:v>3156.13</c:v>
                </c:pt>
                <c:pt idx="125">
                  <c:v>3078.1</c:v>
                </c:pt>
                <c:pt idx="126">
                  <c:v>3008.73</c:v>
                </c:pt>
                <c:pt idx="127">
                  <c:v>2954.91</c:v>
                </c:pt>
                <c:pt idx="128">
                  <c:v>2960.47</c:v>
                </c:pt>
                <c:pt idx="129">
                  <c:v>3128.99</c:v>
                </c:pt>
                <c:pt idx="130">
                  <c:v>2999.86</c:v>
                </c:pt>
                <c:pt idx="131">
                  <c:v>3019.79</c:v>
                </c:pt>
                <c:pt idx="132">
                  <c:v>3095.13</c:v>
                </c:pt>
                <c:pt idx="133">
                  <c:v>3174.05</c:v>
                </c:pt>
                <c:pt idx="134">
                  <c:v>3144.88</c:v>
                </c:pt>
                <c:pt idx="135">
                  <c:v>3148.73</c:v>
                </c:pt>
                <c:pt idx="136">
                  <c:v>3221.26</c:v>
                </c:pt>
                <c:pt idx="137">
                  <c:v>3125</c:v>
                </c:pt>
                <c:pt idx="138">
                  <c:v>3199.2</c:v>
                </c:pt>
                <c:pt idx="139">
                  <c:v>3099.96</c:v>
                </c:pt>
                <c:pt idx="140">
                  <c:v>3195.69</c:v>
                </c:pt>
                <c:pt idx="141">
                  <c:v>3190.55</c:v>
                </c:pt>
                <c:pt idx="142">
                  <c:v>3286.65</c:v>
                </c:pt>
                <c:pt idx="143">
                  <c:v>3442.93</c:v>
                </c:pt>
                <c:pt idx="144">
                  <c:v>3443.63</c:v>
                </c:pt>
                <c:pt idx="145">
                  <c:v>3363.71</c:v>
                </c:pt>
                <c:pt idx="146">
                  <c:v>3338.65</c:v>
                </c:pt>
                <c:pt idx="147">
                  <c:v>3272.71</c:v>
                </c:pt>
                <c:pt idx="148">
                  <c:v>3207.21</c:v>
                </c:pt>
                <c:pt idx="149">
                  <c:v>3217.01</c:v>
                </c:pt>
                <c:pt idx="150">
                  <c:v>3184.94</c:v>
                </c:pt>
                <c:pt idx="151">
                  <c:v>3176.4</c:v>
                </c:pt>
                <c:pt idx="152">
                  <c:v>3204.4</c:v>
                </c:pt>
                <c:pt idx="153">
                  <c:v>3207.04</c:v>
                </c:pt>
                <c:pt idx="154">
                  <c:v>3286.33</c:v>
                </c:pt>
                <c:pt idx="155">
                  <c:v>3162.78</c:v>
                </c:pt>
                <c:pt idx="156">
                  <c:v>3211.01</c:v>
                </c:pt>
                <c:pt idx="157">
                  <c:v>3036.15</c:v>
                </c:pt>
                <c:pt idx="158">
                  <c:v>3004.48</c:v>
                </c:pt>
                <c:pt idx="159">
                  <c:v>3048.41</c:v>
                </c:pt>
                <c:pt idx="160">
                  <c:v>3241.16</c:v>
                </c:pt>
                <c:pt idx="161">
                  <c:v>3322</c:v>
                </c:pt>
                <c:pt idx="162">
                  <c:v>3311.37</c:v>
                </c:pt>
                <c:pt idx="163">
                  <c:v>3143.74</c:v>
                </c:pt>
                <c:pt idx="164">
                  <c:v>3035.02</c:v>
                </c:pt>
                <c:pt idx="165">
                  <c:v>3137.39</c:v>
                </c:pt>
                <c:pt idx="166">
                  <c:v>3110.28</c:v>
                </c:pt>
                <c:pt idx="167">
                  <c:v>3128.81</c:v>
                </c:pt>
                <c:pt idx="168">
                  <c:v>3131.06</c:v>
                </c:pt>
                <c:pt idx="169">
                  <c:v>3135.66</c:v>
                </c:pt>
                <c:pt idx="170">
                  <c:v>3105.46</c:v>
                </c:pt>
                <c:pt idx="171">
                  <c:v>3117.02</c:v>
                </c:pt>
                <c:pt idx="172">
                  <c:v>3099.4</c:v>
                </c:pt>
                <c:pt idx="173">
                  <c:v>3098.39</c:v>
                </c:pt>
                <c:pt idx="174">
                  <c:v>3118.06</c:v>
                </c:pt>
                <c:pt idx="175">
                  <c:v>3185.07</c:v>
                </c:pt>
                <c:pt idx="176">
                  <c:v>3195.34</c:v>
                </c:pt>
                <c:pt idx="177">
                  <c:v>3168.04</c:v>
                </c:pt>
                <c:pt idx="178">
                  <c:v>3220.08</c:v>
                </c:pt>
                <c:pt idx="179">
                  <c:v>3203.53</c:v>
                </c:pt>
                <c:pt idx="180">
                  <c:v>3186.73</c:v>
                </c:pt>
                <c:pt idx="181">
                  <c:v>3162.58</c:v>
                </c:pt>
                <c:pt idx="182">
                  <c:v>3158</c:v>
                </c:pt>
                <c:pt idx="183">
                  <c:v>3177.29</c:v>
                </c:pt>
                <c:pt idx="184">
                  <c:v>3104.2</c:v>
                </c:pt>
                <c:pt idx="185">
                  <c:v>3101.49</c:v>
                </c:pt>
                <c:pt idx="186">
                  <c:v>3116.42</c:v>
                </c:pt>
                <c:pt idx="187">
                  <c:v>3156.97</c:v>
                </c:pt>
                <c:pt idx="188">
                  <c:v>3165.12</c:v>
                </c:pt>
                <c:pt idx="189">
                  <c:v>3240.96</c:v>
                </c:pt>
                <c:pt idx="190">
                  <c:v>3236.08</c:v>
                </c:pt>
                <c:pt idx="191">
                  <c:v>3201.65</c:v>
                </c:pt>
                <c:pt idx="192">
                  <c:v>3206.18</c:v>
                </c:pt>
                <c:pt idx="193">
                  <c:v>3206.52</c:v>
                </c:pt>
                <c:pt idx="194">
                  <c:v>3185.27</c:v>
                </c:pt>
                <c:pt idx="195">
                  <c:v>3172.69</c:v>
                </c:pt>
                <c:pt idx="196">
                  <c:v>3283.96</c:v>
                </c:pt>
                <c:pt idx="197">
                  <c:v>3322</c:v>
                </c:pt>
                <c:pt idx="198">
                  <c:v>3285.85</c:v>
                </c:pt>
                <c:pt idx="199">
                  <c:v>3256.93</c:v>
                </c:pt>
                <c:pt idx="200">
                  <c:v>3186.63</c:v>
                </c:pt>
                <c:pt idx="201">
                  <c:v>3218.51</c:v>
                </c:pt>
                <c:pt idx="202">
                  <c:v>3138.38</c:v>
                </c:pt>
                <c:pt idx="203">
                  <c:v>3162.16</c:v>
                </c:pt>
                <c:pt idx="204">
                  <c:v>3182.7</c:v>
                </c:pt>
                <c:pt idx="205">
                  <c:v>3114.21</c:v>
                </c:pt>
                <c:pt idx="206">
                  <c:v>3120.83</c:v>
                </c:pt>
                <c:pt idx="207">
                  <c:v>3165.89</c:v>
                </c:pt>
                <c:pt idx="208">
                  <c:v>3127.47</c:v>
                </c:pt>
                <c:pt idx="209">
                  <c:v>3104.25</c:v>
                </c:pt>
                <c:pt idx="210">
                  <c:v>3120.76</c:v>
                </c:pt>
                <c:pt idx="211">
                  <c:v>3263.38</c:v>
                </c:pt>
                <c:pt idx="212">
                  <c:v>3306.99</c:v>
                </c:pt>
                <c:pt idx="213">
                  <c:v>3292.23</c:v>
                </c:pt>
                <c:pt idx="214">
                  <c:v>3294</c:v>
                </c:pt>
                <c:pt idx="215">
                  <c:v>3326.13</c:v>
                </c:pt>
                <c:pt idx="216">
                  <c:v>3232.58</c:v>
                </c:pt>
                <c:pt idx="217">
                  <c:v>3237.62</c:v>
                </c:pt>
                <c:pt idx="218">
                  <c:v>3206.2</c:v>
                </c:pt>
                <c:pt idx="219">
                  <c:v>3342.88</c:v>
                </c:pt>
                <c:pt idx="220">
                  <c:v>3380</c:v>
                </c:pt>
                <c:pt idx="221">
                  <c:v>3312.53</c:v>
                </c:pt>
                <c:pt idx="222">
                  <c:v>3331</c:v>
                </c:pt>
                <c:pt idx="223">
                  <c:v>3352.15</c:v>
                </c:pt>
                <c:pt idx="224">
                  <c:v>3322.94</c:v>
                </c:pt>
                <c:pt idx="225">
                  <c:v>3305</c:v>
                </c:pt>
                <c:pt idx="226">
                  <c:v>3286.58</c:v>
                </c:pt>
                <c:pt idx="227">
                  <c:v>3262.13</c:v>
                </c:pt>
                <c:pt idx="228">
                  <c:v>3277.71</c:v>
                </c:pt>
                <c:pt idx="229">
                  <c:v>3268.95</c:v>
                </c:pt>
                <c:pt idx="230">
                  <c:v>3308.64</c:v>
                </c:pt>
                <c:pt idx="231">
                  <c:v>3328.23</c:v>
                </c:pt>
                <c:pt idx="232">
                  <c:v>3249.9</c:v>
                </c:pt>
                <c:pt idx="233">
                  <c:v>3180.74</c:v>
                </c:pt>
                <c:pt idx="234">
                  <c:v>3194.5</c:v>
                </c:pt>
                <c:pt idx="235">
                  <c:v>3159.53</c:v>
                </c:pt>
                <c:pt idx="236">
                  <c:v>3057.16</c:v>
                </c:pt>
                <c:pt idx="237">
                  <c:v>3092.93</c:v>
                </c:pt>
                <c:pt idx="238">
                  <c:v>3146.14</c:v>
                </c:pt>
                <c:pt idx="239">
                  <c:v>3094.53</c:v>
                </c:pt>
                <c:pt idx="240">
                  <c:v>3005</c:v>
                </c:pt>
                <c:pt idx="241">
                  <c:v>2977.57</c:v>
                </c:pt>
                <c:pt idx="242">
                  <c:v>3000.46</c:v>
                </c:pt>
                <c:pt idx="243">
                  <c:v>2951.95</c:v>
                </c:pt>
                <c:pt idx="244">
                  <c:v>3062.85</c:v>
                </c:pt>
                <c:pt idx="245">
                  <c:v>3057.64</c:v>
                </c:pt>
                <c:pt idx="246">
                  <c:v>3113.59</c:v>
                </c:pt>
                <c:pt idx="247">
                  <c:v>3089.49</c:v>
                </c:pt>
                <c:pt idx="248">
                  <c:v>3081.68</c:v>
                </c:pt>
                <c:pt idx="249">
                  <c:v>3091.86</c:v>
                </c:pt>
                <c:pt idx="250">
                  <c:v>3135.73</c:v>
                </c:pt>
                <c:pt idx="251">
                  <c:v>3027.99</c:v>
                </c:pt>
                <c:pt idx="252">
                  <c:v>3074.96</c:v>
                </c:pt>
              </c:numCache>
            </c:numRef>
          </c:val>
          <c:smooth val="0"/>
          <c:extLst>
            <c:ext xmlns:c16="http://schemas.microsoft.com/office/drawing/2014/chart" uri="{C3380CC4-5D6E-409C-BE32-E72D297353CC}">
              <c16:uniqueId val="{00000000-6AF5-4F99-8E34-41BD8D6925C5}"/>
            </c:ext>
          </c:extLst>
        </c:ser>
        <c:dLbls>
          <c:showLegendKey val="0"/>
          <c:showVal val="0"/>
          <c:showCatName val="0"/>
          <c:showSerName val="0"/>
          <c:showPercent val="0"/>
          <c:showBubbleSize val="0"/>
        </c:dLbls>
        <c:smooth val="0"/>
        <c:axId val="1190829744"/>
        <c:axId val="1190835568"/>
      </c:lineChart>
      <c:dateAx>
        <c:axId val="1190829744"/>
        <c:scaling>
          <c:orientation val="minMax"/>
        </c:scaling>
        <c:delete val="0"/>
        <c:axPos val="b"/>
        <c:numFmt formatCode="[$-409]mmm\-d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Arial Narrow" panose="020B0606020202030204" pitchFamily="34" charset="0"/>
                <a:ea typeface="+mn-ea"/>
                <a:cs typeface="+mn-cs"/>
              </a:defRPr>
            </a:pPr>
            <a:endParaRPr lang="pt-BR"/>
          </a:p>
        </c:txPr>
        <c:crossAx val="1190835568"/>
        <c:crosses val="autoZero"/>
        <c:auto val="1"/>
        <c:lblOffset val="100"/>
        <c:baseTimeUnit val="days"/>
      </c:dateAx>
      <c:valAx>
        <c:axId val="1190835568"/>
        <c:scaling>
          <c:orientation val="minMax"/>
        </c:scaling>
        <c:delete val="0"/>
        <c:axPos val="l"/>
        <c:majorGridlines>
          <c:spPr>
            <a:ln w="9525" cap="flat" cmpd="sng" algn="ctr">
              <a:no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Arial Narrow" panose="020B0606020202030204" pitchFamily="34" charset="0"/>
                <a:ea typeface="+mn-ea"/>
                <a:cs typeface="+mn-cs"/>
              </a:defRPr>
            </a:pPr>
            <a:endParaRPr lang="pt-BR"/>
          </a:p>
        </c:txPr>
        <c:crossAx val="11908297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100">
          <a:latin typeface="Arial Narrow" panose="020B0606020202030204" pitchFamily="34" charset="0"/>
        </a:defRPr>
      </a:pPr>
      <a:endParaRPr lang="pt-BR"/>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rich>
          <a:bodyPr spcFirstLastPara="1" vertOverflow="ellipsis" horzOverflow="overflow" wrap="square" lIns="0" tIns="0" rIns="0" bIns="0" anchor="ctr" anchorCtr="1"/>
          <a:lstStyle/>
          <a:p>
            <a:pPr rtl="0">
              <a:defRPr>
                <a:latin typeface="Arial Narrow" panose="020B0606020202030204" pitchFamily="34" charset="0"/>
                <a:ea typeface="Arial Narrow" panose="020B0606020202030204" pitchFamily="34" charset="0"/>
                <a:cs typeface="Arial Narrow" panose="020B0606020202030204" pitchFamily="34" charset="0"/>
              </a:defRPr>
            </a:pPr>
            <a:r>
              <a:rPr lang="en-CA" sz="1500" b="1" i="0" baseline="0">
                <a:effectLst/>
                <a:latin typeface="Arial Narrow" panose="020B0606020202030204" pitchFamily="34" charset="0"/>
              </a:rPr>
              <a:t>Net Present Value Build-Up </a:t>
            </a:r>
            <a:r>
              <a:rPr lang="en-CA" sz="1500" b="0" i="1" baseline="0">
                <a:effectLst/>
                <a:latin typeface="Arial Narrow" panose="020B0606020202030204" pitchFamily="34" charset="0"/>
              </a:rPr>
              <a:t>(US$ Billions)</a:t>
            </a:r>
            <a:endParaRPr lang="en-CA" sz="1500">
              <a:effectLst/>
              <a:latin typeface="Arial Narrow" panose="020B0606020202030204" pitchFamily="34" charset="0"/>
            </a:endParaRPr>
          </a:p>
        </cx:rich>
      </cx:tx>
    </cx:title>
    <cx:plotArea>
      <cx:plotAreaRegion>
        <cx:series layoutId="waterfall" uniqueId="{6D2D9FF6-FFD0-47BE-8CB2-63D525353625}">
          <cx:tx>
            <cx:txData>
              <cx:f>_xlchart.v1.1</cx:f>
              <cx:v/>
            </cx:txData>
          </cx:tx>
          <cx:dataPt idx="0">
            <cx:spPr>
              <a:solidFill>
                <a:srgbClr val="132E57"/>
              </a:solidFill>
            </cx:spPr>
          </cx:dataPt>
          <cx:dataPt idx="1">
            <cx:spPr>
              <a:solidFill>
                <a:srgbClr val="132E57"/>
              </a:solidFill>
            </cx:spPr>
          </cx:dataPt>
          <cx:dataPt idx="2">
            <cx:spPr>
              <a:solidFill>
                <a:srgbClr val="FFC000"/>
              </a:solidFill>
            </cx:spPr>
          </cx:dataPt>
          <cx:dataLabels>
            <cx:numFmt formatCode="$#,##0" sourceLinked="0"/>
            <cx:txPr>
              <a:bodyPr vertOverflow="overflow" horzOverflow="overflow" wrap="square" lIns="0" tIns="0" rIns="0" bIns="0"/>
              <a:lstStyle/>
              <a:p>
                <a:pPr algn="ctr" rtl="0">
                  <a:defRPr sz="900" b="0" i="0">
                    <a:solidFill>
                      <a:srgbClr val="404040"/>
                    </a:solidFill>
                    <a:latin typeface="Arial Narrow" panose="020B0606020202030204" pitchFamily="34" charset="0"/>
                    <a:ea typeface="Arial Narrow" panose="020B0606020202030204" pitchFamily="34" charset="0"/>
                    <a:cs typeface="Arial Narrow" panose="020B0606020202030204" pitchFamily="34" charset="0"/>
                  </a:defRPr>
                </a:pPr>
                <a:endParaRPr lang="en-CA">
                  <a:latin typeface="Arial Narrow" panose="020B0606020202030204" pitchFamily="34" charset="0"/>
                </a:endParaRPr>
              </a:p>
            </cx:txPr>
            <cx:visibility seriesName="0" categoryName="0" value="1"/>
            <cx:separator>, </cx:separator>
          </cx:dataLabels>
          <cx:dataId val="0"/>
          <cx:layoutPr>
            <cx:visibility connectorLines="0"/>
            <cx:subtotals>
              <cx:idx val="2"/>
            </cx:subtotals>
          </cx:layoutPr>
        </cx:series>
      </cx:plotAreaRegion>
      <cx:axis id="0">
        <cx:catScaling/>
        <cx:tickLabels/>
        <cx:txPr>
          <a:bodyPr vertOverflow="overflow" horzOverflow="overflow" wrap="square" lIns="0" tIns="0" rIns="0" bIns="0"/>
          <a:lstStyle/>
          <a:p>
            <a:pPr algn="ctr" rtl="0">
              <a:defRPr sz="900" b="0" i="0">
                <a:solidFill>
                  <a:srgbClr val="595959"/>
                </a:solidFill>
                <a:latin typeface="Arial Narrow" panose="020B0606020202030204" pitchFamily="34" charset="0"/>
                <a:ea typeface="Arial Narrow" panose="020B0606020202030204" pitchFamily="34" charset="0"/>
                <a:cs typeface="Arial Narrow" panose="020B0606020202030204" pitchFamily="34" charset="0"/>
              </a:defRPr>
            </a:pPr>
            <a:endParaRPr lang="en-CA">
              <a:latin typeface="Arial Narrow" panose="020B0606020202030204" pitchFamily="34" charset="0"/>
            </a:endParaRPr>
          </a:p>
        </cx:txPr>
      </cx:axis>
      <cx:axis id="1">
        <cx:valScaling/>
        <cx:tickLabels/>
        <cx:numFmt formatCode="$#,##0" sourceLinked="0"/>
        <cx:txPr>
          <a:bodyPr vertOverflow="overflow" horzOverflow="overflow" wrap="square" lIns="0" tIns="0" rIns="0" bIns="0"/>
          <a:lstStyle/>
          <a:p>
            <a:pPr algn="ctr" rtl="0">
              <a:defRPr sz="900" b="0" i="0">
                <a:solidFill>
                  <a:srgbClr val="595959"/>
                </a:solidFill>
                <a:latin typeface="Arial Narrow" panose="020B0606020202030204" pitchFamily="34" charset="0"/>
                <a:ea typeface="Arial Narrow" panose="020B0606020202030204" pitchFamily="34" charset="0"/>
                <a:cs typeface="Arial Narrow" panose="020B0606020202030204" pitchFamily="34" charset="0"/>
              </a:defRPr>
            </a:pPr>
            <a:endParaRPr lang="en-CA">
              <a:latin typeface="Arial Narrow" panose="020B0606020202030204" pitchFamily="34" charset="0"/>
            </a:endParaRPr>
          </a:p>
        </cx:txPr>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_xlchart.v1.4</cx:f>
      </cx:numDim>
    </cx:data>
  </cx:chartData>
  <cx:chart>
    <cx:title pos="t" align="ctr" overlay="0">
      <cx:tx>
        <cx:rich>
          <a:bodyPr spcFirstLastPara="1" vertOverflow="ellipsis" horzOverflow="overflow" wrap="square" lIns="0" tIns="0" rIns="0" bIns="0" anchor="ctr" anchorCtr="1"/>
          <a:lstStyle/>
          <a:p>
            <a:pPr rtl="0">
              <a:defRPr sz="1500"/>
            </a:pPr>
            <a:r>
              <a:rPr lang="en-CA" sz="1500" b="1" i="0" baseline="0">
                <a:effectLst/>
                <a:latin typeface="Arial Narrow" panose="020B0606020202030204" pitchFamily="34" charset="0"/>
              </a:rPr>
              <a:t>SOTP Value </a:t>
            </a:r>
            <a:r>
              <a:rPr lang="en-CA" sz="1500" b="0" i="1" baseline="0">
                <a:effectLst/>
                <a:latin typeface="Arial Narrow" panose="020B0606020202030204" pitchFamily="34" charset="0"/>
              </a:rPr>
              <a:t>(US$ Billions)</a:t>
            </a:r>
            <a:endParaRPr lang="en-CA" sz="1500">
              <a:effectLst/>
              <a:latin typeface="Arial Narrow" panose="020B0606020202030204" pitchFamily="34" charset="0"/>
            </a:endParaRPr>
          </a:p>
        </cx:rich>
      </cx:tx>
    </cx:title>
    <cx:plotArea>
      <cx:plotAreaRegion>
        <cx:series layoutId="waterfall" uniqueId="{F1D606B1-49D0-49C5-B1EA-2B621227587A}">
          <cx:spPr>
            <a:solidFill>
              <a:srgbClr val="132E57"/>
            </a:solidFill>
          </cx:spPr>
          <cx:dataPt idx="5">
            <cx:spPr>
              <a:solidFill>
                <a:srgbClr val="FFC000"/>
              </a:solidFill>
              <a:ln>
                <a:noFill/>
              </a:ln>
            </cx:spPr>
          </cx:dataPt>
          <cx:dataLabels>
            <cx:numFmt formatCode="$#,##0" sourceLinked="0"/>
            <cx:visibility seriesName="0" categoryName="0" value="1"/>
            <cx:separator>, </cx:separator>
          </cx:dataLabels>
          <cx:dataId val="0"/>
          <cx:layoutPr>
            <cx:visibility connectorLines="0"/>
            <cx:subtotals>
              <cx:idx val="5"/>
            </cx:subtotals>
          </cx:layoutPr>
        </cx:series>
      </cx:plotAreaRegion>
      <cx:axis id="0">
        <cx:catScaling gapWidth="0.5"/>
        <cx:tickLabels/>
        <cx:txPr>
          <a:bodyPr spcFirstLastPara="1" vertOverflow="ellipsis" horzOverflow="overflow" wrap="square" lIns="0" tIns="0" rIns="0" bIns="0" anchor="ctr" anchorCtr="1"/>
          <a:lstStyle/>
          <a:p>
            <a:pPr algn="ctr" rtl="0">
              <a:defRPr b="1"/>
            </a:pPr>
            <a:endParaRPr lang="en-US" sz="900" b="1" i="0" u="none" strike="noStrike" baseline="0">
              <a:solidFill>
                <a:sysClr val="windowText" lastClr="000000">
                  <a:lumMod val="65000"/>
                  <a:lumOff val="35000"/>
                </a:sysClr>
              </a:solidFill>
              <a:latin typeface="Calibri" panose="020F0502020204030204"/>
            </a:endParaRPr>
          </a:p>
        </cx:txPr>
      </cx:axis>
      <cx:axis id="1">
        <cx:valScaling/>
        <cx:tickLabels/>
        <cx:numFmt formatCode="$#,##0" sourceLinked="0"/>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axis>
    </cx:plotArea>
  </cx:chart>
  <cx:spPr>
    <a:no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corporatefinanceinstitute.com/" TargetMode="External"/></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chart" Target="../charts/chart5.xml"/><Relationship Id="rId2" Type="http://schemas.openxmlformats.org/officeDocument/2006/relationships/image" Target="../media/image3.png"/><Relationship Id="rId1" Type="http://schemas.openxmlformats.org/officeDocument/2006/relationships/chart" Target="../charts/chart1.xml"/><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1.xml"/><Relationship Id="rId5" Type="http://schemas.openxmlformats.org/officeDocument/2006/relationships/image" Target="../media/image5.png"/><Relationship Id="rId4"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5.png"/></Relationships>
</file>

<file path=xl/drawings/_rels/drawing9.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image" Target="../media/image5.png"/></Relationships>
</file>

<file path=xl/drawings/_rels/drawing10.xml.rels><?xml version="1.0" encoding="UTF-8" standalone="yes"?>
<Relationships xmlns="http://schemas.openxmlformats.org/package/2006/relationships"><Relationship Id="rId1" Type="http://schemas.openxmlformats.org/officeDocument/2006/relationships/image" Target="../media/image5.png"/></Relationships>
</file>

<file path=xl/drawings/_rels/drawing11.xml.rels><?xml version="1.0" encoding="UTF-8" standalone="yes"?>
<Relationships xmlns="http://schemas.openxmlformats.org/package/2006/relationships"><Relationship Id="rId2" Type="http://schemas.microsoft.com/office/2014/relationships/chartEx" Target="../charts/chartEx2.xml"/><Relationship Id="rId1" Type="http://schemas.openxmlformats.org/officeDocument/2006/relationships/image" Target="../media/image5.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5.png"/></Relationships>
</file>

<file path=xl/drawings/_rels/drawing15.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image" Target="../media/image5.png"/></Relationships>
</file>

<file path=xl/drawings/_rels/drawing16.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image" Target="../media/image5.png"/></Relationships>
</file>

<file path=xl/drawings/_rels/drawing17.xml.rels><?xml version="1.0" encoding="UTF-8" standalone="yes"?>
<Relationships xmlns="http://schemas.openxmlformats.org/package/2006/relationships"><Relationship Id="rId1" Type="http://schemas.openxmlformats.org/officeDocument/2006/relationships/image" Target="../media/image5.png"/></Relationships>
</file>

<file path=xl/drawings/_rels/drawing18.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editAs="oneCell">
    <xdr:from>
      <xdr:col>10</xdr:col>
      <xdr:colOff>593725</xdr:colOff>
      <xdr:row>5</xdr:row>
      <xdr:rowOff>0</xdr:rowOff>
    </xdr:from>
    <xdr:to>
      <xdr:col>14</xdr:col>
      <xdr:colOff>491491</xdr:colOff>
      <xdr:row>10</xdr:row>
      <xdr:rowOff>92050</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47225" y="2273300"/>
          <a:ext cx="2968626" cy="1331570"/>
        </a:xfrm>
        <a:prstGeom prst="rect">
          <a:avLst/>
        </a:prstGeom>
      </xdr:spPr>
    </xdr:pic>
    <xdr:clientData/>
  </xdr:twoCellAnchor>
  <xdr:twoCellAnchor editAs="oneCell">
    <xdr:from>
      <xdr:col>2</xdr:col>
      <xdr:colOff>107950</xdr:colOff>
      <xdr:row>5</xdr:row>
      <xdr:rowOff>235558</xdr:rowOff>
    </xdr:from>
    <xdr:to>
      <xdr:col>5</xdr:col>
      <xdr:colOff>679450</xdr:colOff>
      <xdr:row>11</xdr:row>
      <xdr:rowOff>3809</xdr:rowOff>
    </xdr:to>
    <xdr:pic>
      <xdr:nvPicPr>
        <xdr:cNvPr id="3" name="Picture 2" descr="Image result for amazon logo">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644650" y="2559658"/>
          <a:ext cx="4140200" cy="12503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22</xdr:col>
      <xdr:colOff>0</xdr:colOff>
      <xdr:row>6</xdr:row>
      <xdr:rowOff>1</xdr:rowOff>
    </xdr:from>
    <xdr:to>
      <xdr:col>25</xdr:col>
      <xdr:colOff>704850</xdr:colOff>
      <xdr:row>18</xdr:row>
      <xdr:rowOff>142876</xdr:rowOff>
    </xdr:to>
    <xdr:graphicFrame macro="">
      <xdr:nvGraphicFramePr>
        <xdr:cNvPr id="2" name="Chart 1">
          <a:extLst>
            <a:ext uri="{FF2B5EF4-FFF2-40B4-BE49-F238E27FC236}">
              <a16:creationId xmlns:a16="http://schemas.microsoft.com/office/drawing/2014/main" id="{57AC32B2-298D-4D94-B969-2C311C6A58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24</xdr:col>
      <xdr:colOff>0</xdr:colOff>
      <xdr:row>2</xdr:row>
      <xdr:rowOff>0</xdr:rowOff>
    </xdr:from>
    <xdr:to>
      <xdr:col>26</xdr:col>
      <xdr:colOff>5716</xdr:colOff>
      <xdr:row>4</xdr:row>
      <xdr:rowOff>43376</xdr:rowOff>
    </xdr:to>
    <xdr:pic>
      <xdr:nvPicPr>
        <xdr:cNvPr id="10" name="Picture 9">
          <a:extLst>
            <a:ext uri="{FF2B5EF4-FFF2-40B4-BE49-F238E27FC236}">
              <a16:creationId xmlns:a16="http://schemas.microsoft.com/office/drawing/2014/main" id="{B0BDF23B-A4D2-4F10-810F-903820AD808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411451" y="419100"/>
          <a:ext cx="1434466" cy="452951"/>
        </a:xfrm>
        <a:prstGeom prst="rect">
          <a:avLst/>
        </a:prstGeom>
      </xdr:spPr>
    </xdr:pic>
    <xdr:clientData/>
  </xdr:twoCellAnchor>
  <xdr:twoCellAnchor editAs="oneCell">
    <xdr:from>
      <xdr:col>2</xdr:col>
      <xdr:colOff>31749</xdr:colOff>
      <xdr:row>1</xdr:row>
      <xdr:rowOff>92075</xdr:rowOff>
    </xdr:from>
    <xdr:to>
      <xdr:col>4</xdr:col>
      <xdr:colOff>246980</xdr:colOff>
      <xdr:row>4</xdr:row>
      <xdr:rowOff>123825</xdr:rowOff>
    </xdr:to>
    <xdr:pic>
      <xdr:nvPicPr>
        <xdr:cNvPr id="11" name="Picture 10">
          <a:extLst>
            <a:ext uri="{FF2B5EF4-FFF2-40B4-BE49-F238E27FC236}">
              <a16:creationId xmlns:a16="http://schemas.microsoft.com/office/drawing/2014/main" id="{43769080-19DF-415F-B5D1-02829CC8E889}"/>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88949" y="301625"/>
          <a:ext cx="1643981" cy="650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6</xdr:row>
      <xdr:rowOff>9524</xdr:rowOff>
    </xdr:from>
    <xdr:to>
      <xdr:col>15</xdr:col>
      <xdr:colOff>704849</xdr:colOff>
      <xdr:row>18</xdr:row>
      <xdr:rowOff>104774</xdr:rowOff>
    </xdr:to>
    <xdr:sp macro="" textlink="">
      <xdr:nvSpPr>
        <xdr:cNvPr id="12" name="TextBox 11">
          <a:extLst>
            <a:ext uri="{FF2B5EF4-FFF2-40B4-BE49-F238E27FC236}">
              <a16:creationId xmlns:a16="http://schemas.microsoft.com/office/drawing/2014/main" id="{3354FE1C-0387-4814-9F96-B2CBB4A23A3A}"/>
            </a:ext>
          </a:extLst>
        </xdr:cNvPr>
        <xdr:cNvSpPr txBox="1"/>
      </xdr:nvSpPr>
      <xdr:spPr>
        <a:xfrm>
          <a:off x="457200" y="1238249"/>
          <a:ext cx="8810624" cy="2371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20000"/>
            </a:lnSpc>
            <a:spcBef>
              <a:spcPts val="600"/>
            </a:spcBef>
          </a:pPr>
          <a:r>
            <a:rPr lang="en-CA" sz="1200">
              <a:latin typeface="Arial Narrow" panose="020B0606020202030204" pitchFamily="34" charset="0"/>
            </a:rPr>
            <a:t>Amazon.com, Inc. is a global retailer of consumer products and subscriptions. The company operates through three segments: North America, International, and Amazon Web Services (AWS). Amazon's business activities include:</a:t>
          </a:r>
        </a:p>
        <a:p>
          <a:pPr marL="360000" lvl="1" indent="-171450">
            <a:lnSpc>
              <a:spcPct val="120000"/>
            </a:lnSpc>
            <a:spcBef>
              <a:spcPts val="300"/>
            </a:spcBef>
            <a:buFont typeface="Arial" panose="020B0604020202020204" pitchFamily="34" charset="0"/>
            <a:buChar char="•"/>
          </a:pPr>
          <a:r>
            <a:rPr lang="en-CA" sz="1200">
              <a:latin typeface="Arial Narrow" panose="020B0606020202030204" pitchFamily="34" charset="0"/>
            </a:rPr>
            <a:t>Selling merchandise and content purchased for resale from third-party sellers through physical and online stores</a:t>
          </a:r>
        </a:p>
        <a:p>
          <a:pPr marL="360000" lvl="1" indent="-171450">
            <a:lnSpc>
              <a:spcPct val="120000"/>
            </a:lnSpc>
            <a:spcBef>
              <a:spcPts val="300"/>
            </a:spcBef>
            <a:buFont typeface="Arial" panose="020B0604020202020204" pitchFamily="34" charset="0"/>
            <a:buChar char="•"/>
          </a:pPr>
          <a:r>
            <a:rPr lang="en-CA" sz="1200">
              <a:latin typeface="Arial Narrow" panose="020B0606020202030204" pitchFamily="34" charset="0"/>
            </a:rPr>
            <a:t>Manufacturing and selling electronic devices and developing and producing media content</a:t>
          </a:r>
        </a:p>
        <a:p>
          <a:pPr marL="360000" lvl="1" indent="-171450">
            <a:lnSpc>
              <a:spcPct val="120000"/>
            </a:lnSpc>
            <a:spcBef>
              <a:spcPts val="300"/>
            </a:spcBef>
            <a:buFont typeface="Arial" panose="020B0604020202020204" pitchFamily="34" charset="0"/>
            <a:buChar char="•"/>
          </a:pPr>
          <a:r>
            <a:rPr lang="en-CA" sz="1200">
              <a:latin typeface="Arial Narrow" panose="020B0606020202030204" pitchFamily="34" charset="0"/>
            </a:rPr>
            <a:t>Offering programs that enable sellers to sell their products and content on its websites and</a:t>
          </a:r>
          <a:r>
            <a:rPr lang="en-CA" sz="1200" baseline="0">
              <a:latin typeface="Arial Narrow" panose="020B0606020202030204" pitchFamily="34" charset="0"/>
            </a:rPr>
            <a:t> </a:t>
          </a:r>
          <a:r>
            <a:rPr lang="en-CA" sz="1200">
              <a:latin typeface="Arial Narrow" panose="020B0606020202030204" pitchFamily="34" charset="0"/>
            </a:rPr>
            <a:t>its stores</a:t>
          </a:r>
        </a:p>
        <a:p>
          <a:pPr marL="360000" lvl="1" indent="-171450">
            <a:lnSpc>
              <a:spcPct val="120000"/>
            </a:lnSpc>
            <a:spcBef>
              <a:spcPts val="300"/>
            </a:spcBef>
            <a:buFont typeface="Arial" panose="020B0604020202020204" pitchFamily="34" charset="0"/>
            <a:buChar char="•"/>
          </a:pPr>
          <a:r>
            <a:rPr lang="en-CA" sz="1200">
              <a:latin typeface="Arial Narrow" panose="020B0606020202030204" pitchFamily="34" charset="0"/>
            </a:rPr>
            <a:t>Providing compute, storage, database, and other AWS services, as well as fulfillment, advertising, publishing, and digital content subscriptions</a:t>
          </a:r>
        </a:p>
        <a:p>
          <a:pPr marL="360000" lvl="1" indent="-171450">
            <a:lnSpc>
              <a:spcPct val="120000"/>
            </a:lnSpc>
            <a:spcBef>
              <a:spcPts val="300"/>
            </a:spcBef>
            <a:buFont typeface="Arial" panose="020B0604020202020204" pitchFamily="34" charset="0"/>
            <a:buChar char="•"/>
          </a:pPr>
          <a:r>
            <a:rPr lang="en-CA" sz="1200">
              <a:latin typeface="Arial Narrow" panose="020B0606020202030204" pitchFamily="34" charset="0"/>
            </a:rPr>
            <a:t>Offering Amazon Prime, a membership program, which provides free shipping of various items; access to streaming of movies and TV episodes and other services</a:t>
          </a:r>
        </a:p>
        <a:p>
          <a:pPr marL="0" lvl="0" indent="-268650">
            <a:lnSpc>
              <a:spcPct val="120000"/>
            </a:lnSpc>
            <a:buFontTx/>
            <a:buNone/>
          </a:pPr>
          <a:r>
            <a:rPr lang="en-CA" sz="1200">
              <a:latin typeface="Arial Narrow" panose="020B0606020202030204" pitchFamily="34" charset="0"/>
            </a:rPr>
            <a:t>Amazon was founded in 1994 and is headquartered in Seattle, Washington</a:t>
          </a:r>
        </a:p>
        <a:p>
          <a:br>
            <a:rPr lang="en-CA" sz="1100">
              <a:latin typeface="Arial Narrow" panose="020B0606020202030204" pitchFamily="34" charset="0"/>
            </a:rPr>
          </a:br>
          <a:endParaRPr lang="en-CA" sz="1100">
            <a:latin typeface="Arial Narrow" panose="020B0606020202030204" pitchFamily="34" charset="0"/>
          </a:endParaRPr>
        </a:p>
      </xdr:txBody>
    </xdr:sp>
    <xdr:clientData/>
  </xdr:twoCellAnchor>
  <xdr:twoCellAnchor>
    <xdr:from>
      <xdr:col>2</xdr:col>
      <xdr:colOff>9526</xdr:colOff>
      <xdr:row>21</xdr:row>
      <xdr:rowOff>38100</xdr:rowOff>
    </xdr:from>
    <xdr:to>
      <xdr:col>6</xdr:col>
      <xdr:colOff>257176</xdr:colOff>
      <xdr:row>34</xdr:row>
      <xdr:rowOff>142875</xdr:rowOff>
    </xdr:to>
    <xdr:graphicFrame macro="">
      <xdr:nvGraphicFramePr>
        <xdr:cNvPr id="14" name="Chart 13">
          <a:extLst>
            <a:ext uri="{FF2B5EF4-FFF2-40B4-BE49-F238E27FC236}">
              <a16:creationId xmlns:a16="http://schemas.microsoft.com/office/drawing/2014/main" id="{204A2C69-BE18-4CF6-AFAE-6AC4EEFB39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6568</xdr:colOff>
      <xdr:row>20</xdr:row>
      <xdr:rowOff>13608</xdr:rowOff>
    </xdr:from>
    <xdr:to>
      <xdr:col>25</xdr:col>
      <xdr:colOff>709448</xdr:colOff>
      <xdr:row>34</xdr:row>
      <xdr:rowOff>146539</xdr:rowOff>
    </xdr:to>
    <xdr:graphicFrame macro="">
      <xdr:nvGraphicFramePr>
        <xdr:cNvPr id="6" name="Chart 5">
          <a:extLst>
            <a:ext uri="{FF2B5EF4-FFF2-40B4-BE49-F238E27FC236}">
              <a16:creationId xmlns:a16="http://schemas.microsoft.com/office/drawing/2014/main" id="{819CE2D1-751F-467C-A6A7-DBECBF0DFE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361951</xdr:colOff>
      <xdr:row>21</xdr:row>
      <xdr:rowOff>38100</xdr:rowOff>
    </xdr:from>
    <xdr:to>
      <xdr:col>11</xdr:col>
      <xdr:colOff>361951</xdr:colOff>
      <xdr:row>34</xdr:row>
      <xdr:rowOff>142875</xdr:rowOff>
    </xdr:to>
    <xdr:graphicFrame macro="">
      <xdr:nvGraphicFramePr>
        <xdr:cNvPr id="18" name="Chart 17">
          <a:extLst>
            <a:ext uri="{FF2B5EF4-FFF2-40B4-BE49-F238E27FC236}">
              <a16:creationId xmlns:a16="http://schemas.microsoft.com/office/drawing/2014/main" id="{A01D9694-1854-4B72-96AD-58CAB6DC38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457201</xdr:colOff>
      <xdr:row>21</xdr:row>
      <xdr:rowOff>38100</xdr:rowOff>
    </xdr:from>
    <xdr:to>
      <xdr:col>15</xdr:col>
      <xdr:colOff>704851</xdr:colOff>
      <xdr:row>34</xdr:row>
      <xdr:rowOff>142875</xdr:rowOff>
    </xdr:to>
    <xdr:graphicFrame macro="">
      <xdr:nvGraphicFramePr>
        <xdr:cNvPr id="19" name="Chart 18">
          <a:extLst>
            <a:ext uri="{FF2B5EF4-FFF2-40B4-BE49-F238E27FC236}">
              <a16:creationId xmlns:a16="http://schemas.microsoft.com/office/drawing/2014/main" id="{AADAFABF-8ACC-4065-9DDF-5797C341FF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12</xdr:row>
      <xdr:rowOff>138113</xdr:rowOff>
    </xdr:from>
    <xdr:to>
      <xdr:col>15</xdr:col>
      <xdr:colOff>666748</xdr:colOff>
      <xdr:row>26</xdr:row>
      <xdr:rowOff>152400</xdr:rowOff>
    </xdr:to>
    <xdr:graphicFrame macro="">
      <xdr:nvGraphicFramePr>
        <xdr:cNvPr id="2" name="Chart 1">
          <a:extLst>
            <a:ext uri="{FF2B5EF4-FFF2-40B4-BE49-F238E27FC236}">
              <a16:creationId xmlns:a16="http://schemas.microsoft.com/office/drawing/2014/main" id="{30C6AAF0-CBEA-442B-B963-6EBAC00A3D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533400</xdr:colOff>
      <xdr:row>0</xdr:row>
      <xdr:rowOff>38100</xdr:rowOff>
    </xdr:from>
    <xdr:to>
      <xdr:col>15</xdr:col>
      <xdr:colOff>676529</xdr:colOff>
      <xdr:row>1</xdr:row>
      <xdr:rowOff>101607</xdr:rowOff>
    </xdr:to>
    <xdr:pic>
      <xdr:nvPicPr>
        <xdr:cNvPr id="3" name="Picture 2">
          <a:extLst>
            <a:ext uri="{FF2B5EF4-FFF2-40B4-BE49-F238E27FC236}">
              <a16:creationId xmlns:a16="http://schemas.microsoft.com/office/drawing/2014/main" id="{6639FB1E-41FE-4357-8250-B664D5A1BF2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753850" y="38100"/>
          <a:ext cx="828929" cy="27305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226115</xdr:colOff>
      <xdr:row>47</xdr:row>
      <xdr:rowOff>201716</xdr:rowOff>
    </xdr:from>
    <xdr:to>
      <xdr:col>8</xdr:col>
      <xdr:colOff>305858</xdr:colOff>
      <xdr:row>60</xdr:row>
      <xdr:rowOff>22423</xdr:rowOff>
    </xdr:to>
    <xdr:graphicFrame macro="">
      <xdr:nvGraphicFramePr>
        <xdr:cNvPr id="2" name="Chart 1">
          <a:extLst>
            <a:ext uri="{FF2B5EF4-FFF2-40B4-BE49-F238E27FC236}">
              <a16:creationId xmlns:a16="http://schemas.microsoft.com/office/drawing/2014/main" id="{C11C6AA0-FB27-4975-B94A-FAE3C5C158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7621</xdr:colOff>
      <xdr:row>6</xdr:row>
      <xdr:rowOff>7620</xdr:rowOff>
    </xdr:from>
    <xdr:to>
      <xdr:col>11</xdr:col>
      <xdr:colOff>3811</xdr:colOff>
      <xdr:row>17</xdr:row>
      <xdr:rowOff>1</xdr:rowOff>
    </xdr:to>
    <xdr:graphicFrame macro="">
      <xdr:nvGraphicFramePr>
        <xdr:cNvPr id="3" name="Chart 2">
          <a:extLst>
            <a:ext uri="{FF2B5EF4-FFF2-40B4-BE49-F238E27FC236}">
              <a16:creationId xmlns:a16="http://schemas.microsoft.com/office/drawing/2014/main" id="{32552215-2657-4BC2-8772-037B6CCDC4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xdr:colOff>
      <xdr:row>20</xdr:row>
      <xdr:rowOff>11496</xdr:rowOff>
    </xdr:from>
    <xdr:to>
      <xdr:col>11</xdr:col>
      <xdr:colOff>10205</xdr:colOff>
      <xdr:row>31</xdr:row>
      <xdr:rowOff>4644</xdr:rowOff>
    </xdr:to>
    <xdr:graphicFrame macro="">
      <xdr:nvGraphicFramePr>
        <xdr:cNvPr id="4" name="Chart 3">
          <a:extLst>
            <a:ext uri="{FF2B5EF4-FFF2-40B4-BE49-F238E27FC236}">
              <a16:creationId xmlns:a16="http://schemas.microsoft.com/office/drawing/2014/main" id="{32202E02-B0BC-4DA0-9BEB-2AE5BE6E97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35819</xdr:colOff>
      <xdr:row>47</xdr:row>
      <xdr:rowOff>200592</xdr:rowOff>
    </xdr:from>
    <xdr:to>
      <xdr:col>11</xdr:col>
      <xdr:colOff>273314</xdr:colOff>
      <xdr:row>60</xdr:row>
      <xdr:rowOff>21298</xdr:rowOff>
    </xdr:to>
    <xdr:graphicFrame macro="">
      <xdr:nvGraphicFramePr>
        <xdr:cNvPr id="7" name="Chart 6">
          <a:extLst>
            <a:ext uri="{FF2B5EF4-FFF2-40B4-BE49-F238E27FC236}">
              <a16:creationId xmlns:a16="http://schemas.microsoft.com/office/drawing/2014/main" id="{73096FFC-7169-44F6-92F5-778BF14116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597352</xdr:colOff>
      <xdr:row>48</xdr:row>
      <xdr:rowOff>5474</xdr:rowOff>
    </xdr:from>
    <xdr:to>
      <xdr:col>11</xdr:col>
      <xdr:colOff>263977</xdr:colOff>
      <xdr:row>60</xdr:row>
      <xdr:rowOff>46936</xdr:rowOff>
    </xdr:to>
    <xdr:sp macro="" textlink="">
      <xdr:nvSpPr>
        <xdr:cNvPr id="8" name="Rectangle 7">
          <a:extLst>
            <a:ext uri="{FF2B5EF4-FFF2-40B4-BE49-F238E27FC236}">
              <a16:creationId xmlns:a16="http://schemas.microsoft.com/office/drawing/2014/main" id="{1BFF9BC3-3C3B-4BB2-9AFB-0111209BC02C}"/>
            </a:ext>
          </a:extLst>
        </xdr:cNvPr>
        <xdr:cNvSpPr/>
      </xdr:nvSpPr>
      <xdr:spPr>
        <a:xfrm>
          <a:off x="597352" y="10082924"/>
          <a:ext cx="6372225" cy="2556062"/>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oneCellAnchor>
    <xdr:from>
      <xdr:col>10</xdr:col>
      <xdr:colOff>369794</xdr:colOff>
      <xdr:row>0</xdr:row>
      <xdr:rowOff>0</xdr:rowOff>
    </xdr:from>
    <xdr:ext cx="829746" cy="275590"/>
    <xdr:pic>
      <xdr:nvPicPr>
        <xdr:cNvPr id="9" name="Picture 8">
          <a:extLst>
            <a:ext uri="{FF2B5EF4-FFF2-40B4-BE49-F238E27FC236}">
              <a16:creationId xmlns:a16="http://schemas.microsoft.com/office/drawing/2014/main" id="{2D95234F-99C8-4350-B256-55F147D775E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420970" y="0"/>
          <a:ext cx="829746" cy="275590"/>
        </a:xfrm>
        <a:prstGeom prst="rect">
          <a:avLst/>
        </a:prstGeom>
      </xdr:spPr>
    </xdr:pic>
    <xdr:clientData/>
  </xdr:oneCellAnchor>
  <xdr:twoCellAnchor>
    <xdr:from>
      <xdr:col>0</xdr:col>
      <xdr:colOff>224790</xdr:colOff>
      <xdr:row>33</xdr:row>
      <xdr:rowOff>205740</xdr:rowOff>
    </xdr:from>
    <xdr:to>
      <xdr:col>10</xdr:col>
      <xdr:colOff>605790</xdr:colOff>
      <xdr:row>44</xdr:row>
      <xdr:rowOff>209441</xdr:rowOff>
    </xdr:to>
    <xdr:graphicFrame macro="">
      <xdr:nvGraphicFramePr>
        <xdr:cNvPr id="10" name="Chart 9">
          <a:extLst>
            <a:ext uri="{FF2B5EF4-FFF2-40B4-BE49-F238E27FC236}">
              <a16:creationId xmlns:a16="http://schemas.microsoft.com/office/drawing/2014/main" id="{B612E766-4D01-4A81-8C6A-C3441F53E1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21</xdr:col>
      <xdr:colOff>572860</xdr:colOff>
      <xdr:row>0</xdr:row>
      <xdr:rowOff>66675</xdr:rowOff>
    </xdr:from>
    <xdr:to>
      <xdr:col>22</xdr:col>
      <xdr:colOff>687414</xdr:colOff>
      <xdr:row>1</xdr:row>
      <xdr:rowOff>136712</xdr:rowOff>
    </xdr:to>
    <xdr:pic>
      <xdr:nvPicPr>
        <xdr:cNvPr id="2" name="Picture 1">
          <a:extLst>
            <a:ext uri="{FF2B5EF4-FFF2-40B4-BE49-F238E27FC236}">
              <a16:creationId xmlns:a16="http://schemas.microsoft.com/office/drawing/2014/main" id="{24DFE686-4B0B-4ACA-A994-D9FCDDD463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555560" y="66675"/>
          <a:ext cx="828929" cy="27006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17</xdr:col>
      <xdr:colOff>127000</xdr:colOff>
      <xdr:row>0</xdr:row>
      <xdr:rowOff>7214</xdr:rowOff>
    </xdr:from>
    <xdr:to>
      <xdr:col>17</xdr:col>
      <xdr:colOff>955929</xdr:colOff>
      <xdr:row>1</xdr:row>
      <xdr:rowOff>72308</xdr:rowOff>
    </xdr:to>
    <xdr:pic>
      <xdr:nvPicPr>
        <xdr:cNvPr id="6" name="Picture 5">
          <a:extLst>
            <a:ext uri="{FF2B5EF4-FFF2-40B4-BE49-F238E27FC236}">
              <a16:creationId xmlns:a16="http://schemas.microsoft.com/office/drawing/2014/main" id="{00000000-0008-0000-0500-00000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557750" y="7214"/>
          <a:ext cx="828929" cy="26496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oneCellAnchor>
    <xdr:from>
      <xdr:col>14</xdr:col>
      <xdr:colOff>838200</xdr:colOff>
      <xdr:row>0</xdr:row>
      <xdr:rowOff>0</xdr:rowOff>
    </xdr:from>
    <xdr:ext cx="829746" cy="275590"/>
    <xdr:pic>
      <xdr:nvPicPr>
        <xdr:cNvPr id="3" name="Picture 2">
          <a:extLst>
            <a:ext uri="{FF2B5EF4-FFF2-40B4-BE49-F238E27FC236}">
              <a16:creationId xmlns:a16="http://schemas.microsoft.com/office/drawing/2014/main" id="{2D6707EB-B2EF-4188-8AE8-D62FC48EC43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58100" y="0"/>
          <a:ext cx="829746" cy="275590"/>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twoCellAnchor editAs="oneCell">
    <xdr:from>
      <xdr:col>16</xdr:col>
      <xdr:colOff>552450</xdr:colOff>
      <xdr:row>0</xdr:row>
      <xdr:rowOff>63500</xdr:rowOff>
    </xdr:from>
    <xdr:to>
      <xdr:col>17</xdr:col>
      <xdr:colOff>667821</xdr:colOff>
      <xdr:row>1</xdr:row>
      <xdr:rowOff>129540</xdr:rowOff>
    </xdr:to>
    <xdr:pic>
      <xdr:nvPicPr>
        <xdr:cNvPr id="3" name="Picture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608050" y="63500"/>
          <a:ext cx="794821" cy="243840"/>
        </a:xfrm>
        <a:prstGeom prst="rect">
          <a:avLst/>
        </a:prstGeom>
      </xdr:spPr>
    </xdr:pic>
    <xdr:clientData/>
  </xdr:twoCellAnchor>
  <xdr:oneCellAnchor>
    <xdr:from>
      <xdr:col>16</xdr:col>
      <xdr:colOff>552450</xdr:colOff>
      <xdr:row>0</xdr:row>
      <xdr:rowOff>63500</xdr:rowOff>
    </xdr:from>
    <xdr:ext cx="829746" cy="275590"/>
    <xdr:pic>
      <xdr:nvPicPr>
        <xdr:cNvPr id="7" name="Picture 6">
          <a:extLst>
            <a:ext uri="{FF2B5EF4-FFF2-40B4-BE49-F238E27FC236}">
              <a16:creationId xmlns:a16="http://schemas.microsoft.com/office/drawing/2014/main" id="{00000000-0008-0000-0600-000007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68450" y="63500"/>
          <a:ext cx="829746" cy="275590"/>
        </a:xfrm>
        <a:prstGeom prst="rect">
          <a:avLst/>
        </a:prstGeom>
      </xdr:spPr>
    </xdr:pic>
    <xdr:clientData/>
  </xdr:oneCellAnchor>
</xdr:wsDr>
</file>

<file path=xl/drawings/drawing9.xml><?xml version="1.0" encoding="utf-8"?>
<xdr:wsDr xmlns:xdr="http://schemas.openxmlformats.org/drawingml/2006/spreadsheetDrawing" xmlns:a="http://schemas.openxmlformats.org/drawingml/2006/main">
  <xdr:oneCellAnchor>
    <xdr:from>
      <xdr:col>14</xdr:col>
      <xdr:colOff>9525</xdr:colOff>
      <xdr:row>0</xdr:row>
      <xdr:rowOff>9525</xdr:rowOff>
    </xdr:from>
    <xdr:ext cx="829746" cy="275590"/>
    <xdr:pic>
      <xdr:nvPicPr>
        <xdr:cNvPr id="3" name="Picture 2">
          <a:extLst>
            <a:ext uri="{FF2B5EF4-FFF2-40B4-BE49-F238E27FC236}">
              <a16:creationId xmlns:a16="http://schemas.microsoft.com/office/drawing/2014/main" id="{28952C44-F0DB-4591-B3FC-317A3EA22A8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458700" y="9525"/>
          <a:ext cx="829746" cy="275590"/>
        </a:xfrm>
        <a:prstGeom prst="rect">
          <a:avLst/>
        </a:prstGeom>
      </xdr:spPr>
    </xdr:pic>
    <xdr:clientData/>
  </xdr:oneCellAnchor>
  <xdr:twoCellAnchor>
    <xdr:from>
      <xdr:col>1</xdr:col>
      <xdr:colOff>0</xdr:colOff>
      <xdr:row>35</xdr:row>
      <xdr:rowOff>66675</xdr:rowOff>
    </xdr:from>
    <xdr:to>
      <xdr:col>5</xdr:col>
      <xdr:colOff>827943</xdr:colOff>
      <xdr:row>49</xdr:row>
      <xdr:rowOff>13189</xdr:rowOff>
    </xdr:to>
    <mc:AlternateContent xmlns:mc="http://schemas.openxmlformats.org/markup-compatibility/2006">
      <mc:Choice xmlns:cx1="http://schemas.microsoft.com/office/drawing/2015/9/8/chartex" Requires="cx1">
        <xdr:graphicFrame macro="">
          <xdr:nvGraphicFramePr>
            <xdr:cNvPr id="12" name="Chart 11">
              <a:extLst>
                <a:ext uri="{FF2B5EF4-FFF2-40B4-BE49-F238E27FC236}">
                  <a16:creationId xmlns:a16="http://schemas.microsoft.com/office/drawing/2014/main" id="{FD58C270-E819-481C-B464-D65964DF04F6}"/>
                </a:ext>
              </a:extLst>
            </xdr:cNvPr>
            <xdr:cNvGraphicFramePr>
              <a:graphicFrameLocks/>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05740" y="6802755"/>
              <a:ext cx="4980843" cy="2735434"/>
            </a:xfrm>
            <a:prstGeom prst="rect">
              <a:avLst/>
            </a:prstGeom>
            <a:solidFill>
              <a:prstClr val="white"/>
            </a:solidFill>
            <a:ln w="1">
              <a:solidFill>
                <a:prstClr val="green"/>
              </a:solidFill>
            </a:ln>
          </xdr:spPr>
          <xdr:txBody>
            <a:bodyPr vertOverflow="clip" horzOverflow="clip"/>
            <a:lstStyle/>
            <a:p>
              <a:r>
                <a:rPr lang="pt-BR" sz="1100"/>
                <a:t>Este gráfico não está disponível na sua versão de Excel.
Editar esta forma ou salvar esta pasta de trabalho em um formato de arquivo diferente quebrará o gráfico permanentemente.</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oneCellAnchor>
    <xdr:from>
      <xdr:col>16</xdr:col>
      <xdr:colOff>600075</xdr:colOff>
      <xdr:row>0</xdr:row>
      <xdr:rowOff>0</xdr:rowOff>
    </xdr:from>
    <xdr:ext cx="829746" cy="275590"/>
    <xdr:pic>
      <xdr:nvPicPr>
        <xdr:cNvPr id="3" name="Picture 2">
          <a:extLst>
            <a:ext uri="{FF2B5EF4-FFF2-40B4-BE49-F238E27FC236}">
              <a16:creationId xmlns:a16="http://schemas.microsoft.com/office/drawing/2014/main" id="{11236D07-63D4-4B1B-AF26-955E83174AF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039600" y="0"/>
          <a:ext cx="829746" cy="275590"/>
        </a:xfrm>
        <a:prstGeom prst="rect">
          <a:avLst/>
        </a:prstGeom>
      </xdr:spPr>
    </xdr:pic>
    <xdr:clientData/>
  </xdr:oneCellAnchor>
</xdr:wsDr>
</file>

<file path=xl/drawings/drawing11.xml><?xml version="1.0" encoding="utf-8"?>
<xdr:wsDr xmlns:xdr="http://schemas.openxmlformats.org/drawingml/2006/spreadsheetDrawing" xmlns:a="http://schemas.openxmlformats.org/drawingml/2006/main">
  <xdr:oneCellAnchor>
    <xdr:from>
      <xdr:col>10</xdr:col>
      <xdr:colOff>593148</xdr:colOff>
      <xdr:row>0</xdr:row>
      <xdr:rowOff>4330</xdr:rowOff>
    </xdr:from>
    <xdr:ext cx="829746" cy="275590"/>
    <xdr:pic>
      <xdr:nvPicPr>
        <xdr:cNvPr id="3" name="Picture 2">
          <a:extLst>
            <a:ext uri="{FF2B5EF4-FFF2-40B4-BE49-F238E27FC236}">
              <a16:creationId xmlns:a16="http://schemas.microsoft.com/office/drawing/2014/main" id="{CCA02189-15A8-4056-BB2E-045642EDF4D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81875" y="4330"/>
          <a:ext cx="829746" cy="275590"/>
        </a:xfrm>
        <a:prstGeom prst="rect">
          <a:avLst/>
        </a:prstGeom>
      </xdr:spPr>
    </xdr:pic>
    <xdr:clientData/>
  </xdr:oneCellAnchor>
  <xdr:twoCellAnchor>
    <xdr:from>
      <xdr:col>1</xdr:col>
      <xdr:colOff>95250</xdr:colOff>
      <xdr:row>58</xdr:row>
      <xdr:rowOff>90487</xdr:rowOff>
    </xdr:from>
    <xdr:to>
      <xdr:col>11</xdr:col>
      <xdr:colOff>681038</xdr:colOff>
      <xdr:row>73</xdr:row>
      <xdr:rowOff>133351</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CDA310A-DAC8-42F4-972A-2C813E58165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00990" y="9493567"/>
              <a:ext cx="7268528" cy="3014664"/>
            </a:xfrm>
            <a:prstGeom prst="rect">
              <a:avLst/>
            </a:prstGeom>
            <a:solidFill>
              <a:prstClr val="white"/>
            </a:solidFill>
            <a:ln w="1">
              <a:solidFill>
                <a:prstClr val="green"/>
              </a:solidFill>
            </a:ln>
          </xdr:spPr>
          <xdr:txBody>
            <a:bodyPr vertOverflow="clip" horzOverflow="clip"/>
            <a:lstStyle/>
            <a:p>
              <a:r>
                <a:rPr lang="pt-BR" sz="1100"/>
                <a:t>Este gráfico não está disponível na sua versão de Excel.
Editar esta forma ou salvar esta pasta de trabalho em um formato de arquivo diferente quebrará o gráfico permanentemente.</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oneCellAnchor>
    <xdr:from>
      <xdr:col>29</xdr:col>
      <xdr:colOff>733425</xdr:colOff>
      <xdr:row>0</xdr:row>
      <xdr:rowOff>0</xdr:rowOff>
    </xdr:from>
    <xdr:ext cx="829746" cy="275590"/>
    <xdr:pic>
      <xdr:nvPicPr>
        <xdr:cNvPr id="3" name="Picture 2">
          <a:extLst>
            <a:ext uri="{FF2B5EF4-FFF2-40B4-BE49-F238E27FC236}">
              <a16:creationId xmlns:a16="http://schemas.microsoft.com/office/drawing/2014/main" id="{C183EB35-F0F8-4F5B-8D42-3BCF3B832B8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160954" y="0"/>
          <a:ext cx="829746" cy="275590"/>
        </a:xfrm>
        <a:prstGeom prst="rect">
          <a:avLst/>
        </a:prstGeom>
      </xdr:spPr>
    </xdr:pic>
    <xdr:clientData/>
  </xdr:oneCellAnchor>
</xdr:wsDr>
</file>

<file path=xl/drawings/drawing13.xml><?xml version="1.0" encoding="utf-8"?>
<xdr:wsDr xmlns:xdr="http://schemas.openxmlformats.org/drawingml/2006/spreadsheetDrawing" xmlns:a="http://schemas.openxmlformats.org/drawingml/2006/main">
  <xdr:oneCellAnchor>
    <xdr:from>
      <xdr:col>10</xdr:col>
      <xdr:colOff>609600</xdr:colOff>
      <xdr:row>0</xdr:row>
      <xdr:rowOff>0</xdr:rowOff>
    </xdr:from>
    <xdr:ext cx="829746" cy="275590"/>
    <xdr:pic>
      <xdr:nvPicPr>
        <xdr:cNvPr id="3" name="Picture 2">
          <a:extLst>
            <a:ext uri="{FF2B5EF4-FFF2-40B4-BE49-F238E27FC236}">
              <a16:creationId xmlns:a16="http://schemas.microsoft.com/office/drawing/2014/main" id="{8F7316E9-C90F-4F18-B6B1-FD8B600A369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400925" y="0"/>
          <a:ext cx="829746" cy="275590"/>
        </a:xfrm>
        <a:prstGeom prst="rect">
          <a:avLst/>
        </a:prstGeom>
      </xdr:spPr>
    </xdr:pic>
    <xdr:clientData/>
  </xdr:oneCellAnchor>
</xdr:wsDr>
</file>

<file path=xl/drawings/drawing14.xml><?xml version="1.0" encoding="utf-8"?>
<xdr:wsDr xmlns:xdr="http://schemas.openxmlformats.org/drawingml/2006/spreadsheetDrawing" xmlns:a="http://schemas.openxmlformats.org/drawingml/2006/main">
  <xdr:oneCellAnchor>
    <xdr:from>
      <xdr:col>17</xdr:col>
      <xdr:colOff>1076864</xdr:colOff>
      <xdr:row>0</xdr:row>
      <xdr:rowOff>0</xdr:rowOff>
    </xdr:from>
    <xdr:ext cx="829746" cy="275590"/>
    <xdr:pic>
      <xdr:nvPicPr>
        <xdr:cNvPr id="3" name="Picture 2">
          <a:extLst>
            <a:ext uri="{FF2B5EF4-FFF2-40B4-BE49-F238E27FC236}">
              <a16:creationId xmlns:a16="http://schemas.microsoft.com/office/drawing/2014/main" id="{E121CB4B-147A-445A-A952-A48F726B0C4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663968" y="0"/>
          <a:ext cx="829746" cy="275590"/>
        </a:xfrm>
        <a:prstGeom prst="rect">
          <a:avLst/>
        </a:prstGeom>
      </xdr:spPr>
    </xdr:pic>
    <xdr:clientData/>
  </xdr:oneCellAnchor>
</xdr:wsDr>
</file>

<file path=xl/drawings/drawing15.xml><?xml version="1.0" encoding="utf-8"?>
<xdr:wsDr xmlns:xdr="http://schemas.openxmlformats.org/drawingml/2006/spreadsheetDrawing" xmlns:a="http://schemas.openxmlformats.org/drawingml/2006/main">
  <xdr:oneCellAnchor>
    <xdr:from>
      <xdr:col>16</xdr:col>
      <xdr:colOff>659130</xdr:colOff>
      <xdr:row>0</xdr:row>
      <xdr:rowOff>0</xdr:rowOff>
    </xdr:from>
    <xdr:ext cx="829746" cy="275590"/>
    <xdr:pic>
      <xdr:nvPicPr>
        <xdr:cNvPr id="4" name="Picture 3">
          <a:extLst>
            <a:ext uri="{FF2B5EF4-FFF2-40B4-BE49-F238E27FC236}">
              <a16:creationId xmlns:a16="http://schemas.microsoft.com/office/drawing/2014/main" id="{F089C873-FD62-4AC2-9411-3208E371E93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548360" y="0"/>
          <a:ext cx="829746" cy="275590"/>
        </a:xfrm>
        <a:prstGeom prst="rect">
          <a:avLst/>
        </a:prstGeom>
      </xdr:spPr>
    </xdr:pic>
    <xdr:clientData/>
  </xdr:oneCellAnchor>
  <xdr:twoCellAnchor>
    <xdr:from>
      <xdr:col>1</xdr:col>
      <xdr:colOff>19050</xdr:colOff>
      <xdr:row>26</xdr:row>
      <xdr:rowOff>19050</xdr:rowOff>
    </xdr:from>
    <xdr:to>
      <xdr:col>9</xdr:col>
      <xdr:colOff>714375</xdr:colOff>
      <xdr:row>42</xdr:row>
      <xdr:rowOff>180975</xdr:rowOff>
    </xdr:to>
    <xdr:graphicFrame macro="">
      <xdr:nvGraphicFramePr>
        <xdr:cNvPr id="3" name="Chart 2">
          <a:extLst>
            <a:ext uri="{FF2B5EF4-FFF2-40B4-BE49-F238E27FC236}">
              <a16:creationId xmlns:a16="http://schemas.microsoft.com/office/drawing/2014/main" id="{10304894-C237-455B-B799-D5B69DEAA3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6.xml><?xml version="1.0" encoding="utf-8"?>
<xdr:wsDr xmlns:xdr="http://schemas.openxmlformats.org/drawingml/2006/spreadsheetDrawing" xmlns:a="http://schemas.openxmlformats.org/drawingml/2006/main">
  <xdr:oneCellAnchor>
    <xdr:from>
      <xdr:col>4</xdr:col>
      <xdr:colOff>657225</xdr:colOff>
      <xdr:row>0</xdr:row>
      <xdr:rowOff>0</xdr:rowOff>
    </xdr:from>
    <xdr:ext cx="829746" cy="275590"/>
    <xdr:pic>
      <xdr:nvPicPr>
        <xdr:cNvPr id="3" name="Picture 2">
          <a:extLst>
            <a:ext uri="{FF2B5EF4-FFF2-40B4-BE49-F238E27FC236}">
              <a16:creationId xmlns:a16="http://schemas.microsoft.com/office/drawing/2014/main" id="{3D88F568-9B58-45FC-B89A-BE117C9A95F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867275" y="0"/>
          <a:ext cx="829746" cy="275590"/>
        </a:xfrm>
        <a:prstGeom prst="rect">
          <a:avLst/>
        </a:prstGeom>
      </xdr:spPr>
    </xdr:pic>
    <xdr:clientData/>
  </xdr:oneCellAnchor>
  <xdr:twoCellAnchor>
    <xdr:from>
      <xdr:col>1</xdr:col>
      <xdr:colOff>9525</xdr:colOff>
      <xdr:row>20</xdr:row>
      <xdr:rowOff>19050</xdr:rowOff>
    </xdr:from>
    <xdr:to>
      <xdr:col>7</xdr:col>
      <xdr:colOff>723900</xdr:colOff>
      <xdr:row>31</xdr:row>
      <xdr:rowOff>180975</xdr:rowOff>
    </xdr:to>
    <xdr:graphicFrame macro="">
      <xdr:nvGraphicFramePr>
        <xdr:cNvPr id="4" name="Chart 3">
          <a:extLst>
            <a:ext uri="{FF2B5EF4-FFF2-40B4-BE49-F238E27FC236}">
              <a16:creationId xmlns:a16="http://schemas.microsoft.com/office/drawing/2014/main" id="{3158FF5D-54CD-444D-95FF-F8ECE96A4D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7.xml><?xml version="1.0" encoding="utf-8"?>
<xdr:wsDr xmlns:xdr="http://schemas.openxmlformats.org/drawingml/2006/spreadsheetDrawing" xmlns:a="http://schemas.openxmlformats.org/drawingml/2006/main">
  <xdr:oneCellAnchor>
    <xdr:from>
      <xdr:col>5</xdr:col>
      <xdr:colOff>428625</xdr:colOff>
      <xdr:row>0</xdr:row>
      <xdr:rowOff>0</xdr:rowOff>
    </xdr:from>
    <xdr:ext cx="829746" cy="275590"/>
    <xdr:pic>
      <xdr:nvPicPr>
        <xdr:cNvPr id="2" name="Picture 1">
          <a:extLst>
            <a:ext uri="{FF2B5EF4-FFF2-40B4-BE49-F238E27FC236}">
              <a16:creationId xmlns:a16="http://schemas.microsoft.com/office/drawing/2014/main" id="{4E699E59-DDB6-4712-B76B-EF5653D1685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14950" y="0"/>
          <a:ext cx="829746" cy="275590"/>
        </a:xfrm>
        <a:prstGeom prst="rect">
          <a:avLst/>
        </a:prstGeom>
      </xdr:spPr>
    </xdr:pic>
    <xdr:clientData/>
  </xdr:oneCellAnchor>
</xdr:wsDr>
</file>

<file path=xl/drawings/drawing18.xml><?xml version="1.0" encoding="utf-8"?>
<xdr:wsDr xmlns:xdr="http://schemas.openxmlformats.org/drawingml/2006/spreadsheetDrawing" xmlns:a="http://schemas.openxmlformats.org/drawingml/2006/main">
  <xdr:twoCellAnchor>
    <xdr:from>
      <xdr:col>3</xdr:col>
      <xdr:colOff>670113</xdr:colOff>
      <xdr:row>9</xdr:row>
      <xdr:rowOff>28575</xdr:rowOff>
    </xdr:from>
    <xdr:to>
      <xdr:col>12</xdr:col>
      <xdr:colOff>182445</xdr:colOff>
      <xdr:row>26</xdr:row>
      <xdr:rowOff>71157</xdr:rowOff>
    </xdr:to>
    <xdr:graphicFrame macro="">
      <xdr:nvGraphicFramePr>
        <xdr:cNvPr id="7" name="Chart 6">
          <a:extLst>
            <a:ext uri="{FF2B5EF4-FFF2-40B4-BE49-F238E27FC236}">
              <a16:creationId xmlns:a16="http://schemas.microsoft.com/office/drawing/2014/main" id="{42FA5A79-BC6F-4746-8CC6-59D8A3366C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10</xdr:col>
      <xdr:colOff>266700</xdr:colOff>
      <xdr:row>0</xdr:row>
      <xdr:rowOff>57150</xdr:rowOff>
    </xdr:from>
    <xdr:ext cx="829746" cy="275590"/>
    <xdr:pic>
      <xdr:nvPicPr>
        <xdr:cNvPr id="8" name="Picture 7">
          <a:extLst>
            <a:ext uri="{FF2B5EF4-FFF2-40B4-BE49-F238E27FC236}">
              <a16:creationId xmlns:a16="http://schemas.microsoft.com/office/drawing/2014/main" id="{8A72527B-3BCA-4EA6-B121-86E1192BA9B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820275" y="57150"/>
          <a:ext cx="829746" cy="275590"/>
        </a:xfrm>
        <a:prstGeom prst="rect">
          <a:avLst/>
        </a:prstGeom>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825F20D-641D-44AA-87DF-C3C2891B4D81}" name="Table2" displayName="Table2" ref="B10:C1374" totalsRowShown="0" headerRowDxfId="2">
  <autoFilter ref="B10:C1374" xr:uid="{00A7BE77-9AFA-4063-AFE3-652EDFF4F258}"/>
  <tableColumns count="2">
    <tableColumn id="1" xr3:uid="{8CB071A3-2824-4051-94D4-4AB54E73C9AA}" name="Dates" dataDxfId="1" dataCellStyle="Normal 9"/>
    <tableColumn id="2" xr3:uid="{E8CFBDAA-CC14-4BC1-81D3-200C0A50B6C3}" name="Amazon.com, Inc. (NasdaqGS:AMZN) - Share Pricing" dataDxfId="0"/>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rporatefinanceinstitute.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customProperty" Target="../customProperty1.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customProperty" Target="../customProperty2.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customProperty" Target="../customProperty3.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customProperty" Target="../customProperty4.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customProperty" Target="../customProperty5.bin"/><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hyperlink" Target="https://economics.td.com/ca-long-term-forecast" TargetMode="External"/><Relationship Id="rId2" Type="http://schemas.openxmlformats.org/officeDocument/2006/relationships/hyperlink" Target="https://www.pwc.com/gx/en/research-insights/economy/global-economy-watch/projections.html" TargetMode="External"/><Relationship Id="rId1" Type="http://schemas.openxmlformats.org/officeDocument/2006/relationships/hyperlink" Target="https://www.cbo.gov/publication/56465" TargetMode="External"/><Relationship Id="rId6" Type="http://schemas.openxmlformats.org/officeDocument/2006/relationships/drawing" Target="../drawings/drawing16.xml"/><Relationship Id="rId5" Type="http://schemas.openxmlformats.org/officeDocument/2006/relationships/customProperty" Target="../customProperty6.bin"/><Relationship Id="rId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customProperty" Target="../customProperty7.bin"/><Relationship Id="rId1" Type="http://schemas.openxmlformats.org/officeDocument/2006/relationships/printerSettings" Target="../printerSettings/printerSettings18.bin"/><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0F146-432F-4933-BBDB-7BA88577CE55}">
  <dimension ref="A1:P42"/>
  <sheetViews>
    <sheetView showGridLines="0" zoomScaleNormal="100" workbookViewId="0"/>
  </sheetViews>
  <sheetFormatPr defaultColWidth="10.125" defaultRowHeight="13.8" x14ac:dyDescent="0.25"/>
  <cols>
    <col min="1" max="1" width="3.375" style="52" customWidth="1"/>
    <col min="2" max="2" width="12.125" style="48" customWidth="1"/>
    <col min="3" max="3" width="32.125" style="48" customWidth="1"/>
    <col min="4" max="16" width="12.125" style="48" customWidth="1"/>
    <col min="17" max="16384" width="10.125" style="48"/>
  </cols>
  <sheetData>
    <row r="1" spans="2:16" ht="19.5" customHeight="1" x14ac:dyDescent="0.25"/>
    <row r="2" spans="2:16" ht="19.5" customHeight="1" x14ac:dyDescent="0.25"/>
    <row r="3" spans="2:16" ht="19.5" customHeight="1" x14ac:dyDescent="0.25">
      <c r="B3" s="49"/>
      <c r="C3" s="49"/>
      <c r="D3" s="49"/>
      <c r="E3" s="49"/>
      <c r="F3" s="49"/>
      <c r="G3" s="49"/>
      <c r="H3" s="49"/>
      <c r="I3" s="49"/>
      <c r="J3" s="49"/>
      <c r="K3" s="49"/>
      <c r="L3" s="49"/>
      <c r="M3" s="49"/>
      <c r="N3" s="49"/>
      <c r="O3" s="49"/>
      <c r="P3" s="49"/>
    </row>
    <row r="4" spans="2:16" ht="28.2" x14ac:dyDescent="0.5">
      <c r="B4" s="49"/>
      <c r="C4" s="538" t="s">
        <v>198</v>
      </c>
      <c r="D4" s="49"/>
      <c r="E4" s="49"/>
      <c r="F4" s="49"/>
      <c r="G4" s="49"/>
      <c r="H4" s="49"/>
      <c r="I4" s="49"/>
      <c r="J4" s="49"/>
      <c r="K4" s="49"/>
      <c r="L4" s="49"/>
      <c r="M4" s="49"/>
      <c r="N4" s="49"/>
      <c r="O4" s="49"/>
      <c r="P4" s="49"/>
    </row>
    <row r="5" spans="2:16" ht="28.2" x14ac:dyDescent="0.5">
      <c r="B5" s="49"/>
      <c r="C5" s="538"/>
      <c r="D5" s="49"/>
      <c r="E5" s="49"/>
      <c r="F5" s="49"/>
      <c r="G5" s="49"/>
      <c r="H5" s="49"/>
      <c r="I5" s="49"/>
      <c r="J5" s="49"/>
      <c r="K5" s="49"/>
      <c r="L5" s="49"/>
      <c r="M5" s="49"/>
      <c r="N5" s="49"/>
      <c r="O5" s="49"/>
      <c r="P5" s="49"/>
    </row>
    <row r="6" spans="2:16" ht="19.5" customHeight="1" x14ac:dyDescent="0.25">
      <c r="B6" s="49"/>
      <c r="C6" s="50"/>
      <c r="D6" s="49"/>
      <c r="E6" s="49"/>
      <c r="F6" s="49"/>
      <c r="G6" s="49"/>
      <c r="H6" s="49"/>
      <c r="I6" s="49"/>
      <c r="J6" s="49"/>
      <c r="K6" s="49"/>
      <c r="L6" s="49"/>
      <c r="M6" s="49"/>
      <c r="N6" s="49"/>
      <c r="O6" s="49"/>
      <c r="P6" s="49"/>
    </row>
    <row r="7" spans="2:16" ht="19.5" customHeight="1" x14ac:dyDescent="0.25">
      <c r="B7" s="49"/>
      <c r="C7" s="539"/>
      <c r="D7" s="49"/>
      <c r="E7" s="49"/>
      <c r="F7" s="49"/>
      <c r="G7" s="49"/>
      <c r="H7" s="49"/>
      <c r="I7" s="49"/>
      <c r="J7" s="49"/>
      <c r="K7" s="49"/>
      <c r="L7" s="49"/>
      <c r="M7" s="49"/>
      <c r="N7" s="49"/>
      <c r="O7" s="540"/>
      <c r="P7" s="49"/>
    </row>
    <row r="8" spans="2:16" ht="19.5" customHeight="1" x14ac:dyDescent="0.25">
      <c r="B8" s="49"/>
      <c r="C8" s="50"/>
      <c r="D8" s="49"/>
      <c r="E8" s="49"/>
      <c r="F8" s="49"/>
      <c r="G8" s="49"/>
      <c r="H8" s="49"/>
      <c r="I8" s="49"/>
      <c r="J8" s="49"/>
      <c r="K8" s="49"/>
      <c r="L8" s="49"/>
      <c r="M8" s="49"/>
      <c r="N8" s="49"/>
      <c r="O8" s="49"/>
      <c r="P8" s="49"/>
    </row>
    <row r="9" spans="2:16" ht="19.5" customHeight="1" x14ac:dyDescent="0.25">
      <c r="B9" s="49"/>
      <c r="C9" s="50"/>
      <c r="D9" s="49"/>
      <c r="E9" s="49"/>
      <c r="F9" s="49"/>
      <c r="G9" s="49"/>
      <c r="H9" s="49"/>
      <c r="I9" s="49"/>
      <c r="J9" s="49"/>
      <c r="K9" s="49"/>
      <c r="L9" s="49"/>
      <c r="M9" s="49"/>
      <c r="N9" s="49"/>
      <c r="O9" s="49"/>
      <c r="P9" s="49"/>
    </row>
    <row r="10" spans="2:16" ht="19.5" customHeight="1" x14ac:dyDescent="0.25">
      <c r="B10" s="49"/>
      <c r="C10" s="50"/>
      <c r="D10" s="49"/>
      <c r="E10" s="49"/>
      <c r="F10" s="49"/>
      <c r="G10" s="49"/>
      <c r="H10" s="49"/>
      <c r="I10" s="49"/>
      <c r="J10" s="49"/>
      <c r="K10" s="49"/>
      <c r="L10" s="49"/>
      <c r="M10" s="49"/>
      <c r="N10" s="49"/>
      <c r="O10" s="49"/>
      <c r="P10" s="49"/>
    </row>
    <row r="11" spans="2:16" ht="19.5" customHeight="1" x14ac:dyDescent="0.25">
      <c r="B11" s="49"/>
      <c r="C11" s="50"/>
      <c r="D11" s="49"/>
      <c r="E11" s="49"/>
      <c r="F11" s="49"/>
      <c r="G11" s="49"/>
      <c r="H11" s="49"/>
      <c r="I11" s="49"/>
      <c r="J11" s="49"/>
      <c r="K11" s="49"/>
      <c r="L11" s="49"/>
      <c r="M11" s="49"/>
      <c r="N11" s="49"/>
      <c r="O11" s="49"/>
      <c r="P11" s="49"/>
    </row>
    <row r="12" spans="2:16" ht="19.5" customHeight="1" x14ac:dyDescent="0.25">
      <c r="B12" s="49"/>
      <c r="C12" s="50"/>
      <c r="D12" s="49"/>
      <c r="E12" s="49"/>
      <c r="F12" s="49"/>
      <c r="G12" s="49"/>
      <c r="H12" s="49"/>
      <c r="I12" s="49"/>
      <c r="J12" s="49"/>
      <c r="K12" s="49"/>
      <c r="L12" s="49"/>
      <c r="M12" s="49"/>
      <c r="N12" s="49"/>
      <c r="O12" s="49"/>
      <c r="P12" s="49"/>
    </row>
    <row r="13" spans="2:16" ht="19.5" customHeight="1" x14ac:dyDescent="0.25">
      <c r="B13" s="49"/>
      <c r="C13" s="50"/>
      <c r="D13" s="49"/>
      <c r="E13" s="49"/>
      <c r="F13" s="49"/>
      <c r="G13" s="49"/>
      <c r="H13" s="49"/>
      <c r="I13" s="49"/>
      <c r="J13" s="49"/>
      <c r="K13" s="49"/>
      <c r="L13" s="49"/>
      <c r="M13" s="49"/>
      <c r="N13" s="49"/>
      <c r="O13" s="49"/>
      <c r="P13" s="49"/>
    </row>
    <row r="14" spans="2:16" ht="19.5" customHeight="1" x14ac:dyDescent="0.3">
      <c r="B14" s="49"/>
      <c r="C14" s="546" t="s">
        <v>646</v>
      </c>
      <c r="D14" s="547"/>
      <c r="E14" s="547" t="s">
        <v>647</v>
      </c>
      <c r="F14" s="547"/>
      <c r="G14" s="547"/>
      <c r="H14" s="547" t="s">
        <v>648</v>
      </c>
      <c r="I14" s="547"/>
      <c r="J14" s="49"/>
      <c r="K14" s="49"/>
      <c r="L14" s="49"/>
      <c r="M14" s="49"/>
      <c r="N14" s="49"/>
      <c r="O14" s="49"/>
      <c r="P14" s="49"/>
    </row>
    <row r="15" spans="2:16" ht="19.5" customHeight="1" x14ac:dyDescent="0.25">
      <c r="B15" s="49"/>
      <c r="C15" s="541" t="s">
        <v>506</v>
      </c>
      <c r="D15" s="49"/>
      <c r="E15" s="541" t="s">
        <v>505</v>
      </c>
      <c r="F15" s="49"/>
      <c r="G15" s="49"/>
      <c r="H15" s="541" t="s">
        <v>649</v>
      </c>
      <c r="I15" s="49"/>
      <c r="J15" s="49"/>
      <c r="K15" s="49"/>
      <c r="L15" s="49"/>
      <c r="M15" s="49"/>
      <c r="N15" s="49"/>
      <c r="O15" s="49"/>
      <c r="P15" s="49"/>
    </row>
    <row r="16" spans="2:16" ht="19.5" customHeight="1" x14ac:dyDescent="0.25">
      <c r="B16" s="49"/>
      <c r="C16" s="541" t="s">
        <v>508</v>
      </c>
      <c r="D16" s="49"/>
      <c r="E16" s="541" t="s">
        <v>599</v>
      </c>
      <c r="F16" s="49"/>
      <c r="G16" s="49"/>
      <c r="H16" s="541" t="s">
        <v>507</v>
      </c>
      <c r="I16" s="49"/>
      <c r="J16" s="49"/>
      <c r="K16" s="49"/>
      <c r="L16" s="49"/>
      <c r="M16" s="49"/>
      <c r="N16" s="49"/>
      <c r="O16" s="540"/>
      <c r="P16" s="49"/>
    </row>
    <row r="17" spans="2:16" ht="19.5" customHeight="1" x14ac:dyDescent="0.25">
      <c r="B17" s="49"/>
      <c r="C17" s="541" t="s">
        <v>167</v>
      </c>
      <c r="D17" s="49"/>
      <c r="E17" s="541" t="s">
        <v>663</v>
      </c>
      <c r="F17" s="49"/>
      <c r="G17" s="49"/>
      <c r="H17" s="541" t="s">
        <v>511</v>
      </c>
      <c r="I17" s="49"/>
      <c r="J17" s="49"/>
      <c r="K17" s="49"/>
      <c r="L17" s="49"/>
      <c r="M17" s="49"/>
      <c r="N17" s="49"/>
      <c r="O17" s="540"/>
      <c r="P17" s="49"/>
    </row>
    <row r="18" spans="2:16" ht="19.5" customHeight="1" x14ac:dyDescent="0.25">
      <c r="B18" s="49"/>
      <c r="C18" s="541" t="s">
        <v>228</v>
      </c>
      <c r="D18" s="49"/>
      <c r="E18" s="541"/>
      <c r="F18" s="49"/>
      <c r="G18" s="49"/>
      <c r="H18" s="541" t="s">
        <v>510</v>
      </c>
      <c r="I18" s="49"/>
      <c r="J18" s="49"/>
      <c r="K18" s="49"/>
      <c r="L18" s="49"/>
      <c r="M18" s="49"/>
      <c r="N18" s="49"/>
      <c r="O18" s="540"/>
      <c r="P18" s="49"/>
    </row>
    <row r="19" spans="2:16" ht="19.5" customHeight="1" x14ac:dyDescent="0.25">
      <c r="B19" s="49"/>
      <c r="C19" s="541" t="s">
        <v>433</v>
      </c>
      <c r="D19" s="49"/>
      <c r="E19" s="49"/>
      <c r="F19" s="49"/>
      <c r="G19" s="49"/>
      <c r="H19" s="49"/>
      <c r="I19" s="49"/>
      <c r="J19" s="49"/>
      <c r="K19" s="49"/>
      <c r="L19" s="49"/>
      <c r="M19" s="49"/>
      <c r="N19" s="49"/>
      <c r="O19" s="540"/>
      <c r="P19" s="49"/>
    </row>
    <row r="20" spans="2:16" ht="19.5" customHeight="1" x14ac:dyDescent="0.25">
      <c r="B20" s="49"/>
      <c r="C20" s="541" t="s">
        <v>474</v>
      </c>
      <c r="D20" s="49"/>
      <c r="E20" s="49"/>
      <c r="F20" s="49"/>
      <c r="G20" s="49"/>
      <c r="H20" s="49"/>
      <c r="I20" s="49"/>
      <c r="J20" s="49"/>
      <c r="K20" s="49"/>
      <c r="L20" s="49"/>
      <c r="M20" s="49"/>
      <c r="N20" s="49"/>
      <c r="O20" s="540"/>
      <c r="P20" s="49"/>
    </row>
    <row r="21" spans="2:16" ht="19.5" customHeight="1" x14ac:dyDescent="0.25">
      <c r="B21" s="49"/>
      <c r="C21" s="541" t="s">
        <v>482</v>
      </c>
      <c r="D21" s="49"/>
      <c r="E21" s="49"/>
      <c r="F21" s="49"/>
      <c r="G21" s="49"/>
      <c r="H21" s="49"/>
      <c r="I21" s="49"/>
      <c r="J21" s="49"/>
      <c r="K21" s="49"/>
      <c r="L21" s="49"/>
      <c r="M21" s="49"/>
      <c r="N21" s="49"/>
      <c r="O21" s="540"/>
      <c r="P21" s="49"/>
    </row>
    <row r="22" spans="2:16" ht="19.5" customHeight="1" x14ac:dyDescent="0.25">
      <c r="B22" s="49"/>
      <c r="C22" s="541" t="s">
        <v>512</v>
      </c>
      <c r="D22" s="49"/>
      <c r="E22" s="49"/>
      <c r="F22" s="49"/>
      <c r="G22" s="49"/>
      <c r="H22" s="49"/>
      <c r="I22" s="49"/>
      <c r="J22" s="49"/>
      <c r="K22" s="49"/>
      <c r="L22" s="49"/>
      <c r="M22" s="49"/>
      <c r="N22" s="49"/>
      <c r="O22" s="540"/>
      <c r="P22" s="49"/>
    </row>
    <row r="23" spans="2:16" ht="19.5" customHeight="1" x14ac:dyDescent="0.25">
      <c r="B23" s="49"/>
      <c r="C23" s="541" t="s">
        <v>326</v>
      </c>
      <c r="D23" s="49"/>
      <c r="E23" s="49"/>
      <c r="F23" s="49"/>
      <c r="G23" s="49"/>
      <c r="H23" s="49"/>
      <c r="I23" s="49"/>
      <c r="J23" s="49"/>
      <c r="K23" s="49"/>
      <c r="L23" s="49"/>
      <c r="M23" s="49"/>
      <c r="N23" s="49"/>
      <c r="O23" s="540"/>
      <c r="P23" s="49"/>
    </row>
    <row r="24" spans="2:16" ht="19.5" customHeight="1" x14ac:dyDescent="0.25">
      <c r="B24" s="49"/>
      <c r="C24" s="541" t="s">
        <v>194</v>
      </c>
      <c r="D24" s="49"/>
      <c r="E24" s="49"/>
      <c r="F24" s="49"/>
      <c r="G24" s="49"/>
      <c r="H24" s="49"/>
      <c r="I24" s="49"/>
      <c r="J24" s="49"/>
      <c r="K24" s="49"/>
      <c r="L24" s="49"/>
      <c r="M24" s="49"/>
      <c r="N24" s="49"/>
      <c r="O24" s="540"/>
      <c r="P24" s="49"/>
    </row>
    <row r="25" spans="2:16" ht="19.5" customHeight="1" x14ac:dyDescent="0.25">
      <c r="B25" s="49"/>
      <c r="C25" s="541"/>
      <c r="D25" s="49"/>
      <c r="E25" s="49"/>
      <c r="F25" s="49"/>
      <c r="G25" s="49"/>
      <c r="H25" s="49"/>
      <c r="I25" s="49"/>
      <c r="J25" s="49"/>
      <c r="K25" s="49"/>
      <c r="L25" s="49"/>
      <c r="M25" s="49"/>
      <c r="N25" s="49"/>
      <c r="O25" s="540"/>
      <c r="P25" s="49"/>
    </row>
    <row r="26" spans="2:16" ht="19.5" customHeight="1" x14ac:dyDescent="0.25">
      <c r="B26" s="49"/>
      <c r="C26" s="541"/>
      <c r="D26" s="49"/>
      <c r="E26" s="49"/>
      <c r="F26" s="49"/>
      <c r="G26" s="49"/>
      <c r="H26" s="49"/>
      <c r="I26" s="49"/>
      <c r="J26" s="49"/>
      <c r="K26" s="49"/>
      <c r="L26" s="49"/>
      <c r="M26" s="49"/>
      <c r="N26" s="49"/>
      <c r="O26" s="540"/>
      <c r="P26" s="49"/>
    </row>
    <row r="27" spans="2:16" ht="19.5" customHeight="1" x14ac:dyDescent="0.25">
      <c r="B27" s="49"/>
      <c r="C27" s="49" t="s">
        <v>199</v>
      </c>
      <c r="D27" s="49"/>
      <c r="E27" s="49"/>
      <c r="F27" s="49"/>
      <c r="G27" s="49"/>
      <c r="H27" s="49"/>
      <c r="I27" s="49"/>
      <c r="J27" s="49"/>
      <c r="K27" s="49"/>
      <c r="L27" s="49"/>
      <c r="M27" s="49"/>
      <c r="N27" s="49"/>
      <c r="O27" s="49"/>
      <c r="P27" s="49"/>
    </row>
    <row r="28" spans="2:16" ht="19.5" customHeight="1" x14ac:dyDescent="0.25">
      <c r="B28" s="49"/>
      <c r="C28" s="542" t="s">
        <v>200</v>
      </c>
      <c r="D28" s="543"/>
      <c r="E28" s="543"/>
      <c r="F28" s="543"/>
      <c r="G28" s="543"/>
      <c r="H28" s="543"/>
      <c r="I28" s="543"/>
      <c r="J28" s="543"/>
      <c r="K28" s="543"/>
      <c r="L28" s="543"/>
      <c r="M28" s="543"/>
      <c r="N28" s="543"/>
      <c r="O28" s="543"/>
      <c r="P28" s="49"/>
    </row>
    <row r="29" spans="2:16" ht="19.5" customHeight="1" x14ac:dyDescent="0.25">
      <c r="B29" s="49"/>
      <c r="C29" s="544" t="s">
        <v>726</v>
      </c>
      <c r="D29" s="49"/>
      <c r="E29" s="49"/>
      <c r="F29" s="49"/>
      <c r="G29" s="49"/>
      <c r="H29" s="49"/>
      <c r="I29" s="49"/>
      <c r="J29" s="49"/>
      <c r="K29" s="49"/>
      <c r="L29" s="49"/>
      <c r="M29" s="49"/>
      <c r="N29" s="49"/>
      <c r="O29" s="49"/>
      <c r="P29" s="49"/>
    </row>
    <row r="30" spans="2:16" ht="19.5" customHeight="1" x14ac:dyDescent="0.25">
      <c r="B30" s="49"/>
      <c r="C30" s="544" t="s">
        <v>201</v>
      </c>
      <c r="D30" s="49"/>
      <c r="E30" s="49"/>
      <c r="F30" s="49"/>
      <c r="G30" s="49"/>
      <c r="H30" s="49"/>
      <c r="I30" s="49"/>
      <c r="J30" s="49"/>
      <c r="K30" s="49"/>
      <c r="L30" s="49"/>
      <c r="M30" s="49"/>
      <c r="N30" s="49"/>
      <c r="O30" s="49"/>
      <c r="P30" s="49"/>
    </row>
    <row r="31" spans="2:16" ht="19.5" customHeight="1" x14ac:dyDescent="0.25">
      <c r="B31" s="49"/>
      <c r="C31" s="544" t="s">
        <v>202</v>
      </c>
      <c r="D31" s="49"/>
      <c r="E31" s="49"/>
      <c r="F31" s="49"/>
      <c r="G31" s="49"/>
      <c r="H31" s="49"/>
      <c r="I31" s="49"/>
      <c r="J31" s="49"/>
      <c r="K31" s="49"/>
      <c r="L31" s="49"/>
      <c r="M31" s="49"/>
      <c r="N31" s="49"/>
      <c r="O31" s="49"/>
      <c r="P31" s="49"/>
    </row>
    <row r="32" spans="2:16" ht="19.5" customHeight="1" x14ac:dyDescent="0.25">
      <c r="B32" s="49"/>
      <c r="C32" s="545" t="s">
        <v>203</v>
      </c>
      <c r="D32" s="49"/>
      <c r="E32" s="49"/>
      <c r="F32" s="49"/>
      <c r="G32" s="49"/>
      <c r="H32" s="49"/>
      <c r="I32" s="49"/>
      <c r="J32" s="49"/>
      <c r="K32" s="49"/>
      <c r="L32" s="49"/>
      <c r="M32" s="49"/>
      <c r="N32" s="49"/>
      <c r="O32" s="49"/>
      <c r="P32" s="49"/>
    </row>
    <row r="33" spans="2:16" ht="19.5" customHeight="1" x14ac:dyDescent="0.25">
      <c r="B33" s="49"/>
      <c r="C33" s="49"/>
      <c r="D33" s="49"/>
      <c r="E33" s="49"/>
      <c r="F33" s="49"/>
      <c r="G33" s="49"/>
      <c r="H33" s="49"/>
      <c r="I33" s="49"/>
      <c r="J33" s="49"/>
      <c r="K33" s="49"/>
      <c r="L33" s="49"/>
      <c r="M33" s="49"/>
      <c r="N33" s="49"/>
      <c r="O33" s="49"/>
      <c r="P33" s="49"/>
    </row>
    <row r="34" spans="2:16" s="52" customFormat="1" ht="19.5" customHeight="1" x14ac:dyDescent="0.25">
      <c r="B34" s="56"/>
      <c r="C34" s="54" t="s">
        <v>504</v>
      </c>
      <c r="D34" s="55"/>
      <c r="E34" s="55"/>
      <c r="F34" s="55"/>
      <c r="G34" s="55"/>
      <c r="H34" s="55"/>
      <c r="I34" s="55"/>
      <c r="J34" s="55"/>
      <c r="K34" s="55"/>
      <c r="L34" s="55"/>
      <c r="M34" s="55"/>
      <c r="N34" s="55"/>
      <c r="O34" s="415"/>
      <c r="P34" s="53"/>
    </row>
    <row r="35" spans="2:16" s="52" customFormat="1" ht="19.5" customHeight="1" x14ac:dyDescent="0.25">
      <c r="B35" s="56"/>
      <c r="C35" s="54" t="s">
        <v>204</v>
      </c>
      <c r="D35" s="54"/>
      <c r="E35" s="54"/>
      <c r="F35" s="54"/>
      <c r="G35" s="54"/>
      <c r="H35" s="54"/>
      <c r="I35" s="54"/>
      <c r="J35" s="54"/>
      <c r="K35" s="54"/>
      <c r="L35" s="54"/>
      <c r="M35" s="54"/>
      <c r="N35" s="54"/>
      <c r="O35" s="416"/>
      <c r="P35" s="56"/>
    </row>
    <row r="36" spans="2:16" s="52" customFormat="1" ht="19.5" customHeight="1" x14ac:dyDescent="0.25">
      <c r="B36" s="56"/>
      <c r="C36" s="54" t="s">
        <v>205</v>
      </c>
      <c r="D36" s="54"/>
      <c r="E36" s="54"/>
      <c r="F36" s="54"/>
      <c r="G36" s="54"/>
      <c r="H36" s="54"/>
      <c r="I36" s="54"/>
      <c r="J36" s="54"/>
      <c r="K36" s="54"/>
      <c r="L36" s="54"/>
      <c r="M36" s="54"/>
      <c r="N36" s="54"/>
      <c r="O36" s="416"/>
      <c r="P36" s="56"/>
    </row>
    <row r="37" spans="2:16" s="52" customFormat="1" ht="19.5" customHeight="1" x14ac:dyDescent="0.25">
      <c r="B37" s="56"/>
      <c r="C37" s="54" t="s">
        <v>206</v>
      </c>
      <c r="D37" s="54"/>
      <c r="E37" s="54"/>
      <c r="F37" s="54"/>
      <c r="G37" s="54"/>
      <c r="H37" s="54"/>
      <c r="I37" s="54"/>
      <c r="J37" s="54"/>
      <c r="K37" s="54"/>
      <c r="L37" s="54"/>
      <c r="M37" s="54"/>
      <c r="N37" s="54"/>
      <c r="O37" s="416"/>
      <c r="P37" s="56"/>
    </row>
    <row r="38" spans="2:16" s="52" customFormat="1" ht="19.5" customHeight="1" x14ac:dyDescent="0.25">
      <c r="B38" s="56"/>
      <c r="C38" s="54"/>
      <c r="D38" s="54"/>
      <c r="E38" s="54"/>
      <c r="F38" s="54"/>
      <c r="G38" s="54"/>
      <c r="H38" s="54"/>
      <c r="I38" s="54"/>
      <c r="J38" s="54"/>
      <c r="K38" s="54"/>
      <c r="L38" s="54"/>
      <c r="M38" s="54"/>
      <c r="N38" s="54"/>
      <c r="O38" s="416"/>
      <c r="P38" s="56"/>
    </row>
    <row r="39" spans="2:16" s="52" customFormat="1" ht="19.5" customHeight="1" x14ac:dyDescent="0.25">
      <c r="B39" s="56"/>
      <c r="C39" s="56"/>
      <c r="D39" s="56"/>
      <c r="E39" s="56"/>
      <c r="F39" s="56"/>
      <c r="G39" s="56"/>
      <c r="H39" s="56"/>
      <c r="I39" s="56"/>
      <c r="J39" s="56"/>
      <c r="K39" s="56"/>
      <c r="L39" s="56"/>
      <c r="M39" s="56"/>
      <c r="N39" s="56"/>
      <c r="O39" s="56"/>
      <c r="P39" s="56"/>
    </row>
    <row r="40" spans="2:16" ht="19.5" customHeight="1" x14ac:dyDescent="0.25"/>
    <row r="41" spans="2:16" ht="19.5" customHeight="1" x14ac:dyDescent="0.25">
      <c r="B41" s="51"/>
      <c r="C41" s="51"/>
      <c r="D41" s="51"/>
      <c r="E41" s="51"/>
      <c r="F41" s="51"/>
      <c r="G41" s="51"/>
      <c r="H41" s="51"/>
      <c r="I41" s="51"/>
      <c r="J41" s="51"/>
      <c r="K41" s="51"/>
      <c r="L41" s="51"/>
      <c r="M41" s="51"/>
      <c r="N41" s="51"/>
      <c r="O41" s="51"/>
      <c r="P41" s="51"/>
    </row>
    <row r="42" spans="2:16" ht="167.25" customHeight="1" x14ac:dyDescent="0.25">
      <c r="B42" s="51"/>
      <c r="C42" s="589" t="s">
        <v>656</v>
      </c>
      <c r="D42" s="590"/>
      <c r="E42" s="590"/>
      <c r="F42" s="590"/>
      <c r="G42" s="590"/>
      <c r="H42" s="590"/>
      <c r="I42" s="590"/>
      <c r="J42" s="590"/>
      <c r="K42" s="590"/>
      <c r="L42" s="590"/>
      <c r="M42" s="590"/>
      <c r="N42" s="590"/>
      <c r="O42" s="590"/>
      <c r="P42" s="51"/>
    </row>
  </sheetData>
  <mergeCells count="1">
    <mergeCell ref="C42:O42"/>
  </mergeCells>
  <hyperlinks>
    <hyperlink ref="C32" r:id="rId1" xr:uid="{B32A0684-C8E3-4ACF-91CA-1E7FA9CFE7C0}"/>
    <hyperlink ref="C15" location="'Control Panel'!A1" display="Control Panel" xr:uid="{2BF9550B-2854-4611-BF91-CF3E772F8698}"/>
    <hyperlink ref="H15" location="'Financial Statements'!A1" display="Financial Statements" xr:uid="{C3380309-0E23-481C-B73D-F3DAB539BF38}"/>
    <hyperlink ref="C16" location="Scenarios!A1" display="Scenerios" xr:uid="{C8634F68-F5D5-4EFF-BDC5-28909058C4E3}"/>
    <hyperlink ref="H16" location="DCF!A1" display="DCF" xr:uid="{9896736D-94A0-4B68-8985-2524179E81B9}"/>
    <hyperlink ref="C17" location="WACC!A1" display="WACC" xr:uid="{D107ED4D-3CED-4870-B74C-DCD8AA05705B}"/>
    <hyperlink ref="H18" location="PrecedentsVal!A1" display="Precedent Transactions Valuation" xr:uid="{017833D7-7897-41E6-9D00-2E61686A9F5D}"/>
    <hyperlink ref="C19" location="Precedents!A1" display="Precedent M&amp;A Transactions" xr:uid="{DBB6FC16-0F5A-41D6-9BC7-AA8455F7EA89}"/>
    <hyperlink ref="H17" location="SOTP!A1" display="Sum-of-the-parts Analysis" xr:uid="{95121234-E751-4572-8082-FBB76374CA62}"/>
    <hyperlink ref="C18" location="Comps!A1" display="Comparable Trading Metrics" xr:uid="{F494FC1D-2A63-4914-AA5D-2C978C99E682}"/>
    <hyperlink ref="C20" location="'Cover Page'!A1" display="Market Size" xr:uid="{ADEEDEA8-B9B6-4E1D-9AFD-8BAB5E6715DD}"/>
    <hyperlink ref="C22" location="Consensus!A1" display="Consensus" xr:uid="{B7A36E60-7254-494F-BF31-2A02675E0514}"/>
    <hyperlink ref="C23" location="'Raw Data'!A1" display="Historical Financial Information" xr:uid="{AA92B286-469A-4EA1-B2C5-22A2E2DE9882}"/>
    <hyperlink ref="C21" location="Macro!A1" display="Macroeconomic Analysis" xr:uid="{96910B05-62E2-4700-9DDB-A9E940143D3B}"/>
    <hyperlink ref="C24" location="'Share Price'!A1" display="Share Price Chart" xr:uid="{6095E709-49C5-4FF7-BD18-AF9CCBF05273}"/>
    <hyperlink ref="E16" location="'Implied Value Summary'!A1" display="Implied Value Summary" xr:uid="{024EFE06-ED02-45C2-A3CB-32791216D155}"/>
    <hyperlink ref="E17" location="Outputs!A1" display="Summary Outputs" xr:uid="{AC125A31-1D5E-4E40-A8B9-2A1774CB2220}"/>
    <hyperlink ref="E15" location="Dashboard!A1" display="Dashboard" xr:uid="{6D6D789F-2F25-4356-9E2B-59A6AB9B0AD7}"/>
  </hyperlinks>
  <pageMargins left="0.7" right="0.7" top="0.75" bottom="0.75" header="0.3" footer="0.3"/>
  <pageSetup scale="63" orientation="landscape" r:id="rId2"/>
  <rowBreaks count="1" manualBreakCount="1">
    <brk id="39" max="16383" man="1"/>
  </rowBreak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DDEF6-5B7D-46A2-B985-F7B7CFC7D556}">
  <dimension ref="A1:AO39"/>
  <sheetViews>
    <sheetView showGridLines="0" zoomScale="73" zoomScaleNormal="100" workbookViewId="0">
      <selection activeCell="AD8" sqref="AD8"/>
    </sheetView>
  </sheetViews>
  <sheetFormatPr defaultColWidth="10.75" defaultRowHeight="15.6" x14ac:dyDescent="0.3"/>
  <cols>
    <col min="1" max="2" width="3.375" style="69" customWidth="1"/>
    <col min="3" max="8" width="10.75" style="69" customWidth="1"/>
    <col min="9" max="9" width="3.75" style="69" customWidth="1"/>
    <col min="10" max="16" width="10.75" style="69" customWidth="1"/>
    <col min="17" max="17" width="3.75" style="69" customWidth="1"/>
    <col min="18" max="20" width="10.75" style="69" customWidth="1"/>
    <col min="21" max="21" width="11.75" style="69" bestFit="1" customWidth="1"/>
    <col min="22" max="22" width="5.75" style="69" customWidth="1"/>
    <col min="23" max="26" width="10.75" style="69" customWidth="1"/>
    <col min="27" max="28" width="3.375" style="69" customWidth="1"/>
    <col min="29" max="31" width="9.125" style="69" customWidth="1"/>
    <col min="32" max="32" width="27.875" style="69" bestFit="1" customWidth="1"/>
    <col min="33" max="40" width="10.875" style="69" bestFit="1" customWidth="1"/>
    <col min="41" max="41" width="11.75" style="69" bestFit="1" customWidth="1"/>
    <col min="42" max="16384" width="10.75" style="69"/>
  </cols>
  <sheetData>
    <row r="1" spans="1:41" ht="16.2" thickBot="1" x14ac:dyDescent="0.35">
      <c r="A1" s="387"/>
      <c r="B1" s="387"/>
      <c r="C1" s="387"/>
      <c r="D1" s="387"/>
      <c r="E1" s="387"/>
      <c r="F1" s="387"/>
      <c r="G1" s="387"/>
      <c r="H1" s="387"/>
      <c r="I1" s="387"/>
      <c r="J1" s="387"/>
      <c r="K1" s="387"/>
      <c r="L1" s="387"/>
      <c r="M1" s="387"/>
      <c r="N1" s="387"/>
      <c r="O1" s="387"/>
      <c r="P1" s="387"/>
      <c r="Q1" s="387"/>
    </row>
    <row r="2" spans="1:41" ht="16.2" thickTop="1" x14ac:dyDescent="0.3">
      <c r="B2" s="159"/>
      <c r="C2" s="160"/>
      <c r="D2" s="160"/>
      <c r="E2" s="160"/>
      <c r="F2" s="160"/>
      <c r="G2" s="160"/>
      <c r="H2" s="160"/>
      <c r="I2" s="160"/>
      <c r="J2" s="160"/>
      <c r="K2" s="160"/>
      <c r="L2" s="160"/>
      <c r="M2" s="160"/>
      <c r="N2" s="160"/>
      <c r="O2" s="160"/>
      <c r="P2" s="160"/>
      <c r="Q2" s="160"/>
      <c r="R2" s="160"/>
      <c r="S2" s="160"/>
      <c r="T2" s="160"/>
      <c r="U2" s="160"/>
      <c r="V2" s="160"/>
      <c r="W2" s="160"/>
      <c r="X2" s="160"/>
      <c r="Y2" s="160"/>
      <c r="Z2" s="160"/>
      <c r="AA2" s="161"/>
    </row>
    <row r="3" spans="1:41" x14ac:dyDescent="0.3">
      <c r="B3" s="162"/>
      <c r="F3" s="112" t="s">
        <v>184</v>
      </c>
      <c r="H3" s="112"/>
      <c r="J3" s="112" t="s">
        <v>667</v>
      </c>
      <c r="K3" s="112"/>
      <c r="L3" s="112"/>
      <c r="M3" s="148">
        <f>+AK24</f>
        <v>3685.0809501023573</v>
      </c>
      <c r="P3" s="581"/>
      <c r="V3" s="163"/>
      <c r="W3" s="163"/>
      <c r="X3" s="163"/>
      <c r="AA3" s="164"/>
    </row>
    <row r="4" spans="1:41" x14ac:dyDescent="0.3">
      <c r="B4" s="162"/>
      <c r="E4" s="112"/>
      <c r="F4" s="1" t="str">
        <f>'Control Panel'!$B$11&amp;":"</f>
        <v>Valuation Date:</v>
      </c>
      <c r="H4" s="386">
        <f>_Vdate</f>
        <v>44275</v>
      </c>
      <c r="J4" s="112" t="s">
        <v>185</v>
      </c>
      <c r="K4" s="112"/>
      <c r="L4" s="112"/>
      <c r="M4" s="192" t="str">
        <f>+IF(M3&gt;U8*(1+'Control Panel'!$F$41),"Buy",IF(M3&lt;U8*(1+'Control Panel'!$F$39),"Sell","Hold"))</f>
        <v>Buy</v>
      </c>
      <c r="O4" s="582"/>
      <c r="P4" s="112"/>
      <c r="R4" s="112"/>
      <c r="T4" s="113"/>
      <c r="U4" s="385"/>
      <c r="V4" s="163"/>
      <c r="W4" s="163"/>
      <c r="X4" s="163"/>
      <c r="AA4" s="164"/>
    </row>
    <row r="5" spans="1:41" x14ac:dyDescent="0.3">
      <c r="B5" s="162"/>
      <c r="AA5" s="164"/>
    </row>
    <row r="6" spans="1:41" x14ac:dyDescent="0.3">
      <c r="B6" s="162"/>
      <c r="C6" s="165" t="s">
        <v>187</v>
      </c>
      <c r="D6" s="166"/>
      <c r="E6" s="166"/>
      <c r="F6" s="166"/>
      <c r="G6" s="166"/>
      <c r="H6" s="167"/>
      <c r="I6" s="166"/>
      <c r="J6" s="166"/>
      <c r="K6" s="166"/>
      <c r="L6" s="166"/>
      <c r="M6" s="166"/>
      <c r="N6" s="165"/>
      <c r="O6" s="165"/>
      <c r="P6" s="166"/>
      <c r="R6" s="165" t="s">
        <v>366</v>
      </c>
      <c r="S6" s="167"/>
      <c r="T6" s="166"/>
      <c r="U6" s="166"/>
      <c r="W6" s="165" t="s">
        <v>365</v>
      </c>
      <c r="X6" s="165"/>
      <c r="Y6" s="166"/>
      <c r="Z6" s="166"/>
      <c r="AA6" s="164"/>
    </row>
    <row r="7" spans="1:41" ht="5.25" customHeight="1" x14ac:dyDescent="0.3">
      <c r="B7" s="162"/>
      <c r="C7" s="112"/>
      <c r="H7" s="112"/>
      <c r="N7" s="112"/>
      <c r="O7" s="112"/>
      <c r="T7" s="112"/>
      <c r="Y7" s="168"/>
      <c r="AA7" s="164"/>
    </row>
    <row r="8" spans="1:41" x14ac:dyDescent="0.3">
      <c r="B8" s="162"/>
      <c r="J8" s="169"/>
      <c r="Q8" s="146"/>
      <c r="R8" s="69" t="s">
        <v>367</v>
      </c>
      <c r="U8" s="152">
        <f>+Comps!D10</f>
        <v>3074.96</v>
      </c>
      <c r="Y8" s="147"/>
      <c r="AA8" s="164"/>
    </row>
    <row r="9" spans="1:41" x14ac:dyDescent="0.3">
      <c r="B9" s="162"/>
      <c r="E9" s="170"/>
      <c r="J9" s="171"/>
      <c r="Q9" s="172"/>
      <c r="R9" s="69" t="s">
        <v>172</v>
      </c>
      <c r="U9" s="152">
        <f>+Comps!F10</f>
        <v>1593444.2720000001</v>
      </c>
      <c r="Y9" s="147"/>
      <c r="AA9" s="164"/>
    </row>
    <row r="10" spans="1:41" x14ac:dyDescent="0.3">
      <c r="B10" s="162"/>
      <c r="E10" s="170"/>
      <c r="Q10" s="173"/>
      <c r="R10" s="69" t="s">
        <v>240</v>
      </c>
      <c r="U10" s="152">
        <f>+Comps!I10</f>
        <v>59107</v>
      </c>
      <c r="Y10" s="147"/>
      <c r="AA10" s="164"/>
    </row>
    <row r="11" spans="1:41" x14ac:dyDescent="0.3">
      <c r="B11" s="162"/>
      <c r="E11" s="174"/>
      <c r="P11" s="175"/>
      <c r="Q11" s="176"/>
      <c r="R11" s="69" t="s">
        <v>173</v>
      </c>
      <c r="U11" s="152">
        <f>+Comps!J10</f>
        <v>1652551.2720000001</v>
      </c>
      <c r="Y11" s="177"/>
      <c r="AA11" s="164"/>
    </row>
    <row r="12" spans="1:41" x14ac:dyDescent="0.3">
      <c r="B12" s="162"/>
      <c r="E12" s="178"/>
      <c r="Q12" s="158"/>
      <c r="AA12" s="164"/>
      <c r="AH12" s="292" t="s">
        <v>513</v>
      </c>
      <c r="AI12" s="292"/>
      <c r="AJ12" s="292"/>
      <c r="AK12" s="292"/>
      <c r="AL12" s="292"/>
      <c r="AM12" s="292"/>
      <c r="AN12" s="292"/>
      <c r="AO12" s="292"/>
    </row>
    <row r="13" spans="1:41" x14ac:dyDescent="0.3">
      <c r="B13" s="162"/>
      <c r="J13" s="179"/>
      <c r="K13" s="180"/>
      <c r="Q13" s="158"/>
      <c r="T13" s="190" t="s">
        <v>368</v>
      </c>
      <c r="U13" s="190" t="s">
        <v>369</v>
      </c>
      <c r="Z13" s="181"/>
      <c r="AA13" s="164"/>
      <c r="AC13" s="239"/>
      <c r="AD13" s="239"/>
      <c r="AH13" s="78">
        <f>'Financial Statements'!E5</f>
        <v>2018</v>
      </c>
      <c r="AI13" s="78">
        <f>'Financial Statements'!F5</f>
        <v>2019</v>
      </c>
      <c r="AJ13" s="78">
        <f>'Financial Statements'!G5</f>
        <v>2020</v>
      </c>
      <c r="AK13" s="79">
        <f>'Financial Statements'!H5</f>
        <v>2021</v>
      </c>
      <c r="AL13" s="79">
        <f>'Financial Statements'!I5</f>
        <v>2022</v>
      </c>
      <c r="AM13" s="79">
        <f>'Financial Statements'!J5</f>
        <v>2023</v>
      </c>
      <c r="AN13" s="79">
        <f>'Financial Statements'!K5</f>
        <v>2024</v>
      </c>
      <c r="AO13" s="79">
        <f>'Financial Statements'!L5</f>
        <v>2025</v>
      </c>
    </row>
    <row r="14" spans="1:41" x14ac:dyDescent="0.3">
      <c r="B14" s="162"/>
      <c r="R14" s="69" t="s">
        <v>370</v>
      </c>
      <c r="T14" s="191">
        <f>U11/AK14</f>
        <v>31.748905331832255</v>
      </c>
      <c r="U14" s="191">
        <f>U11/AL14</f>
        <v>24.710420197100241</v>
      </c>
      <c r="Z14" s="182"/>
      <c r="AA14" s="164"/>
      <c r="AF14" s="69" t="str">
        <f>'Financial Statements'!B334</f>
        <v>EBITDA (Excluding SBC)</v>
      </c>
      <c r="AH14" s="152">
        <f>'Financial Statements'!E334</f>
        <v>33180</v>
      </c>
      <c r="AI14" s="152">
        <f>'Financial Statements'!F334</f>
        <v>43194</v>
      </c>
      <c r="AJ14" s="152">
        <f>'Financial Statements'!G334</f>
        <v>57358</v>
      </c>
      <c r="AK14" s="152">
        <f>'Financial Statements'!H334</f>
        <v>52050.653549403178</v>
      </c>
      <c r="AL14" s="152">
        <f>'Financial Statements'!I334</f>
        <v>66876.696503684972</v>
      </c>
      <c r="AM14" s="152">
        <f>'Financial Statements'!J334</f>
        <v>83338.572240235488</v>
      </c>
      <c r="AN14" s="152">
        <f>'Financial Statements'!K334</f>
        <v>101090.50096847929</v>
      </c>
      <c r="AO14" s="152">
        <f>'Financial Statements'!L334</f>
        <v>119784.17885472803</v>
      </c>
    </row>
    <row r="15" spans="1:41" x14ac:dyDescent="0.3">
      <c r="B15" s="162"/>
      <c r="R15" s="69" t="s">
        <v>237</v>
      </c>
      <c r="T15" s="191">
        <f ca="1">U9/AK16</f>
        <v>99.767139535292955</v>
      </c>
      <c r="U15" s="191">
        <f ca="1">U9/AL16</f>
        <v>80.358776994265426</v>
      </c>
      <c r="Z15" s="182"/>
      <c r="AA15" s="164"/>
      <c r="AF15" s="69" t="str">
        <f>'Financial Statements'!B345</f>
        <v>Free Cash Flow to Firm (FCFF)</v>
      </c>
      <c r="AH15" s="152">
        <f>'Financial Statements'!E345</f>
        <v>17748.438000000002</v>
      </c>
      <c r="AI15" s="152">
        <f>'Financial Statements'!F345</f>
        <v>24095.797999999995</v>
      </c>
      <c r="AJ15" s="152">
        <f>'Financial Statements'!G345</f>
        <v>25214.521999999997</v>
      </c>
      <c r="AK15" s="152">
        <f>'Financial Statements'!H345</f>
        <v>20613.91861976662</v>
      </c>
      <c r="AL15" s="152">
        <f>'Financial Statements'!I345</f>
        <v>40835.291584577695</v>
      </c>
      <c r="AM15" s="152">
        <f>'Financial Statements'!J345</f>
        <v>48539.052532119618</v>
      </c>
      <c r="AN15" s="152">
        <f>'Financial Statements'!K345</f>
        <v>56623.673220765355</v>
      </c>
      <c r="AO15" s="152">
        <f>'Financial Statements'!L345</f>
        <v>65479.927654103223</v>
      </c>
    </row>
    <row r="16" spans="1:41" x14ac:dyDescent="0.3">
      <c r="B16" s="162"/>
      <c r="T16" s="191"/>
      <c r="U16" s="191"/>
      <c r="Z16" s="182"/>
      <c r="AA16" s="164"/>
      <c r="AC16" s="183"/>
      <c r="AF16" s="69" t="s">
        <v>678</v>
      </c>
      <c r="AH16" s="152">
        <f>'Financial Statements'!E51</f>
        <v>10073</v>
      </c>
      <c r="AI16" s="152">
        <f>'Financial Statements'!F51</f>
        <v>11588</v>
      </c>
      <c r="AJ16" s="152">
        <f>'Financial Statements'!G51</f>
        <v>21331</v>
      </c>
      <c r="AK16" s="152">
        <f ca="1">'Financial Statements'!H51</f>
        <v>15971.634341949975</v>
      </c>
      <c r="AL16" s="152">
        <f ca="1">'Financial Statements'!I51</f>
        <v>19829.125474541652</v>
      </c>
      <c r="AM16" s="152">
        <f ca="1">'Financial Statements'!J51</f>
        <v>24144.008065277267</v>
      </c>
      <c r="AN16" s="152">
        <f ca="1">'Financial Statements'!K51</f>
        <v>28514.286746040711</v>
      </c>
      <c r="AO16" s="152">
        <f ca="1">'Financial Statements'!L51</f>
        <v>32788.30168889997</v>
      </c>
    </row>
    <row r="17" spans="2:41" x14ac:dyDescent="0.3">
      <c r="B17" s="162"/>
      <c r="R17" s="69" t="s">
        <v>371</v>
      </c>
      <c r="T17" s="191"/>
      <c r="U17" s="191">
        <f>+Comps!AD10</f>
        <v>1.0837758554237507</v>
      </c>
      <c r="Z17" s="182"/>
      <c r="AA17" s="164"/>
      <c r="AC17" s="183"/>
    </row>
    <row r="18" spans="2:41" x14ac:dyDescent="0.3">
      <c r="B18" s="162"/>
      <c r="R18" s="69" t="s">
        <v>386</v>
      </c>
      <c r="U18" s="132">
        <f>+Comps!AE10</f>
        <v>0.5201019354374643</v>
      </c>
      <c r="Z18" s="182"/>
      <c r="AA18" s="164"/>
      <c r="AC18" s="183"/>
    </row>
    <row r="19" spans="2:41" x14ac:dyDescent="0.3">
      <c r="B19" s="162"/>
      <c r="Z19" s="182"/>
      <c r="AA19" s="164"/>
    </row>
    <row r="20" spans="2:41" x14ac:dyDescent="0.3">
      <c r="B20" s="162"/>
      <c r="C20" s="165" t="s">
        <v>650</v>
      </c>
      <c r="D20" s="166"/>
      <c r="E20" s="166"/>
      <c r="F20" s="165"/>
      <c r="G20" s="165"/>
      <c r="H20" s="165"/>
      <c r="I20" s="165"/>
      <c r="J20" s="165"/>
      <c r="K20" s="165"/>
      <c r="L20" s="165"/>
      <c r="M20" s="165"/>
      <c r="N20" s="165"/>
      <c r="O20" s="165"/>
      <c r="P20" s="165"/>
      <c r="R20" s="292" t="s">
        <v>193</v>
      </c>
      <c r="S20" s="184"/>
      <c r="T20" s="184"/>
      <c r="U20" s="184"/>
      <c r="V20" s="184"/>
      <c r="W20" s="184"/>
      <c r="X20" s="184"/>
      <c r="Y20" s="184"/>
      <c r="Z20" s="184"/>
      <c r="AA20" s="164"/>
    </row>
    <row r="21" spans="2:41" ht="5.25" customHeight="1" x14ac:dyDescent="0.3">
      <c r="B21" s="162"/>
      <c r="R21" s="149"/>
      <c r="S21" s="185"/>
      <c r="T21" s="185"/>
      <c r="U21" s="185"/>
      <c r="V21" s="185"/>
      <c r="W21" s="185"/>
      <c r="X21" s="185"/>
      <c r="Y21" s="185"/>
      <c r="AA21" s="164"/>
    </row>
    <row r="22" spans="2:41" x14ac:dyDescent="0.3">
      <c r="B22" s="162"/>
      <c r="C22" s="112"/>
      <c r="AA22" s="164"/>
      <c r="AF22" s="186" t="s">
        <v>190</v>
      </c>
      <c r="AI22" s="186" t="s">
        <v>594</v>
      </c>
      <c r="AJ22" s="186"/>
      <c r="AK22" s="186" t="s">
        <v>595</v>
      </c>
      <c r="AL22" s="186"/>
    </row>
    <row r="23" spans="2:41" x14ac:dyDescent="0.3">
      <c r="B23" s="162"/>
      <c r="AA23" s="164"/>
      <c r="AG23" s="467" t="s">
        <v>191</v>
      </c>
      <c r="AH23" s="467" t="s">
        <v>192</v>
      </c>
      <c r="AI23" s="467" t="s">
        <v>592</v>
      </c>
      <c r="AJ23" s="467" t="s">
        <v>593</v>
      </c>
      <c r="AK23" s="467" t="str">
        <f>AI23</f>
        <v>X</v>
      </c>
      <c r="AL23" s="467" t="str">
        <f>AJ23</f>
        <v>Y</v>
      </c>
    </row>
    <row r="24" spans="2:41" x14ac:dyDescent="0.3">
      <c r="B24" s="162"/>
      <c r="AA24" s="164"/>
      <c r="AF24" s="186" t="s">
        <v>598</v>
      </c>
      <c r="AG24" s="548">
        <f>'Implied Value Summary'!E35</f>
        <v>1846.09</v>
      </c>
      <c r="AH24" s="548">
        <f>'Implied Value Summary'!G35</f>
        <v>3531.45</v>
      </c>
      <c r="AI24" s="548">
        <f>$U$8</f>
        <v>3074.96</v>
      </c>
      <c r="AJ24" s="548">
        <v>0</v>
      </c>
      <c r="AK24" s="548">
        <f>AVERAGE(AG26:AH28)</f>
        <v>3685.0809501023573</v>
      </c>
      <c r="AL24" s="548">
        <f>AJ24</f>
        <v>0</v>
      </c>
    </row>
    <row r="25" spans="2:41" x14ac:dyDescent="0.3">
      <c r="B25" s="162"/>
      <c r="AA25" s="164"/>
      <c r="AF25" s="186" t="s">
        <v>596</v>
      </c>
      <c r="AG25" s="548">
        <f>Consensus!$E$36</f>
        <v>3700</v>
      </c>
      <c r="AH25" s="548">
        <f>Consensus!$E$37</f>
        <v>5200</v>
      </c>
      <c r="AI25" s="548">
        <f>AI24</f>
        <v>3074.96</v>
      </c>
      <c r="AJ25" s="548">
        <f>COUNT(AG24:AG28)</f>
        <v>5</v>
      </c>
      <c r="AK25" s="548">
        <f>AK24</f>
        <v>3685.0809501023573</v>
      </c>
      <c r="AL25" s="548">
        <f>AJ25</f>
        <v>5</v>
      </c>
    </row>
    <row r="26" spans="2:41" x14ac:dyDescent="0.3">
      <c r="B26" s="162"/>
      <c r="AA26" s="164"/>
      <c r="AD26" s="186"/>
      <c r="AE26" s="186"/>
      <c r="AF26" s="186" t="s">
        <v>597</v>
      </c>
      <c r="AG26" s="549">
        <v>524.71239093804593</v>
      </c>
      <c r="AH26" s="549">
        <v>2119.4930799564122</v>
      </c>
      <c r="AI26" s="550"/>
      <c r="AJ26" s="550"/>
      <c r="AK26" s="550"/>
      <c r="AL26" s="550"/>
    </row>
    <row r="27" spans="2:41" x14ac:dyDescent="0.3">
      <c r="B27" s="162"/>
      <c r="AA27" s="164"/>
      <c r="AF27" s="186" t="s">
        <v>400</v>
      </c>
      <c r="AG27" s="549">
        <v>2455.8132600349263</v>
      </c>
      <c r="AH27" s="549">
        <v>7472.4371101109646</v>
      </c>
      <c r="AI27" s="550"/>
      <c r="AJ27" s="551"/>
      <c r="AK27" s="550"/>
      <c r="AL27" s="550"/>
    </row>
    <row r="28" spans="2:41" x14ac:dyDescent="0.3">
      <c r="B28" s="162"/>
      <c r="AA28" s="164"/>
      <c r="AF28" s="186" t="s">
        <v>507</v>
      </c>
      <c r="AG28" s="585">
        <v>3375.3624374697561</v>
      </c>
      <c r="AH28" s="585">
        <v>6162.6674221040385</v>
      </c>
      <c r="AI28" s="550"/>
      <c r="AJ28" s="552"/>
      <c r="AK28" s="550"/>
      <c r="AL28" s="550"/>
    </row>
    <row r="29" spans="2:41" x14ac:dyDescent="0.3">
      <c r="B29" s="162"/>
      <c r="AA29" s="164"/>
      <c r="AF29" s="186"/>
      <c r="AG29" s="186"/>
      <c r="AH29" s="186"/>
      <c r="AI29" s="152"/>
      <c r="AJ29" s="548"/>
      <c r="AK29" s="152"/>
      <c r="AL29" s="152"/>
    </row>
    <row r="30" spans="2:41" x14ac:dyDescent="0.3">
      <c r="B30" s="162"/>
      <c r="AA30" s="164"/>
      <c r="AJ30" s="187"/>
    </row>
    <row r="31" spans="2:41" x14ac:dyDescent="0.3">
      <c r="B31" s="162"/>
      <c r="AA31" s="164"/>
      <c r="AF31" s="167" t="s">
        <v>514</v>
      </c>
      <c r="AG31" s="184"/>
      <c r="AH31" s="184"/>
      <c r="AI31" s="184"/>
      <c r="AJ31" s="184"/>
      <c r="AK31" s="184"/>
      <c r="AL31" s="184"/>
      <c r="AM31" s="184"/>
      <c r="AN31" s="184"/>
      <c r="AO31" s="184"/>
    </row>
    <row r="32" spans="2:41" x14ac:dyDescent="0.3">
      <c r="B32" s="162"/>
      <c r="AA32" s="164"/>
      <c r="AH32" s="311">
        <f>'Financial Statements'!E5</f>
        <v>2018</v>
      </c>
      <c r="AI32" s="311">
        <f>'Financial Statements'!F5</f>
        <v>2019</v>
      </c>
      <c r="AJ32" s="311">
        <f>'Financial Statements'!G5</f>
        <v>2020</v>
      </c>
      <c r="AK32" s="64">
        <f>'Financial Statements'!H5</f>
        <v>2021</v>
      </c>
      <c r="AL32" s="64">
        <f>'Financial Statements'!I5</f>
        <v>2022</v>
      </c>
      <c r="AM32" s="64">
        <f>'Financial Statements'!J5</f>
        <v>2023</v>
      </c>
      <c r="AN32" s="64">
        <f>'Financial Statements'!K5</f>
        <v>2024</v>
      </c>
      <c r="AO32" s="64">
        <f>'Financial Statements'!L5</f>
        <v>2025</v>
      </c>
    </row>
    <row r="33" spans="2:41" x14ac:dyDescent="0.3">
      <c r="B33" s="162"/>
      <c r="AA33" s="164"/>
      <c r="AF33" s="69" t="str">
        <f>'Financial Statements'!B26</f>
        <v>Online Stores</v>
      </c>
      <c r="AH33" s="152">
        <f>'Financial Statements'!E26</f>
        <v>122987</v>
      </c>
      <c r="AI33" s="152">
        <f>'Financial Statements'!F26</f>
        <v>141247</v>
      </c>
      <c r="AJ33" s="152">
        <f>'Financial Statements'!G26</f>
        <v>197346</v>
      </c>
      <c r="AK33" s="152">
        <f>'Financial Statements'!H26</f>
        <v>240060.50332375269</v>
      </c>
      <c r="AL33" s="152">
        <f>'Financial Statements'!I26</f>
        <v>281628.36957743583</v>
      </c>
      <c r="AM33" s="152">
        <f>'Financial Statements'!J26</f>
        <v>320640.83597737399</v>
      </c>
      <c r="AN33" s="152">
        <f>'Financial Statements'!K26</f>
        <v>356174.15915439423</v>
      </c>
      <c r="AO33" s="152">
        <f>'Financial Statements'!L26</f>
        <v>387751.05163836869</v>
      </c>
    </row>
    <row r="34" spans="2:41" x14ac:dyDescent="0.3">
      <c r="B34" s="162"/>
      <c r="AA34" s="164"/>
      <c r="AF34" s="69" t="str">
        <f>'Financial Statements'!B27</f>
        <v>Physical Stores</v>
      </c>
      <c r="AH34" s="152">
        <f>'Financial Statements'!E27</f>
        <v>17224</v>
      </c>
      <c r="AI34" s="152">
        <f>'Financial Statements'!F27</f>
        <v>17192</v>
      </c>
      <c r="AJ34" s="152">
        <f>'Financial Statements'!G27</f>
        <v>16227</v>
      </c>
      <c r="AK34" s="152">
        <f>'Financial Statements'!H27</f>
        <v>17038.350000000002</v>
      </c>
      <c r="AL34" s="152">
        <f>'Financial Statements'!I27</f>
        <v>17719.884000000002</v>
      </c>
      <c r="AM34" s="152">
        <f>'Financial Statements'!J27</f>
        <v>18286.920288000001</v>
      </c>
      <c r="AN34" s="152">
        <f>'Financial Statements'!K27</f>
        <v>18755.065447372803</v>
      </c>
      <c r="AO34" s="152">
        <f>'Financial Statements'!L27</f>
        <v>19139.169187734999</v>
      </c>
    </row>
    <row r="35" spans="2:41" x14ac:dyDescent="0.3">
      <c r="B35" s="162"/>
      <c r="R35" s="308"/>
      <c r="S35" s="185"/>
      <c r="T35" s="185"/>
      <c r="U35" s="185"/>
      <c r="V35" s="185"/>
      <c r="W35" s="185"/>
      <c r="X35" s="185"/>
      <c r="Y35" s="185"/>
      <c r="Z35" s="185"/>
      <c r="AA35" s="164"/>
      <c r="AF35" s="69" t="str">
        <f>'Financial Statements'!B28</f>
        <v>Retail Third-Party Seller Services</v>
      </c>
      <c r="AH35" s="152">
        <f>'Financial Statements'!E28</f>
        <v>42745</v>
      </c>
      <c r="AI35" s="152">
        <f>'Financial Statements'!F28</f>
        <v>53762</v>
      </c>
      <c r="AJ35" s="152">
        <f>'Financial Statements'!G28</f>
        <v>80461</v>
      </c>
      <c r="AK35" s="152">
        <f>'Financial Statements'!H28</f>
        <v>110265.2049812593</v>
      </c>
      <c r="AL35" s="152">
        <f>'Financial Statements'!I28</f>
        <v>142940.58084347358</v>
      </c>
      <c r="AM35" s="152">
        <f>'Financial Statements'!J28</f>
        <v>176827.15244739919</v>
      </c>
      <c r="AN35" s="152">
        <f>'Financial Statements'!K28</f>
        <v>210363.13461603833</v>
      </c>
      <c r="AO35" s="152">
        <f>'Financial Statements'!L28</f>
        <v>242280.10769977816</v>
      </c>
    </row>
    <row r="36" spans="2:41" ht="16.2" thickBot="1" x14ac:dyDescent="0.35">
      <c r="B36" s="189"/>
      <c r="C36" s="188"/>
      <c r="D36" s="188"/>
      <c r="E36" s="188"/>
      <c r="F36" s="188"/>
      <c r="G36" s="188"/>
      <c r="H36" s="188"/>
      <c r="I36" s="188"/>
      <c r="J36" s="188"/>
      <c r="K36" s="188"/>
      <c r="L36" s="188"/>
      <c r="M36" s="188"/>
      <c r="N36" s="188"/>
      <c r="O36" s="188"/>
      <c r="P36" s="188"/>
      <c r="Q36" s="188"/>
      <c r="R36" s="188"/>
      <c r="S36" s="188"/>
      <c r="T36" s="188"/>
      <c r="U36" s="188"/>
      <c r="V36" s="188"/>
      <c r="W36" s="188"/>
      <c r="X36" s="188"/>
      <c r="Y36" s="188"/>
      <c r="Z36" s="188"/>
      <c r="AA36" s="188"/>
      <c r="AB36" s="162"/>
      <c r="AF36" s="69" t="str">
        <f>'Financial Statements'!B29</f>
        <v>Subscription Services</v>
      </c>
      <c r="AH36" s="152">
        <f>'Financial Statements'!E29</f>
        <v>14168</v>
      </c>
      <c r="AI36" s="152">
        <f>'Financial Statements'!F29</f>
        <v>19210</v>
      </c>
      <c r="AJ36" s="152">
        <f>'Financial Statements'!G29</f>
        <v>25207</v>
      </c>
      <c r="AK36" s="152">
        <f>'Financial Statements'!H29</f>
        <v>35578.724706744033</v>
      </c>
      <c r="AL36" s="152">
        <f>'Financial Statements'!I29</f>
        <v>47290.16162745277</v>
      </c>
      <c r="AM36" s="152">
        <f>'Financial Statements'!J29</f>
        <v>59743.350985643629</v>
      </c>
      <c r="AN36" s="152">
        <f>'Financial Statements'!K29</f>
        <v>72329.398266736898</v>
      </c>
      <c r="AO36" s="152">
        <f>'Financial Statements'!L29</f>
        <v>84519.423919860128</v>
      </c>
    </row>
    <row r="37" spans="2:41" ht="16.2" thickTop="1" x14ac:dyDescent="0.3">
      <c r="AF37" s="69" t="str">
        <f>'Financial Statements'!B30</f>
        <v>AWS</v>
      </c>
      <c r="AH37" s="152">
        <f>'Financial Statements'!E30</f>
        <v>25655</v>
      </c>
      <c r="AI37" s="152">
        <f>'Financial Statements'!F30</f>
        <v>35026</v>
      </c>
      <c r="AJ37" s="152">
        <f>'Financial Statements'!G30</f>
        <v>45370</v>
      </c>
      <c r="AK37" s="152">
        <f>'Financial Statements'!H30</f>
        <v>63051.555871263248</v>
      </c>
      <c r="AL37" s="152">
        <f>'Financial Statements'!I30</f>
        <v>82709.472695734352</v>
      </c>
      <c r="AM37" s="152">
        <f>'Financial Statements'!J30</f>
        <v>103338.88825741615</v>
      </c>
      <c r="AN37" s="152">
        <f>'Financial Statements'!K30</f>
        <v>123958.73553790193</v>
      </c>
      <c r="AO37" s="152">
        <f>'Financial Statements'!L30</f>
        <v>143746.13785255945</v>
      </c>
    </row>
    <row r="38" spans="2:41" x14ac:dyDescent="0.3">
      <c r="AF38" s="69" t="str">
        <f>'Financial Statements'!B31</f>
        <v>Other</v>
      </c>
      <c r="AH38" s="152">
        <f>'Financial Statements'!E31</f>
        <v>10108</v>
      </c>
      <c r="AI38" s="152">
        <f>'Financial Statements'!F31</f>
        <v>14085</v>
      </c>
      <c r="AJ38" s="152">
        <f>'Financial Statements'!G31</f>
        <v>21453</v>
      </c>
      <c r="AK38" s="152">
        <f>'Financial Statements'!H31</f>
        <v>35752.553334818054</v>
      </c>
      <c r="AL38" s="152">
        <f>'Financial Statements'!I31</f>
        <v>54817.319783040977</v>
      </c>
      <c r="AM38" s="152">
        <f>'Financial Statements'!J31</f>
        <v>78202.041745563591</v>
      </c>
      <c r="AN38" s="152">
        <f>'Financial Statements'!K31</f>
        <v>104890.4389216306</v>
      </c>
      <c r="AO38" s="152">
        <f>'Financial Statements'!L31</f>
        <v>133527.62159796435</v>
      </c>
    </row>
    <row r="39" spans="2:41" x14ac:dyDescent="0.3">
      <c r="AF39" s="310" t="s">
        <v>149</v>
      </c>
      <c r="AG39" s="109"/>
      <c r="AH39" s="469">
        <f>SUM(AH33:AH38)</f>
        <v>232887</v>
      </c>
      <c r="AI39" s="469">
        <f t="shared" ref="AI39:AO39" si="0">SUM(AI33:AI38)</f>
        <v>280522</v>
      </c>
      <c r="AJ39" s="469">
        <f t="shared" si="0"/>
        <v>386064</v>
      </c>
      <c r="AK39" s="469">
        <f t="shared" si="0"/>
        <v>501746.89221783733</v>
      </c>
      <c r="AL39" s="469">
        <f t="shared" si="0"/>
        <v>627105.7885271376</v>
      </c>
      <c r="AM39" s="469">
        <f t="shared" si="0"/>
        <v>757039.18970139662</v>
      </c>
      <c r="AN39" s="469">
        <f t="shared" si="0"/>
        <v>886470.93194407481</v>
      </c>
      <c r="AO39" s="469">
        <f t="shared" si="0"/>
        <v>1010963.5118962658</v>
      </c>
    </row>
  </sheetData>
  <pageMargins left="0.25" right="0.25" top="0.75" bottom="0.75" header="0.3" footer="0.3"/>
  <pageSetup scale="41"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1367D-F3E3-42FE-B5A0-67FF771FA837}">
  <dimension ref="A1:U45"/>
  <sheetViews>
    <sheetView showGridLines="0" topLeftCell="B1" zoomScaleNormal="100" workbookViewId="0"/>
  </sheetViews>
  <sheetFormatPr defaultRowHeight="13.8" outlineLevelRow="1" x14ac:dyDescent="0.25"/>
  <cols>
    <col min="1" max="1" width="3.375" customWidth="1"/>
    <col min="2" max="2" width="34.25" bestFit="1" customWidth="1"/>
    <col min="5" max="5" width="12.375" customWidth="1"/>
    <col min="6" max="7" width="12.375" bestFit="1" customWidth="1"/>
    <col min="9" max="11" width="12.375" bestFit="1" customWidth="1"/>
    <col min="14" max="14" width="20.125" bestFit="1" customWidth="1"/>
    <col min="15" max="16" width="10.25" bestFit="1" customWidth="1"/>
    <col min="19" max="19" width="20.125" bestFit="1" customWidth="1"/>
    <col min="20" max="21" width="10.25" bestFit="1" customWidth="1"/>
  </cols>
  <sheetData>
    <row r="1" spans="1:21" ht="15.6" x14ac:dyDescent="0.25">
      <c r="A1" s="67" t="s">
        <v>76</v>
      </c>
      <c r="B1" s="67"/>
      <c r="C1" s="68"/>
      <c r="D1" s="68"/>
      <c r="E1" s="68"/>
      <c r="F1" s="68"/>
      <c r="G1" s="68"/>
      <c r="H1" s="68"/>
      <c r="I1" s="68"/>
      <c r="J1" s="68"/>
      <c r="K1" s="68"/>
      <c r="L1" s="68"/>
      <c r="M1" s="68"/>
      <c r="N1" s="68"/>
      <c r="O1" s="68"/>
      <c r="P1" s="68"/>
    </row>
    <row r="2" spans="1:21" ht="18" x14ac:dyDescent="0.25">
      <c r="A2" s="70" t="s">
        <v>599</v>
      </c>
      <c r="B2" s="70"/>
      <c r="C2" s="116"/>
      <c r="D2" s="116"/>
      <c r="E2" s="116"/>
      <c r="F2" s="116"/>
      <c r="G2" s="116"/>
      <c r="H2" s="116"/>
      <c r="I2" s="116"/>
      <c r="J2" s="116"/>
      <c r="K2" s="116"/>
      <c r="L2" s="116"/>
      <c r="M2" s="116"/>
      <c r="N2" s="116"/>
      <c r="O2" s="116"/>
      <c r="P2" s="116"/>
    </row>
    <row r="3" spans="1:21" ht="15.6" x14ac:dyDescent="0.25">
      <c r="A3" s="71" t="s">
        <v>229</v>
      </c>
      <c r="B3" s="71"/>
      <c r="C3" s="72"/>
      <c r="D3" s="72"/>
      <c r="E3" s="72"/>
      <c r="F3" s="72"/>
      <c r="G3" s="72"/>
      <c r="H3" s="72"/>
      <c r="I3" s="72"/>
      <c r="J3" s="72"/>
      <c r="K3" s="72"/>
      <c r="L3" s="72"/>
      <c r="M3" s="72"/>
      <c r="N3" s="72"/>
      <c r="O3" s="72"/>
      <c r="P3" s="72"/>
    </row>
    <row r="4" spans="1:21" ht="15.6" x14ac:dyDescent="0.25">
      <c r="B4" s="73"/>
      <c r="C4" s="73"/>
      <c r="D4" s="73"/>
      <c r="E4" s="73"/>
      <c r="F4" s="73"/>
      <c r="G4" s="73"/>
      <c r="H4" s="73"/>
      <c r="I4" s="73"/>
      <c r="J4" s="73"/>
      <c r="K4" s="73"/>
    </row>
    <row r="5" spans="1:21" ht="15.6" outlineLevel="1" x14ac:dyDescent="0.25">
      <c r="B5" s="73"/>
      <c r="C5" s="73"/>
      <c r="D5" s="73"/>
      <c r="E5" s="422" t="s">
        <v>173</v>
      </c>
      <c r="F5" s="421"/>
      <c r="G5" s="421"/>
      <c r="H5" s="73"/>
      <c r="I5" s="73"/>
      <c r="J5" s="73"/>
      <c r="K5" s="73"/>
    </row>
    <row r="6" spans="1:21" outlineLevel="1" x14ac:dyDescent="0.25">
      <c r="E6" s="63" t="s">
        <v>195</v>
      </c>
      <c r="F6" s="63" t="s">
        <v>275</v>
      </c>
      <c r="G6" s="63" t="s">
        <v>276</v>
      </c>
    </row>
    <row r="7" spans="1:21" outlineLevel="1" x14ac:dyDescent="0.25">
      <c r="E7" s="20"/>
      <c r="F7" s="20"/>
      <c r="G7" s="20"/>
    </row>
    <row r="8" spans="1:21" ht="15.6" outlineLevel="1" x14ac:dyDescent="0.3">
      <c r="B8" s="69" t="s">
        <v>507</v>
      </c>
      <c r="E8" s="454">
        <v>1808219.8150968277</v>
      </c>
      <c r="F8" s="454">
        <v>2422028.2134753112</v>
      </c>
      <c r="G8" s="454">
        <v>3252601.2581343129</v>
      </c>
    </row>
    <row r="9" spans="1:21" ht="15.6" outlineLevel="1" x14ac:dyDescent="0.3">
      <c r="B9" s="69" t="s">
        <v>400</v>
      </c>
      <c r="E9" s="454">
        <v>1331709.4313500989</v>
      </c>
      <c r="F9" s="454">
        <v>2324448.7164710425</v>
      </c>
      <c r="G9" s="454">
        <v>3931323.9104595021</v>
      </c>
      <c r="I9" s="463"/>
      <c r="J9" s="463"/>
      <c r="K9" s="463"/>
    </row>
    <row r="10" spans="1:21" ht="15.6" outlineLevel="1" x14ac:dyDescent="0.3">
      <c r="B10" s="69" t="s">
        <v>603</v>
      </c>
      <c r="E10" s="454">
        <v>331012.96098409541</v>
      </c>
      <c r="F10" s="454">
        <v>723099.16323488019</v>
      </c>
      <c r="G10" s="454">
        <v>1157428.3140334128</v>
      </c>
      <c r="I10" s="463"/>
      <c r="J10" s="463"/>
      <c r="K10" s="463"/>
    </row>
    <row r="11" spans="1:21" ht="15.6" outlineLevel="1" x14ac:dyDescent="0.3">
      <c r="B11" s="69" t="s">
        <v>596</v>
      </c>
      <c r="E11" s="380">
        <f>'Implied Value Summary'!E45</f>
        <v>1976447.0000000002</v>
      </c>
      <c r="F11" s="380">
        <f>'Implied Value Summary'!F45</f>
        <v>2232023.2400000002</v>
      </c>
      <c r="G11" s="380">
        <f>'Implied Value Summary'!G45</f>
        <v>2753747.0000000005</v>
      </c>
    </row>
    <row r="12" spans="1:21" ht="15.6" outlineLevel="1" x14ac:dyDescent="0.3">
      <c r="B12" s="69" t="s">
        <v>598</v>
      </c>
      <c r="E12" s="380">
        <f>E39</f>
        <v>1015750.838</v>
      </c>
      <c r="F12" s="380">
        <f t="shared" ref="F12:G12" si="0">F39</f>
        <v>1583373.0467193669</v>
      </c>
      <c r="G12" s="380">
        <f t="shared" si="0"/>
        <v>1889104.3900000001</v>
      </c>
    </row>
    <row r="16" spans="1:21" ht="15.6" x14ac:dyDescent="0.3">
      <c r="S16" s="69"/>
      <c r="T16" s="181" t="s">
        <v>191</v>
      </c>
      <c r="U16" s="181" t="s">
        <v>192</v>
      </c>
    </row>
    <row r="17" spans="2:21" ht="15.6" x14ac:dyDescent="0.3">
      <c r="S17" s="186" t="s">
        <v>598</v>
      </c>
      <c r="T17" s="187">
        <f>E12/_RoundBillions</f>
        <v>1015.750838</v>
      </c>
      <c r="U17" s="187">
        <f>G12/_RoundBillions</f>
        <v>1889.1043900000002</v>
      </c>
    </row>
    <row r="18" spans="2:21" ht="15.6" x14ac:dyDescent="0.3">
      <c r="S18" s="186" t="s">
        <v>596</v>
      </c>
      <c r="T18" s="187">
        <f>E11/_RoundBillions</f>
        <v>1976.4470000000003</v>
      </c>
      <c r="U18" s="187">
        <f>G11/_RoundBillions</f>
        <v>2753.7470000000003</v>
      </c>
    </row>
    <row r="19" spans="2:21" ht="15.6" x14ac:dyDescent="0.3">
      <c r="S19" s="186" t="s">
        <v>624</v>
      </c>
      <c r="T19" s="187">
        <f>E10/_RoundBillions</f>
        <v>331.0129609840954</v>
      </c>
      <c r="U19" s="187">
        <f>G10/_RoundBillions</f>
        <v>1157.4283140334128</v>
      </c>
    </row>
    <row r="20" spans="2:21" ht="15.6" x14ac:dyDescent="0.3">
      <c r="S20" s="186" t="s">
        <v>400</v>
      </c>
      <c r="T20" s="187">
        <f>E9/_RoundBillions</f>
        <v>1331.7094313500988</v>
      </c>
      <c r="U20" s="187">
        <f>G9/_RoundBillions</f>
        <v>3931.3239104595023</v>
      </c>
    </row>
    <row r="21" spans="2:21" ht="15.6" x14ac:dyDescent="0.3">
      <c r="S21" s="186" t="s">
        <v>507</v>
      </c>
      <c r="T21" s="187">
        <f>E8/_RoundBillions</f>
        <v>1808.2198150968277</v>
      </c>
      <c r="U21" s="187">
        <f>G8/_RoundBillions</f>
        <v>3252.601258134313</v>
      </c>
    </row>
    <row r="29" spans="2:21" outlineLevel="1" x14ac:dyDescent="0.25">
      <c r="B29" s="61" t="s">
        <v>621</v>
      </c>
      <c r="C29" s="461"/>
      <c r="D29" s="461"/>
      <c r="E29" s="461"/>
      <c r="F29" s="461"/>
      <c r="G29" s="461"/>
    </row>
    <row r="30" spans="2:21" outlineLevel="1" x14ac:dyDescent="0.25">
      <c r="B30" s="384"/>
      <c r="E30" s="61" t="s">
        <v>604</v>
      </c>
      <c r="F30" s="61"/>
      <c r="G30" s="61"/>
    </row>
    <row r="31" spans="2:21" ht="15.6" outlineLevel="1" x14ac:dyDescent="0.3">
      <c r="B31" s="69"/>
      <c r="E31" s="63" t="s">
        <v>195</v>
      </c>
      <c r="F31" s="63" t="s">
        <v>275</v>
      </c>
      <c r="G31" s="63" t="s">
        <v>276</v>
      </c>
    </row>
    <row r="32" spans="2:21" outlineLevel="1" x14ac:dyDescent="0.25">
      <c r="B32" s="1" t="s">
        <v>575</v>
      </c>
      <c r="E32" s="225">
        <f>+'Share Price'!D7</f>
        <v>1846.09</v>
      </c>
      <c r="F32" s="225">
        <f>+'Share Price'!D8</f>
        <v>2941.4628458498009</v>
      </c>
      <c r="G32" s="225">
        <f>+'Share Price'!D6</f>
        <v>3531.45</v>
      </c>
    </row>
    <row r="33" spans="2:7" outlineLevel="1" x14ac:dyDescent="0.25">
      <c r="B33" s="1" t="s">
        <v>576</v>
      </c>
      <c r="E33" s="225">
        <f>+Consensus!E36</f>
        <v>3700</v>
      </c>
      <c r="F33" s="225">
        <f>+Consensus!E33</f>
        <v>4193.2</v>
      </c>
      <c r="G33" s="225">
        <f>+Consensus!E37</f>
        <v>5200</v>
      </c>
    </row>
    <row r="34" spans="2:7" outlineLevel="1" x14ac:dyDescent="0.25">
      <c r="B34" s="1"/>
      <c r="E34" s="225"/>
      <c r="F34" s="225"/>
      <c r="G34" s="225"/>
    </row>
    <row r="35" spans="2:7" outlineLevel="1" x14ac:dyDescent="0.25">
      <c r="B35" t="s">
        <v>601</v>
      </c>
      <c r="E35" s="221">
        <f>E32</f>
        <v>1846.09</v>
      </c>
      <c r="F35" s="221">
        <f>F32</f>
        <v>2941.4628458498009</v>
      </c>
      <c r="G35" s="221">
        <f>G32</f>
        <v>3531.45</v>
      </c>
    </row>
    <row r="36" spans="2:7" ht="15.6" outlineLevel="1" x14ac:dyDescent="0.3">
      <c r="B36" s="69" t="s">
        <v>538</v>
      </c>
      <c r="E36" s="426">
        <f>Comps!$E$10</f>
        <v>518.20000000000005</v>
      </c>
      <c r="F36" s="426">
        <f>E36</f>
        <v>518.20000000000005</v>
      </c>
      <c r="G36" s="426">
        <f>F36</f>
        <v>518.20000000000005</v>
      </c>
    </row>
    <row r="37" spans="2:7" ht="15.6" outlineLevel="1" x14ac:dyDescent="0.3">
      <c r="B37" s="309" t="s">
        <v>172</v>
      </c>
      <c r="E37" s="425">
        <f>E35*E36</f>
        <v>956643.83799999999</v>
      </c>
      <c r="F37" s="425">
        <f>F35*F36</f>
        <v>1524266.0467193669</v>
      </c>
      <c r="G37" s="425">
        <f>G35*G36</f>
        <v>1829997.3900000001</v>
      </c>
    </row>
    <row r="38" spans="2:7" outlineLevel="1" x14ac:dyDescent="0.25">
      <c r="B38" t="s">
        <v>600</v>
      </c>
      <c r="E38" s="221">
        <f>Comps!$I$10</f>
        <v>59107</v>
      </c>
      <c r="F38" s="221">
        <f>Comps!$I$10</f>
        <v>59107</v>
      </c>
      <c r="G38" s="221">
        <f>Comps!$I$10</f>
        <v>59107</v>
      </c>
    </row>
    <row r="39" spans="2:7" outlineLevel="1" x14ac:dyDescent="0.25">
      <c r="B39" s="423" t="s">
        <v>391</v>
      </c>
      <c r="E39" s="424">
        <f>+E37+E38</f>
        <v>1015750.838</v>
      </c>
      <c r="F39" s="424">
        <f>+F37+F38</f>
        <v>1583373.0467193669</v>
      </c>
      <c r="G39" s="424">
        <f>+G37+G38</f>
        <v>1889104.3900000001</v>
      </c>
    </row>
    <row r="40" spans="2:7" outlineLevel="1" x14ac:dyDescent="0.25">
      <c r="E40" s="221"/>
      <c r="F40" s="221"/>
      <c r="G40" s="221"/>
    </row>
    <row r="41" spans="2:7" outlineLevel="1" x14ac:dyDescent="0.25">
      <c r="B41" t="s">
        <v>602</v>
      </c>
      <c r="E41" s="221">
        <f>E33</f>
        <v>3700</v>
      </c>
      <c r="F41" s="221">
        <f>F33</f>
        <v>4193.2</v>
      </c>
      <c r="G41" s="221">
        <f>G33</f>
        <v>5200</v>
      </c>
    </row>
    <row r="42" spans="2:7" ht="15.6" outlineLevel="1" x14ac:dyDescent="0.3">
      <c r="B42" s="69" t="s">
        <v>538</v>
      </c>
      <c r="E42" s="426">
        <f>E36</f>
        <v>518.20000000000005</v>
      </c>
      <c r="F42" s="426">
        <f t="shared" ref="F42:G42" si="1">F36</f>
        <v>518.20000000000005</v>
      </c>
      <c r="G42" s="426">
        <f t="shared" si="1"/>
        <v>518.20000000000005</v>
      </c>
    </row>
    <row r="43" spans="2:7" ht="15.6" outlineLevel="1" x14ac:dyDescent="0.3">
      <c r="B43" s="309" t="s">
        <v>172</v>
      </c>
      <c r="E43" s="425">
        <f>E41*E42</f>
        <v>1917340.0000000002</v>
      </c>
      <c r="F43" s="425">
        <f>F41*F42</f>
        <v>2172916.2400000002</v>
      </c>
      <c r="G43" s="425">
        <f>G41*G42</f>
        <v>2694640.0000000005</v>
      </c>
    </row>
    <row r="44" spans="2:7" outlineLevel="1" x14ac:dyDescent="0.25">
      <c r="B44" t="s">
        <v>600</v>
      </c>
      <c r="E44" s="221">
        <f>Comps!$I$10</f>
        <v>59107</v>
      </c>
      <c r="F44" s="221">
        <f>Comps!$I$10</f>
        <v>59107</v>
      </c>
      <c r="G44" s="221">
        <f>Comps!$I$10</f>
        <v>59107</v>
      </c>
    </row>
    <row r="45" spans="2:7" outlineLevel="1" x14ac:dyDescent="0.25">
      <c r="B45" s="423" t="s">
        <v>391</v>
      </c>
      <c r="E45" s="424">
        <f>+E43+E44</f>
        <v>1976447.0000000002</v>
      </c>
      <c r="F45" s="424">
        <f>+F43+F44</f>
        <v>2232023.2400000002</v>
      </c>
      <c r="G45" s="424">
        <f>+G43+G44</f>
        <v>2753747.0000000005</v>
      </c>
    </row>
  </sheetData>
  <pageMargins left="0.7" right="0.7" top="0.75" bottom="0.75" header="0.3" footer="0.3"/>
  <pageSetup scale="52" orientation="portrait" r:id="rId1"/>
  <customProperties>
    <customPr name="Guid" r:id="rId2"/>
  </customProperties>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D9188-7986-4122-9CB2-A52CAABC6764}">
  <dimension ref="A1:AC59"/>
  <sheetViews>
    <sheetView showGridLines="0" topLeftCell="K13" zoomScaleNormal="100" workbookViewId="0"/>
  </sheetViews>
  <sheetFormatPr defaultRowHeight="13.8" x14ac:dyDescent="0.25"/>
  <cols>
    <col min="1" max="1" width="3.375" customWidth="1"/>
    <col min="13" max="14" width="10.75" bestFit="1" customWidth="1"/>
    <col min="17" max="17" width="32.875" bestFit="1" customWidth="1"/>
    <col min="19" max="21" width="8.625" bestFit="1" customWidth="1"/>
    <col min="22" max="29" width="10.125" bestFit="1" customWidth="1"/>
  </cols>
  <sheetData>
    <row r="1" spans="1:29" x14ac:dyDescent="0.25">
      <c r="A1" s="2" t="s">
        <v>76</v>
      </c>
      <c r="B1" s="2"/>
      <c r="C1" s="2"/>
      <c r="D1" s="404"/>
      <c r="E1" s="404"/>
      <c r="F1" s="404"/>
      <c r="G1" s="404"/>
      <c r="H1" s="404"/>
      <c r="I1" s="404"/>
      <c r="J1" s="404"/>
      <c r="K1" s="404"/>
      <c r="L1" s="404"/>
    </row>
    <row r="2" spans="1:29" ht="18" x14ac:dyDescent="0.25">
      <c r="A2" s="70" t="s">
        <v>664</v>
      </c>
      <c r="B2" s="70"/>
      <c r="C2" s="70"/>
      <c r="D2" s="404"/>
      <c r="E2" s="404"/>
      <c r="F2" s="404"/>
      <c r="G2" s="404"/>
      <c r="H2" s="404"/>
      <c r="I2" s="404"/>
      <c r="J2" s="404"/>
      <c r="K2" s="404"/>
      <c r="L2" s="404"/>
    </row>
    <row r="3" spans="1:29" x14ac:dyDescent="0.25">
      <c r="A3" s="66" t="s">
        <v>229</v>
      </c>
      <c r="B3" s="66"/>
      <c r="C3" s="4"/>
      <c r="D3" s="404"/>
      <c r="E3" s="404"/>
      <c r="F3" s="404"/>
      <c r="G3" s="404"/>
      <c r="H3" s="404"/>
      <c r="I3" s="404"/>
      <c r="J3" s="404"/>
      <c r="K3" s="404"/>
      <c r="L3" s="404"/>
    </row>
    <row r="5" spans="1:29" x14ac:dyDescent="0.25">
      <c r="B5" s="1"/>
    </row>
    <row r="6" spans="1:29" ht="15.6" x14ac:dyDescent="0.3">
      <c r="B6" s="1" t="s">
        <v>665</v>
      </c>
      <c r="Q6" s="167" t="s">
        <v>661</v>
      </c>
      <c r="R6" s="184"/>
      <c r="S6" s="184"/>
      <c r="T6" s="184"/>
      <c r="U6" s="184"/>
      <c r="V6" s="184"/>
      <c r="W6" s="184"/>
      <c r="X6" s="184"/>
      <c r="Y6" s="184"/>
      <c r="Z6" s="184"/>
      <c r="AA6" s="184"/>
      <c r="AB6" s="184"/>
      <c r="AC6" s="184"/>
    </row>
    <row r="7" spans="1:29" ht="15.6" x14ac:dyDescent="0.3">
      <c r="B7" s="562"/>
      <c r="C7" s="13"/>
      <c r="D7" s="13"/>
      <c r="E7" s="13"/>
      <c r="F7" s="13"/>
      <c r="G7" s="13"/>
      <c r="H7" s="13"/>
      <c r="I7" s="13"/>
      <c r="J7" s="13"/>
      <c r="K7" s="563"/>
      <c r="Q7" s="69"/>
      <c r="R7" s="69"/>
      <c r="S7" s="79">
        <v>2021</v>
      </c>
      <c r="T7" s="79">
        <v>2022</v>
      </c>
      <c r="U7" s="79">
        <v>2023</v>
      </c>
      <c r="V7" s="79">
        <v>2024</v>
      </c>
      <c r="W7" s="79">
        <v>2025</v>
      </c>
      <c r="X7" s="79">
        <v>2026</v>
      </c>
      <c r="Y7" s="79">
        <v>2027</v>
      </c>
      <c r="Z7" s="79">
        <v>2028</v>
      </c>
      <c r="AA7" s="79">
        <v>2029</v>
      </c>
      <c r="AB7" s="79">
        <v>2030</v>
      </c>
      <c r="AC7" s="79">
        <v>2031</v>
      </c>
    </row>
    <row r="8" spans="1:29" ht="15.6" x14ac:dyDescent="0.3">
      <c r="B8" s="312"/>
      <c r="K8" s="313"/>
      <c r="Q8" s="69" t="s">
        <v>657</v>
      </c>
      <c r="R8" s="69"/>
      <c r="S8" s="568">
        <v>501746.89221783733</v>
      </c>
      <c r="T8" s="568">
        <v>627105.7885271376</v>
      </c>
      <c r="U8" s="568">
        <v>757039.18970139662</v>
      </c>
      <c r="V8" s="568">
        <v>886470.93194407481</v>
      </c>
      <c r="W8" s="568">
        <v>1010963.5118962658</v>
      </c>
      <c r="X8" s="568">
        <v>1127102.7717632158</v>
      </c>
      <c r="Y8" s="568">
        <v>1232634.7958348214</v>
      </c>
      <c r="Z8" s="568">
        <v>1326401.9983294045</v>
      </c>
      <c r="AA8" s="568">
        <v>1408155.103729395</v>
      </c>
      <c r="AB8" s="568">
        <v>1478315.5105760412</v>
      </c>
      <c r="AC8" s="568">
        <v>1537742.7122168522</v>
      </c>
    </row>
    <row r="9" spans="1:29" ht="15.6" x14ac:dyDescent="0.3">
      <c r="B9" s="312"/>
      <c r="K9" s="313"/>
      <c r="Q9" s="69" t="s">
        <v>658</v>
      </c>
      <c r="R9" s="69"/>
      <c r="S9" s="568">
        <v>530667.61527229671</v>
      </c>
      <c r="T9" s="568">
        <v>697620.16770111886</v>
      </c>
      <c r="U9" s="568">
        <v>880881.96269561234</v>
      </c>
      <c r="V9" s="568">
        <v>1073034.6541610602</v>
      </c>
      <c r="W9" s="568">
        <v>1266392.1354114546</v>
      </c>
      <c r="X9" s="568">
        <v>1453999.6289424305</v>
      </c>
      <c r="Y9" s="568">
        <v>1630318.6763404976</v>
      </c>
      <c r="Z9" s="568">
        <v>1791530.8754619965</v>
      </c>
      <c r="AA9" s="568">
        <v>1935510.0991608407</v>
      </c>
      <c r="AB9" s="568">
        <v>2061574.8111342755</v>
      </c>
      <c r="AC9" s="568">
        <v>2170139.1910049575</v>
      </c>
    </row>
    <row r="10" spans="1:29" ht="15.6" x14ac:dyDescent="0.3">
      <c r="B10" s="312"/>
      <c r="K10" s="313"/>
      <c r="Q10" s="69" t="s">
        <v>659</v>
      </c>
      <c r="R10" s="69"/>
      <c r="S10" s="568">
        <v>472826.16916337796</v>
      </c>
      <c r="T10" s="568">
        <v>560692.9821700349</v>
      </c>
      <c r="U10" s="568">
        <v>646446.59111951489</v>
      </c>
      <c r="V10" s="568">
        <v>727471.12372385256</v>
      </c>
      <c r="W10" s="568">
        <v>801911.23216879996</v>
      </c>
      <c r="X10" s="568">
        <v>868679.99388210382</v>
      </c>
      <c r="Y10" s="568">
        <v>927361.87185068533</v>
      </c>
      <c r="Z10" s="568">
        <v>978062.61471281771</v>
      </c>
      <c r="AA10" s="568">
        <v>1021248.6647696287</v>
      </c>
      <c r="AB10" s="568">
        <v>1057603.3113400955</v>
      </c>
      <c r="AC10" s="568">
        <v>1087912.3867459062</v>
      </c>
    </row>
    <row r="11" spans="1:29" x14ac:dyDescent="0.25">
      <c r="B11" s="312"/>
      <c r="K11" s="313"/>
    </row>
    <row r="12" spans="1:29" ht="15.6" x14ac:dyDescent="0.3">
      <c r="B12" s="312"/>
      <c r="K12" s="313"/>
      <c r="Q12" s="167" t="s">
        <v>127</v>
      </c>
      <c r="R12" s="184"/>
      <c r="S12" s="184"/>
      <c r="T12" s="184"/>
      <c r="U12" s="184"/>
      <c r="V12" s="184"/>
      <c r="W12" s="184"/>
      <c r="X12" s="184"/>
      <c r="Y12" s="184"/>
      <c r="Z12" s="184"/>
      <c r="AA12" s="184"/>
      <c r="AB12" s="184"/>
      <c r="AC12" s="184"/>
    </row>
    <row r="13" spans="1:29" ht="15.6" x14ac:dyDescent="0.3">
      <c r="B13" s="312"/>
      <c r="K13" s="313"/>
      <c r="Q13" s="69"/>
      <c r="R13" s="69"/>
      <c r="S13" s="79">
        <f>S7</f>
        <v>2021</v>
      </c>
      <c r="T13" s="79">
        <f t="shared" ref="T13:AC13" si="0">T7</f>
        <v>2022</v>
      </c>
      <c r="U13" s="79">
        <f t="shared" si="0"/>
        <v>2023</v>
      </c>
      <c r="V13" s="79">
        <f t="shared" si="0"/>
        <v>2024</v>
      </c>
      <c r="W13" s="79">
        <f t="shared" si="0"/>
        <v>2025</v>
      </c>
      <c r="X13" s="79">
        <f t="shared" si="0"/>
        <v>2026</v>
      </c>
      <c r="Y13" s="79">
        <f t="shared" si="0"/>
        <v>2027</v>
      </c>
      <c r="Z13" s="79">
        <f t="shared" si="0"/>
        <v>2028</v>
      </c>
      <c r="AA13" s="79">
        <f t="shared" si="0"/>
        <v>2029</v>
      </c>
      <c r="AB13" s="79">
        <f t="shared" si="0"/>
        <v>2030</v>
      </c>
      <c r="AC13" s="79">
        <f t="shared" si="0"/>
        <v>2031</v>
      </c>
    </row>
    <row r="14" spans="1:29" ht="15.6" x14ac:dyDescent="0.3">
      <c r="B14" s="312"/>
      <c r="K14" s="313"/>
      <c r="Q14" s="69" t="s">
        <v>671</v>
      </c>
      <c r="R14" s="69"/>
      <c r="S14" s="568">
        <v>52050.653549403178</v>
      </c>
      <c r="T14" s="568">
        <v>66876.696503684972</v>
      </c>
      <c r="U14" s="568">
        <v>83338.572240235488</v>
      </c>
      <c r="V14" s="568">
        <v>101090.50096847929</v>
      </c>
      <c r="W14" s="568">
        <v>119784.17885472803</v>
      </c>
      <c r="X14" s="568">
        <v>139105.05923457351</v>
      </c>
      <c r="Y14" s="568">
        <v>154715.98602949275</v>
      </c>
      <c r="Z14" s="568">
        <v>173554.43966811278</v>
      </c>
      <c r="AA14" s="568">
        <v>193442.11218799016</v>
      </c>
      <c r="AB14" s="568">
        <v>213269.36750927678</v>
      </c>
      <c r="AC14" s="568">
        <v>219701.27222934866</v>
      </c>
    </row>
    <row r="15" spans="1:29" ht="15.6" x14ac:dyDescent="0.3">
      <c r="B15" s="312"/>
      <c r="K15" s="313"/>
      <c r="Q15" s="69" t="s">
        <v>672</v>
      </c>
      <c r="R15" s="69"/>
      <c r="S15" s="568">
        <v>54287.230948650562</v>
      </c>
      <c r="T15" s="568">
        <v>72625.686273074956</v>
      </c>
      <c r="U15" s="568">
        <v>93932.862245276003</v>
      </c>
      <c r="V15" s="568">
        <v>117801.85989912681</v>
      </c>
      <c r="W15" s="568">
        <v>143729.20451084804</v>
      </c>
      <c r="X15" s="568">
        <v>171189.371546198</v>
      </c>
      <c r="Y15" s="568">
        <v>195617.82025598298</v>
      </c>
      <c r="Z15" s="568">
        <v>223739.29061177847</v>
      </c>
      <c r="AA15" s="568">
        <v>253196.14935074752</v>
      </c>
      <c r="AB15" s="568">
        <v>282740.09092015639</v>
      </c>
      <c r="AC15" s="568">
        <v>298641.31290229328</v>
      </c>
    </row>
    <row r="16" spans="1:29" ht="15.6" x14ac:dyDescent="0.3">
      <c r="B16" s="312"/>
      <c r="K16" s="313"/>
      <c r="Q16" s="69" t="s">
        <v>673</v>
      </c>
      <c r="R16" s="69"/>
      <c r="S16" s="568">
        <v>49814.076150155794</v>
      </c>
      <c r="T16" s="568">
        <v>61444.900915308972</v>
      </c>
      <c r="U16" s="568">
        <v>73810.928804834708</v>
      </c>
      <c r="V16" s="568">
        <v>86688.249883494107</v>
      </c>
      <c r="W16" s="568">
        <v>99885.016275553135</v>
      </c>
      <c r="X16" s="568">
        <v>113249.83116839967</v>
      </c>
      <c r="Y16" s="568">
        <v>122594.68371827368</v>
      </c>
      <c r="Z16" s="568">
        <v>134980.53005170301</v>
      </c>
      <c r="AA16" s="568">
        <v>148323.10841487415</v>
      </c>
      <c r="AB16" s="568">
        <v>161579.05208283942</v>
      </c>
      <c r="AC16" s="568">
        <v>161752.20222011532</v>
      </c>
    </row>
    <row r="17" spans="2:29" x14ac:dyDescent="0.25">
      <c r="B17" s="564"/>
      <c r="C17" s="76"/>
      <c r="D17" s="76"/>
      <c r="E17" s="76"/>
      <c r="F17" s="76"/>
      <c r="G17" s="76"/>
      <c r="H17" s="76"/>
      <c r="I17" s="76"/>
      <c r="J17" s="76"/>
      <c r="K17" s="565"/>
    </row>
    <row r="18" spans="2:29" ht="15.6" x14ac:dyDescent="0.3">
      <c r="Q18" s="167" t="s">
        <v>662</v>
      </c>
      <c r="R18" s="184"/>
      <c r="S18" s="184"/>
      <c r="T18" s="184"/>
      <c r="U18" s="184"/>
      <c r="V18" s="184"/>
      <c r="W18" s="184"/>
      <c r="X18" s="184"/>
      <c r="Y18" s="184"/>
      <c r="Z18" s="184"/>
      <c r="AA18" s="184"/>
      <c r="AB18" s="184"/>
      <c r="AC18" s="184"/>
    </row>
    <row r="19" spans="2:29" ht="15.6" x14ac:dyDescent="0.3">
      <c r="Q19" s="69"/>
      <c r="R19" s="69"/>
      <c r="S19" s="79">
        <f t="shared" ref="S19:AC19" si="1">S13</f>
        <v>2021</v>
      </c>
      <c r="T19" s="79">
        <f t="shared" si="1"/>
        <v>2022</v>
      </c>
      <c r="U19" s="79">
        <f t="shared" si="1"/>
        <v>2023</v>
      </c>
      <c r="V19" s="79">
        <f t="shared" si="1"/>
        <v>2024</v>
      </c>
      <c r="W19" s="79">
        <f t="shared" si="1"/>
        <v>2025</v>
      </c>
      <c r="X19" s="79">
        <f t="shared" si="1"/>
        <v>2026</v>
      </c>
      <c r="Y19" s="79">
        <f t="shared" si="1"/>
        <v>2027</v>
      </c>
      <c r="Z19" s="79">
        <f t="shared" si="1"/>
        <v>2028</v>
      </c>
      <c r="AA19" s="79">
        <f t="shared" si="1"/>
        <v>2029</v>
      </c>
      <c r="AB19" s="79">
        <f t="shared" si="1"/>
        <v>2030</v>
      </c>
      <c r="AC19" s="79">
        <f t="shared" si="1"/>
        <v>2031</v>
      </c>
    </row>
    <row r="20" spans="2:29" ht="15.6" x14ac:dyDescent="0.3">
      <c r="B20" s="1" t="s">
        <v>674</v>
      </c>
      <c r="Q20" s="69" t="s">
        <v>675</v>
      </c>
      <c r="R20" s="69"/>
      <c r="S20" s="568">
        <v>20613.91861976662</v>
      </c>
      <c r="T20" s="568">
        <v>40835.291584577695</v>
      </c>
      <c r="U20" s="568">
        <v>48539.052532119618</v>
      </c>
      <c r="V20" s="568">
        <v>56623.673220765355</v>
      </c>
      <c r="W20" s="568">
        <v>65479.927654103223</v>
      </c>
      <c r="X20" s="568">
        <v>74757.792302876289</v>
      </c>
      <c r="Y20" s="568">
        <v>80788.986434201812</v>
      </c>
      <c r="Z20" s="568">
        <v>90596.367911423586</v>
      </c>
      <c r="AA20" s="568">
        <v>102613.82876121055</v>
      </c>
      <c r="AB20" s="568">
        <v>115156.95899070214</v>
      </c>
      <c r="AC20" s="568">
        <v>115341.71151043949</v>
      </c>
    </row>
    <row r="21" spans="2:29" ht="15.6" x14ac:dyDescent="0.3">
      <c r="B21" s="562"/>
      <c r="C21" s="13"/>
      <c r="D21" s="13"/>
      <c r="E21" s="13"/>
      <c r="F21" s="13"/>
      <c r="G21" s="13"/>
      <c r="H21" s="13"/>
      <c r="I21" s="13"/>
      <c r="J21" s="13"/>
      <c r="K21" s="563"/>
      <c r="O21" s="568"/>
      <c r="Q21" s="69" t="s">
        <v>676</v>
      </c>
      <c r="R21" s="69"/>
      <c r="S21" s="568">
        <v>25687.019392036422</v>
      </c>
      <c r="T21" s="568">
        <v>48554.382292505521</v>
      </c>
      <c r="U21" s="568">
        <v>59221.07669028276</v>
      </c>
      <c r="V21" s="568">
        <v>70438.40924883321</v>
      </c>
      <c r="W21" s="568">
        <v>82591.84808450767</v>
      </c>
      <c r="X21" s="568">
        <v>95227.154698510887</v>
      </c>
      <c r="Y21" s="568">
        <v>104799.87967392233</v>
      </c>
      <c r="Z21" s="568">
        <v>118363.31216418745</v>
      </c>
      <c r="AA21" s="568">
        <v>134605.59797189722</v>
      </c>
      <c r="AB21" s="568">
        <v>151672.46769125841</v>
      </c>
      <c r="AC21" s="568">
        <v>156592.50481831888</v>
      </c>
    </row>
    <row r="22" spans="2:29" ht="15.6" x14ac:dyDescent="0.3">
      <c r="B22" s="312"/>
      <c r="K22" s="313"/>
      <c r="O22" s="568"/>
      <c r="Q22" s="69" t="s">
        <v>677</v>
      </c>
      <c r="R22" s="69"/>
      <c r="S22" s="561">
        <v>15540.817847496837</v>
      </c>
      <c r="T22" s="568">
        <v>33835.674320852493</v>
      </c>
      <c r="U22" s="568">
        <v>39521.808999315981</v>
      </c>
      <c r="V22" s="568">
        <v>45553.027096940736</v>
      </c>
      <c r="W22" s="568">
        <v>52251.335180977068</v>
      </c>
      <c r="X22" s="568">
        <v>59302.927075325955</v>
      </c>
      <c r="Y22" s="568">
        <v>62913.317811688074</v>
      </c>
      <c r="Z22" s="568">
        <v>70083.041071929358</v>
      </c>
      <c r="AA22" s="568">
        <v>79073.154159888101</v>
      </c>
      <c r="AB22" s="568">
        <v>88350.44794259638</v>
      </c>
      <c r="AC22" s="568">
        <v>85196.636661880242</v>
      </c>
    </row>
    <row r="23" spans="2:29" x14ac:dyDescent="0.25">
      <c r="B23" s="312"/>
      <c r="K23" s="313"/>
    </row>
    <row r="24" spans="2:29" ht="15.6" x14ac:dyDescent="0.3">
      <c r="B24" s="312"/>
      <c r="K24" s="313"/>
      <c r="Q24" s="167" t="s">
        <v>678</v>
      </c>
      <c r="R24" s="184"/>
      <c r="S24" s="184"/>
      <c r="T24" s="184"/>
      <c r="U24" s="184"/>
      <c r="V24" s="184"/>
      <c r="W24" s="184"/>
      <c r="X24" s="184"/>
      <c r="Y24" s="184"/>
      <c r="Z24" s="184"/>
      <c r="AA24" s="184"/>
      <c r="AB24" s="184"/>
      <c r="AC24" s="184"/>
    </row>
    <row r="25" spans="2:29" ht="15.6" x14ac:dyDescent="0.3">
      <c r="B25" s="312"/>
      <c r="K25" s="313"/>
      <c r="Q25" s="69"/>
      <c r="R25" s="69"/>
      <c r="S25" s="79">
        <f t="shared" ref="S25:AC25" si="2">S19</f>
        <v>2021</v>
      </c>
      <c r="T25" s="79">
        <f t="shared" si="2"/>
        <v>2022</v>
      </c>
      <c r="U25" s="79">
        <f t="shared" si="2"/>
        <v>2023</v>
      </c>
      <c r="V25" s="79">
        <f t="shared" si="2"/>
        <v>2024</v>
      </c>
      <c r="W25" s="79">
        <f t="shared" si="2"/>
        <v>2025</v>
      </c>
      <c r="X25" s="79">
        <f t="shared" si="2"/>
        <v>2026</v>
      </c>
      <c r="Y25" s="79">
        <f t="shared" si="2"/>
        <v>2027</v>
      </c>
      <c r="Z25" s="79">
        <f t="shared" si="2"/>
        <v>2028</v>
      </c>
      <c r="AA25" s="79">
        <f t="shared" si="2"/>
        <v>2029</v>
      </c>
      <c r="AB25" s="79">
        <f t="shared" si="2"/>
        <v>2030</v>
      </c>
      <c r="AC25" s="79">
        <f t="shared" si="2"/>
        <v>2031</v>
      </c>
    </row>
    <row r="26" spans="2:29" ht="15.6" x14ac:dyDescent="0.3">
      <c r="B26" s="312"/>
      <c r="K26" s="313"/>
      <c r="Q26" s="69" t="s">
        <v>679</v>
      </c>
      <c r="R26" s="69"/>
      <c r="S26" s="568">
        <v>15971.634341949975</v>
      </c>
      <c r="T26" s="568">
        <v>19829.125474541652</v>
      </c>
      <c r="U26" s="568">
        <v>24144.008065277267</v>
      </c>
      <c r="V26" s="568">
        <v>28514.286746040711</v>
      </c>
      <c r="W26" s="568">
        <v>32788.30168889997</v>
      </c>
      <c r="X26" s="568">
        <v>36930.058621146483</v>
      </c>
      <c r="Y26" s="568">
        <v>40844.263538067127</v>
      </c>
      <c r="Z26" s="568">
        <v>44465.748016040947</v>
      </c>
      <c r="AA26" s="568">
        <v>47859.329993839317</v>
      </c>
      <c r="AB26" s="568">
        <v>51086.897686528631</v>
      </c>
      <c r="AC26" s="568">
        <v>54179.892068825371</v>
      </c>
    </row>
    <row r="27" spans="2:29" ht="15.6" x14ac:dyDescent="0.3">
      <c r="B27" s="312"/>
      <c r="K27" s="313"/>
      <c r="Q27" s="69" t="s">
        <v>680</v>
      </c>
      <c r="R27" s="69"/>
      <c r="S27" s="568">
        <v>16827.932645062501</v>
      </c>
      <c r="T27" s="568">
        <v>22001.091264495088</v>
      </c>
      <c r="U27" s="568">
        <v>28006.541761710338</v>
      </c>
      <c r="V27" s="568">
        <v>34371.134374431655</v>
      </c>
      <c r="W27" s="568">
        <v>40843.409375305011</v>
      </c>
      <c r="X27" s="568">
        <v>47280.621352308997</v>
      </c>
      <c r="Y27" s="568">
        <v>53488.305157389295</v>
      </c>
      <c r="Z27" s="568">
        <v>59325.148103552303</v>
      </c>
      <c r="AA27" s="568">
        <v>64805.469368774371</v>
      </c>
      <c r="AB27" s="568">
        <v>69970.161958921235</v>
      </c>
      <c r="AC27" s="568">
        <v>74846.79072098594</v>
      </c>
    </row>
    <row r="28" spans="2:29" ht="15.6" x14ac:dyDescent="0.3">
      <c r="B28" s="312"/>
      <c r="K28" s="313"/>
      <c r="Q28" s="69" t="s">
        <v>681</v>
      </c>
      <c r="R28" s="69"/>
      <c r="S28" s="561">
        <v>15115.336038837446</v>
      </c>
      <c r="T28" s="568">
        <v>17778.600972088792</v>
      </c>
      <c r="U28" s="568">
        <v>20685.72500574118</v>
      </c>
      <c r="V28" s="568">
        <v>23510.779229258173</v>
      </c>
      <c r="W28" s="568">
        <v>26181.536039150455</v>
      </c>
      <c r="X28" s="568">
        <v>28730.970491260123</v>
      </c>
      <c r="Y28" s="568">
        <v>31117.54037058317</v>
      </c>
      <c r="Z28" s="568">
        <v>33309.001752622607</v>
      </c>
      <c r="AA28" s="568">
        <v>35385.442963889713</v>
      </c>
      <c r="AB28" s="568">
        <v>37406.382535793578</v>
      </c>
      <c r="AC28" s="568">
        <v>39393.531049941266</v>
      </c>
    </row>
    <row r="29" spans="2:29" x14ac:dyDescent="0.25">
      <c r="B29" s="312"/>
      <c r="K29" s="313"/>
    </row>
    <row r="30" spans="2:29" x14ac:dyDescent="0.25">
      <c r="B30" s="312"/>
      <c r="K30" s="313"/>
    </row>
    <row r="31" spans="2:29" x14ac:dyDescent="0.25">
      <c r="B31" s="564"/>
      <c r="C31" s="76"/>
      <c r="D31" s="76"/>
      <c r="E31" s="76"/>
      <c r="F31" s="76"/>
      <c r="G31" s="76"/>
      <c r="H31" s="76"/>
      <c r="I31" s="76"/>
      <c r="J31" s="76"/>
      <c r="K31" s="565"/>
    </row>
    <row r="34" spans="2:29" x14ac:dyDescent="0.25">
      <c r="B34" s="1" t="s">
        <v>723</v>
      </c>
    </row>
    <row r="35" spans="2:29" x14ac:dyDescent="0.25">
      <c r="B35" s="562"/>
      <c r="C35" s="13"/>
      <c r="D35" s="13"/>
      <c r="E35" s="13"/>
      <c r="F35" s="13"/>
      <c r="G35" s="13"/>
      <c r="H35" s="13"/>
      <c r="I35" s="13"/>
      <c r="J35" s="13"/>
      <c r="K35" s="563"/>
    </row>
    <row r="36" spans="2:29" x14ac:dyDescent="0.25">
      <c r="B36" s="312"/>
      <c r="K36" s="313"/>
    </row>
    <row r="37" spans="2:29" x14ac:dyDescent="0.25">
      <c r="B37" s="312"/>
      <c r="K37" s="313"/>
    </row>
    <row r="38" spans="2:29" x14ac:dyDescent="0.25">
      <c r="B38" s="312"/>
      <c r="K38" s="313"/>
    </row>
    <row r="39" spans="2:29" x14ac:dyDescent="0.25">
      <c r="B39" s="312"/>
      <c r="K39" s="313"/>
    </row>
    <row r="40" spans="2:29" x14ac:dyDescent="0.25">
      <c r="B40" s="312"/>
      <c r="K40" s="313"/>
    </row>
    <row r="41" spans="2:29" x14ac:dyDescent="0.25">
      <c r="B41" s="312"/>
      <c r="K41" s="313"/>
    </row>
    <row r="42" spans="2:29" x14ac:dyDescent="0.25">
      <c r="B42" s="312"/>
      <c r="K42" s="313"/>
    </row>
    <row r="43" spans="2:29" x14ac:dyDescent="0.25">
      <c r="B43" s="312"/>
      <c r="K43" s="313"/>
    </row>
    <row r="44" spans="2:29" ht="15.6" x14ac:dyDescent="0.3">
      <c r="B44" s="312"/>
      <c r="K44" s="313"/>
      <c r="U44" s="185"/>
      <c r="AB44" s="185"/>
      <c r="AC44" s="185"/>
    </row>
    <row r="45" spans="2:29" x14ac:dyDescent="0.25">
      <c r="B45" s="564"/>
      <c r="C45" s="76"/>
      <c r="D45" s="76"/>
      <c r="E45" s="76"/>
      <c r="F45" s="76"/>
      <c r="G45" s="76"/>
      <c r="H45" s="76"/>
      <c r="I45" s="76"/>
      <c r="J45" s="76"/>
      <c r="K45" s="565"/>
      <c r="U45" s="60"/>
      <c r="AB45" s="60"/>
      <c r="AC45" s="60"/>
    </row>
    <row r="46" spans="2:29" ht="15.6" x14ac:dyDescent="0.3">
      <c r="U46" s="568"/>
      <c r="AB46" s="559"/>
      <c r="AC46" s="559"/>
    </row>
    <row r="47" spans="2:29" ht="15.6" x14ac:dyDescent="0.3">
      <c r="U47" s="568"/>
      <c r="AB47" s="559"/>
      <c r="AC47" s="559"/>
    </row>
    <row r="48" spans="2:29" ht="15.6" x14ac:dyDescent="0.3">
      <c r="B48" s="1" t="s">
        <v>682</v>
      </c>
      <c r="U48" s="568"/>
      <c r="AB48" s="559"/>
      <c r="AC48" s="559"/>
    </row>
    <row r="49" spans="2:20" ht="15.6" x14ac:dyDescent="0.3">
      <c r="B49" s="562"/>
      <c r="C49" s="13"/>
      <c r="D49" s="13"/>
      <c r="E49" s="13"/>
      <c r="F49" s="13"/>
      <c r="G49" s="13"/>
      <c r="H49" s="13"/>
      <c r="I49" s="13"/>
      <c r="J49" s="13"/>
      <c r="K49" s="563"/>
      <c r="Q49" s="167" t="s">
        <v>660</v>
      </c>
      <c r="R49" s="184"/>
      <c r="S49" s="184"/>
      <c r="T49" s="184"/>
    </row>
    <row r="50" spans="2:20" ht="15.6" x14ac:dyDescent="0.3">
      <c r="B50" s="312"/>
      <c r="K50" s="313"/>
      <c r="Q50" s="69"/>
      <c r="R50" s="69"/>
      <c r="S50" s="78">
        <v>2020</v>
      </c>
      <c r="T50" s="79">
        <v>2031</v>
      </c>
    </row>
    <row r="51" spans="2:20" ht="15.6" x14ac:dyDescent="0.3">
      <c r="B51" s="312"/>
      <c r="K51" s="313"/>
      <c r="Q51" s="69" t="s">
        <v>103</v>
      </c>
      <c r="R51" s="69"/>
      <c r="S51" s="568">
        <v>197346</v>
      </c>
      <c r="T51" s="568">
        <v>500569.77360541123</v>
      </c>
    </row>
    <row r="52" spans="2:20" ht="15.6" x14ac:dyDescent="0.3">
      <c r="B52" s="312"/>
      <c r="K52" s="313"/>
      <c r="Q52" s="69" t="s">
        <v>104</v>
      </c>
      <c r="R52" s="69"/>
      <c r="S52" s="568">
        <v>16227</v>
      </c>
      <c r="T52" s="568">
        <v>20324.719506691192</v>
      </c>
    </row>
    <row r="53" spans="2:20" ht="15.6" x14ac:dyDescent="0.3">
      <c r="B53" s="312"/>
      <c r="K53" s="313"/>
      <c r="Q53" s="69" t="s">
        <v>105</v>
      </c>
      <c r="R53" s="69"/>
      <c r="S53" s="568">
        <v>80461</v>
      </c>
      <c r="T53" s="568">
        <v>372394.30086936732</v>
      </c>
    </row>
    <row r="54" spans="2:20" ht="15.6" x14ac:dyDescent="0.3">
      <c r="B54" s="312"/>
      <c r="K54" s="313"/>
      <c r="Q54" s="69" t="s">
        <v>274</v>
      </c>
      <c r="S54" s="568">
        <v>25207</v>
      </c>
      <c r="T54" s="568">
        <v>135965.74923780258</v>
      </c>
    </row>
    <row r="55" spans="2:20" ht="15.6" x14ac:dyDescent="0.3">
      <c r="B55" s="312"/>
      <c r="K55" s="313"/>
      <c r="Q55" s="69" t="s">
        <v>107</v>
      </c>
      <c r="S55" s="568">
        <v>45370</v>
      </c>
      <c r="T55" s="568">
        <v>225739.553331409</v>
      </c>
    </row>
    <row r="56" spans="2:20" ht="15.6" x14ac:dyDescent="0.3">
      <c r="B56" s="312"/>
      <c r="K56" s="313"/>
      <c r="Q56" s="69" t="s">
        <v>108</v>
      </c>
      <c r="S56" s="568">
        <v>21453</v>
      </c>
      <c r="T56" s="568">
        <v>282748.61566617095</v>
      </c>
    </row>
    <row r="57" spans="2:20" x14ac:dyDescent="0.25">
      <c r="B57" s="312"/>
      <c r="K57" s="313"/>
    </row>
    <row r="58" spans="2:20" x14ac:dyDescent="0.25">
      <c r="B58" s="312"/>
      <c r="K58" s="313"/>
    </row>
    <row r="59" spans="2:20" x14ac:dyDescent="0.25">
      <c r="B59" s="564"/>
      <c r="C59" s="76"/>
      <c r="D59" s="76"/>
      <c r="E59" s="76"/>
      <c r="F59" s="76"/>
      <c r="G59" s="76"/>
      <c r="H59" s="76"/>
      <c r="I59" s="76"/>
      <c r="J59" s="76"/>
      <c r="K59" s="565"/>
    </row>
  </sheetData>
  <pageMargins left="0.7" right="0.7" top="0.75" bottom="0.75" header="0.3" footer="0.3"/>
  <pageSetup scale="41"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37E9E-4C17-4753-8066-4971419AF703}">
  <dimension ref="A1:X49"/>
  <sheetViews>
    <sheetView showGridLines="0" zoomScaleNormal="100" workbookViewId="0"/>
  </sheetViews>
  <sheetFormatPr defaultColWidth="12.75" defaultRowHeight="15.6" x14ac:dyDescent="0.3"/>
  <cols>
    <col min="1" max="1" width="3.375" style="69" customWidth="1"/>
    <col min="2" max="6" width="10.75" style="69" customWidth="1"/>
    <col min="7" max="7" width="11.75" style="69" customWidth="1"/>
    <col min="8" max="8" width="5.75" style="69" customWidth="1"/>
    <col min="9" max="15" width="10.75" style="69" customWidth="1"/>
    <col min="16" max="16" width="5.75" style="69" customWidth="1"/>
    <col min="17" max="24" width="10.75" style="69" customWidth="1"/>
    <col min="25" max="16384" width="12.75" style="69"/>
  </cols>
  <sheetData>
    <row r="1" spans="1:24" x14ac:dyDescent="0.3">
      <c r="A1" s="67" t="s">
        <v>76</v>
      </c>
      <c r="B1" s="68"/>
      <c r="C1" s="68"/>
      <c r="D1" s="68"/>
      <c r="E1" s="68"/>
      <c r="F1" s="68"/>
      <c r="G1" s="68"/>
      <c r="H1" s="68"/>
      <c r="I1" s="68"/>
      <c r="J1" s="68"/>
      <c r="K1" s="68"/>
      <c r="L1" s="68"/>
      <c r="M1" s="68"/>
      <c r="N1" s="68"/>
      <c r="O1" s="68"/>
      <c r="P1" s="68"/>
      <c r="Q1" s="68"/>
      <c r="R1" s="68"/>
      <c r="S1" s="68"/>
      <c r="T1" s="68"/>
      <c r="U1" s="68"/>
      <c r="V1" s="68"/>
      <c r="W1" s="68"/>
    </row>
    <row r="2" spans="1:24" s="117" customFormat="1" ht="20.100000000000001" customHeight="1" x14ac:dyDescent="0.3">
      <c r="A2" s="70" t="s">
        <v>518</v>
      </c>
      <c r="B2" s="116"/>
      <c r="C2" s="116"/>
      <c r="D2" s="116"/>
      <c r="E2" s="116"/>
      <c r="F2" s="116"/>
      <c r="G2" s="116"/>
      <c r="H2" s="116"/>
      <c r="I2" s="116"/>
      <c r="J2" s="116"/>
      <c r="K2" s="116"/>
      <c r="L2" s="116"/>
      <c r="M2" s="116"/>
      <c r="N2" s="116"/>
      <c r="O2" s="116"/>
      <c r="P2" s="116"/>
      <c r="Q2" s="116"/>
      <c r="R2" s="116"/>
      <c r="S2" s="116"/>
      <c r="T2" s="116"/>
      <c r="U2" s="116"/>
      <c r="V2" s="116"/>
      <c r="W2" s="116"/>
      <c r="X2" s="69"/>
    </row>
    <row r="3" spans="1:24" ht="16.5" customHeight="1" x14ac:dyDescent="0.3">
      <c r="A3" s="71" t="s">
        <v>229</v>
      </c>
      <c r="B3" s="72"/>
      <c r="C3" s="72"/>
      <c r="D3" s="72"/>
      <c r="E3" s="72"/>
      <c r="F3" s="72"/>
      <c r="G3" s="72"/>
      <c r="H3" s="72"/>
      <c r="I3" s="72"/>
      <c r="J3" s="72"/>
      <c r="K3" s="72"/>
      <c r="L3" s="72"/>
      <c r="M3" s="72"/>
      <c r="N3" s="72"/>
      <c r="O3" s="72"/>
      <c r="P3" s="72"/>
      <c r="Q3" s="72"/>
      <c r="R3" s="72"/>
      <c r="S3" s="72"/>
      <c r="T3" s="72"/>
      <c r="U3" s="72"/>
      <c r="V3" s="72"/>
      <c r="W3" s="72"/>
    </row>
    <row r="4" spans="1:24" x14ac:dyDescent="0.3">
      <c r="A4" s="73"/>
      <c r="B4" s="73"/>
      <c r="C4" s="73"/>
      <c r="F4" s="73"/>
      <c r="G4" s="73"/>
      <c r="H4" s="73"/>
      <c r="I4" s="73"/>
      <c r="J4" s="73"/>
      <c r="K4" s="73"/>
      <c r="L4" s="73"/>
      <c r="M4" s="73"/>
      <c r="N4" s="73"/>
      <c r="O4" s="73"/>
      <c r="P4" s="73"/>
      <c r="Q4" s="73"/>
    </row>
    <row r="5" spans="1:24" x14ac:dyDescent="0.3">
      <c r="B5" s="74" t="s">
        <v>281</v>
      </c>
      <c r="C5" s="74"/>
      <c r="D5" s="74"/>
      <c r="E5" s="74"/>
      <c r="F5" s="74"/>
      <c r="G5" s="74"/>
      <c r="I5" s="74" t="s">
        <v>642</v>
      </c>
      <c r="J5" s="74"/>
      <c r="K5" s="74"/>
      <c r="L5" s="74"/>
      <c r="M5" s="74"/>
      <c r="N5" s="74"/>
      <c r="O5" s="74"/>
      <c r="Q5" s="74" t="s">
        <v>330</v>
      </c>
      <c r="R5" s="74"/>
      <c r="S5" s="74"/>
      <c r="T5" s="74"/>
      <c r="U5" s="74"/>
      <c r="V5" s="74"/>
      <c r="W5" s="74"/>
    </row>
    <row r="6" spans="1:24" ht="5.25" customHeight="1" x14ac:dyDescent="0.3">
      <c r="B6" s="98"/>
      <c r="C6" s="103"/>
      <c r="D6" s="104"/>
      <c r="E6" s="104"/>
      <c r="F6" s="99"/>
      <c r="G6" s="99"/>
    </row>
    <row r="7" spans="1:24" x14ac:dyDescent="0.3">
      <c r="B7" s="99" t="s">
        <v>332</v>
      </c>
      <c r="C7" s="98"/>
      <c r="D7" s="98"/>
      <c r="E7" s="98"/>
      <c r="F7" s="98"/>
      <c r="G7" s="100" t="s">
        <v>403</v>
      </c>
      <c r="I7" s="105" t="s">
        <v>413</v>
      </c>
      <c r="J7" s="105"/>
      <c r="K7" s="105"/>
      <c r="L7" s="105"/>
      <c r="M7" s="105"/>
      <c r="N7" s="105"/>
      <c r="O7" s="105"/>
      <c r="P7" s="99"/>
      <c r="Q7" s="105" t="s">
        <v>331</v>
      </c>
      <c r="R7" s="105"/>
      <c r="S7" s="106"/>
      <c r="T7" s="105"/>
      <c r="U7" s="105"/>
      <c r="V7" s="105"/>
      <c r="W7" s="105"/>
    </row>
    <row r="8" spans="1:24" x14ac:dyDescent="0.3">
      <c r="B8" s="98"/>
      <c r="C8" s="98"/>
      <c r="D8" s="98"/>
      <c r="E8" s="98"/>
      <c r="F8" s="98"/>
      <c r="G8" s="98"/>
      <c r="P8" s="99"/>
      <c r="Q8" s="107" t="s">
        <v>403</v>
      </c>
      <c r="R8" s="69" t="s">
        <v>612</v>
      </c>
      <c r="W8" s="107">
        <v>1</v>
      </c>
    </row>
    <row r="9" spans="1:24" x14ac:dyDescent="0.3">
      <c r="B9" s="98"/>
      <c r="C9" s="98"/>
      <c r="D9" s="98"/>
      <c r="E9" s="98"/>
      <c r="F9" s="75" t="s">
        <v>279</v>
      </c>
      <c r="G9" s="480" t="s">
        <v>280</v>
      </c>
      <c r="I9" s="69" t="s">
        <v>412</v>
      </c>
      <c r="N9" s="239"/>
      <c r="O9" s="241">
        <v>0.2</v>
      </c>
      <c r="P9" s="99"/>
      <c r="Q9" s="107" t="s">
        <v>144</v>
      </c>
      <c r="R9" s="69" t="s">
        <v>724</v>
      </c>
      <c r="W9" s="107">
        <v>2</v>
      </c>
    </row>
    <row r="10" spans="1:24" x14ac:dyDescent="0.3">
      <c r="B10" s="69" t="s">
        <v>278</v>
      </c>
      <c r="F10" s="575" t="s">
        <v>720</v>
      </c>
      <c r="G10" s="474" t="s">
        <v>282</v>
      </c>
      <c r="I10" s="69" t="s">
        <v>499</v>
      </c>
      <c r="N10" s="239"/>
      <c r="O10" s="241">
        <v>0.25</v>
      </c>
      <c r="P10" s="99"/>
      <c r="Q10" s="107" t="s">
        <v>145</v>
      </c>
      <c r="R10" s="69" t="s">
        <v>725</v>
      </c>
      <c r="U10" s="107"/>
      <c r="W10" s="107">
        <v>3</v>
      </c>
    </row>
    <row r="11" spans="1:24" x14ac:dyDescent="0.3">
      <c r="B11" s="69" t="s">
        <v>137</v>
      </c>
      <c r="F11" s="576">
        <v>44275</v>
      </c>
      <c r="G11" s="474" t="s">
        <v>255</v>
      </c>
      <c r="I11" s="69" t="s">
        <v>500</v>
      </c>
      <c r="O11" s="241">
        <f>-O10</f>
        <v>-0.25</v>
      </c>
      <c r="Q11" s="107" t="s">
        <v>108</v>
      </c>
      <c r="R11" s="69" t="s">
        <v>611</v>
      </c>
      <c r="W11" s="107">
        <v>4</v>
      </c>
    </row>
    <row r="12" spans="1:24" x14ac:dyDescent="0.3">
      <c r="F12" s="577"/>
      <c r="G12" s="474"/>
      <c r="P12" s="99"/>
      <c r="Q12" s="108" t="str">
        <f>+VLOOKUP($G$7,$Q$8:$W$11,1,FALSE)</f>
        <v>Base</v>
      </c>
      <c r="R12" s="109" t="str">
        <f>+VLOOKUP($G$7,$Q$8:$W$11,2,FALSE)</f>
        <v>Based on Base Estimates and Demonstrated Historical Growth</v>
      </c>
      <c r="S12" s="109"/>
      <c r="T12" s="109"/>
      <c r="U12" s="109"/>
      <c r="V12" s="109"/>
      <c r="W12" s="110">
        <f>+VLOOKUP($G$7,$Q$8:$W$11,7,FALSE)</f>
        <v>1</v>
      </c>
    </row>
    <row r="13" spans="1:24" x14ac:dyDescent="0.3">
      <c r="B13" s="69" t="s">
        <v>608</v>
      </c>
      <c r="C13" s="99"/>
      <c r="D13" s="111"/>
      <c r="E13" s="111"/>
      <c r="F13" s="576">
        <v>44196</v>
      </c>
      <c r="G13" s="475"/>
      <c r="H13" s="107"/>
      <c r="I13" s="105" t="s">
        <v>414</v>
      </c>
      <c r="J13" s="105"/>
      <c r="K13" s="105"/>
      <c r="L13" s="105"/>
      <c r="M13" s="105"/>
      <c r="N13" s="105"/>
      <c r="O13" s="105"/>
      <c r="P13" s="99"/>
    </row>
    <row r="14" spans="1:24" x14ac:dyDescent="0.3">
      <c r="B14" s="69" t="s">
        <v>609</v>
      </c>
      <c r="C14" s="99"/>
      <c r="D14" s="111"/>
      <c r="E14" s="111"/>
      <c r="F14" s="576">
        <v>44561</v>
      </c>
      <c r="G14" s="475" t="s">
        <v>285</v>
      </c>
      <c r="I14" s="99" t="s">
        <v>4</v>
      </c>
      <c r="J14" s="99"/>
      <c r="K14" s="99"/>
      <c r="L14" s="99"/>
      <c r="M14" s="99"/>
      <c r="N14" s="99"/>
      <c r="O14" s="470">
        <f>'Raw Data'!O16</f>
        <v>0.61406673065772188</v>
      </c>
      <c r="P14" s="99"/>
      <c r="Q14" s="105" t="s">
        <v>359</v>
      </c>
      <c r="R14" s="105"/>
      <c r="S14" s="106"/>
      <c r="T14" s="105"/>
      <c r="U14" s="105"/>
      <c r="V14" s="105"/>
      <c r="W14" s="105"/>
    </row>
    <row r="15" spans="1:24" x14ac:dyDescent="0.3">
      <c r="F15" s="578"/>
      <c r="G15" s="288"/>
      <c r="H15" s="99"/>
      <c r="P15" s="99"/>
      <c r="Q15" s="107" t="s">
        <v>356</v>
      </c>
      <c r="W15" s="107">
        <v>1</v>
      </c>
    </row>
    <row r="16" spans="1:24" x14ac:dyDescent="0.3">
      <c r="B16" s="69" t="s">
        <v>622</v>
      </c>
      <c r="F16" s="579">
        <v>1000</v>
      </c>
      <c r="G16" s="477" t="s">
        <v>623</v>
      </c>
      <c r="I16" s="99" t="s">
        <v>5</v>
      </c>
      <c r="J16" s="99"/>
      <c r="K16" s="99"/>
      <c r="L16" s="99"/>
      <c r="M16" s="99"/>
      <c r="N16" s="99"/>
      <c r="O16" s="470">
        <f>'Raw Data'!O17</f>
        <v>0.14252403549504061</v>
      </c>
      <c r="P16" s="99"/>
      <c r="Q16" s="107" t="s">
        <v>357</v>
      </c>
      <c r="W16" s="107">
        <v>2</v>
      </c>
    </row>
    <row r="17" spans="2:23" x14ac:dyDescent="0.3">
      <c r="H17" s="99"/>
      <c r="I17" s="69" t="s">
        <v>6</v>
      </c>
      <c r="J17" s="99"/>
      <c r="K17" s="99"/>
      <c r="L17" s="99"/>
      <c r="M17" s="99"/>
      <c r="N17" s="99"/>
      <c r="O17" s="470">
        <f>'Raw Data'!O18</f>
        <v>0.10859610833824865</v>
      </c>
      <c r="P17" s="99"/>
      <c r="Q17" s="107" t="s">
        <v>358</v>
      </c>
      <c r="W17" s="107">
        <v>3</v>
      </c>
    </row>
    <row r="18" spans="2:23" x14ac:dyDescent="0.3">
      <c r="H18" s="99"/>
      <c r="I18" s="99" t="s">
        <v>7</v>
      </c>
      <c r="O18" s="470">
        <f>'Raw Data'!O19</f>
        <v>7.1702356058928607E-2</v>
      </c>
      <c r="P18" s="99"/>
      <c r="Q18" s="108" t="str">
        <f>+VLOOKUP($G$25,$Q$15:$W$17,1,FALSE)</f>
        <v>Terminal Value: Average</v>
      </c>
      <c r="R18" s="109"/>
      <c r="S18" s="109"/>
      <c r="T18" s="109"/>
      <c r="U18" s="109"/>
      <c r="V18" s="109"/>
      <c r="W18" s="110">
        <f>+VLOOKUP($G$25,$Q$15:$W$17,7,FALSE)</f>
        <v>3</v>
      </c>
    </row>
    <row r="19" spans="2:23" x14ac:dyDescent="0.3">
      <c r="B19" s="74" t="s">
        <v>333</v>
      </c>
      <c r="C19" s="74"/>
      <c r="D19" s="74"/>
      <c r="E19" s="74"/>
      <c r="F19" s="74"/>
      <c r="G19" s="74"/>
      <c r="I19" s="99" t="s">
        <v>8</v>
      </c>
      <c r="J19" s="99"/>
      <c r="K19" s="99"/>
      <c r="L19" s="99"/>
      <c r="M19" s="99"/>
      <c r="N19" s="99"/>
      <c r="O19" s="470">
        <f>'Raw Data'!O20</f>
        <v>1.8595569222613954E-2</v>
      </c>
      <c r="P19" s="99"/>
    </row>
    <row r="20" spans="2:23" x14ac:dyDescent="0.3">
      <c r="H20" s="99"/>
      <c r="I20" s="99" t="s">
        <v>643</v>
      </c>
      <c r="J20" s="99"/>
      <c r="K20" s="99"/>
      <c r="L20" s="99"/>
      <c r="M20" s="99"/>
      <c r="N20" s="99"/>
      <c r="O20" s="470">
        <f>'Raw Data'!O21</f>
        <v>8.4489344188076482E-4</v>
      </c>
      <c r="P20" s="99"/>
      <c r="Q20" s="105" t="s">
        <v>613</v>
      </c>
      <c r="R20" s="105"/>
      <c r="S20" s="106"/>
      <c r="T20" s="105"/>
      <c r="U20" s="105"/>
      <c r="V20" s="105"/>
      <c r="W20" s="105"/>
    </row>
    <row r="21" spans="2:23" x14ac:dyDescent="0.3">
      <c r="B21" s="69" t="s">
        <v>290</v>
      </c>
      <c r="F21" s="115">
        <v>0.32200000000000001</v>
      </c>
      <c r="G21" s="474" t="s">
        <v>289</v>
      </c>
      <c r="H21" s="99"/>
      <c r="P21" s="99"/>
      <c r="V21" s="75" t="s">
        <v>280</v>
      </c>
      <c r="W21" s="75" t="s">
        <v>279</v>
      </c>
    </row>
    <row r="22" spans="2:23" x14ac:dyDescent="0.3">
      <c r="B22" s="99" t="s">
        <v>343</v>
      </c>
      <c r="C22" s="99"/>
      <c r="D22" s="99"/>
      <c r="E22" s="99"/>
      <c r="F22" s="470">
        <f>AVERAGE('Financial Statements'!D324:G324)</f>
        <v>2.9971907651739387E-2</v>
      </c>
      <c r="H22" s="99"/>
      <c r="I22" s="99" t="s">
        <v>83</v>
      </c>
      <c r="J22" s="99"/>
      <c r="K22" s="99"/>
      <c r="L22" s="99"/>
      <c r="M22" s="99"/>
      <c r="N22" s="99"/>
      <c r="O22" s="470">
        <f>'Raw Data'!O23</f>
        <v>6.8477490381441616E-2</v>
      </c>
      <c r="P22" s="99"/>
      <c r="Q22" s="45" t="s">
        <v>167</v>
      </c>
      <c r="V22" s="475" t="s">
        <v>286</v>
      </c>
      <c r="W22" s="278">
        <f>IF(DCF!L47="",'Control Panel'!F28,DCF!L47)</f>
        <v>0.08</v>
      </c>
    </row>
    <row r="23" spans="2:23" ht="15.75" customHeight="1" x14ac:dyDescent="0.3">
      <c r="H23" s="99"/>
      <c r="Q23" s="91" t="s">
        <v>355</v>
      </c>
      <c r="W23" s="276">
        <f>IF(DCF!L48="",'Control Panel'!F26,DCF!L48)</f>
        <v>25</v>
      </c>
    </row>
    <row r="24" spans="2:23" x14ac:dyDescent="0.3">
      <c r="B24" s="112" t="s">
        <v>363</v>
      </c>
      <c r="H24" s="99"/>
      <c r="Q24" s="279" t="s">
        <v>412</v>
      </c>
      <c r="W24" s="231">
        <f>IF(DCF!L49="",'Control Panel'!O9,DCF!L49)</f>
        <v>0.2</v>
      </c>
    </row>
    <row r="25" spans="2:23" x14ac:dyDescent="0.3">
      <c r="B25" s="99" t="s">
        <v>348</v>
      </c>
      <c r="F25" s="155"/>
      <c r="G25" s="156" t="s">
        <v>358</v>
      </c>
      <c r="H25" s="99"/>
      <c r="I25" s="74" t="s">
        <v>415</v>
      </c>
      <c r="J25" s="74"/>
      <c r="K25" s="74"/>
      <c r="L25" s="74"/>
      <c r="M25" s="74"/>
      <c r="N25" s="74"/>
      <c r="O25" s="74"/>
      <c r="Q25" s="307" t="s">
        <v>502</v>
      </c>
      <c r="W25" s="231">
        <f>IF(DCF!L50="",'Control Panel'!O14,DCF!L50)</f>
        <v>0.61406673065772188</v>
      </c>
    </row>
    <row r="26" spans="2:23" x14ac:dyDescent="0.3">
      <c r="B26" s="69" t="s">
        <v>355</v>
      </c>
      <c r="F26" s="154">
        <v>25</v>
      </c>
      <c r="H26" s="99"/>
    </row>
    <row r="27" spans="2:23" x14ac:dyDescent="0.3">
      <c r="B27" s="69" t="s">
        <v>607</v>
      </c>
      <c r="F27" s="115">
        <v>0.04</v>
      </c>
      <c r="G27" s="476" t="s">
        <v>318</v>
      </c>
      <c r="H27" s="99"/>
      <c r="I27" s="105" t="s">
        <v>630</v>
      </c>
      <c r="J27" s="105"/>
      <c r="K27" s="105"/>
      <c r="L27" s="105"/>
      <c r="M27" s="105"/>
      <c r="N27" s="105"/>
      <c r="O27" s="105"/>
    </row>
    <row r="28" spans="2:23" x14ac:dyDescent="0.3">
      <c r="B28" s="69" t="s">
        <v>167</v>
      </c>
      <c r="F28" s="470">
        <f>WACC!$R$33</f>
        <v>0.08</v>
      </c>
      <c r="H28" s="99"/>
      <c r="M28" s="190" t="s">
        <v>626</v>
      </c>
      <c r="N28" s="190" t="s">
        <v>626</v>
      </c>
      <c r="O28" s="190"/>
    </row>
    <row r="29" spans="2:23" x14ac:dyDescent="0.3">
      <c r="M29" s="190" t="s">
        <v>627</v>
      </c>
      <c r="N29" s="190" t="s">
        <v>628</v>
      </c>
      <c r="O29" s="190" t="s">
        <v>629</v>
      </c>
    </row>
    <row r="30" spans="2:23" x14ac:dyDescent="0.3">
      <c r="B30" s="98" t="s">
        <v>362</v>
      </c>
      <c r="C30" s="99"/>
      <c r="D30" s="99"/>
      <c r="E30" s="99"/>
      <c r="F30" s="114" t="s">
        <v>195</v>
      </c>
      <c r="G30" s="114" t="s">
        <v>276</v>
      </c>
      <c r="I30" s="69" t="s">
        <v>625</v>
      </c>
      <c r="M30" s="471">
        <f>'Raw Data'!O27</f>
        <v>25.164336353867952</v>
      </c>
      <c r="N30" s="471">
        <f>'Raw Data'!O29</f>
        <v>84.678360064628265</v>
      </c>
      <c r="O30" s="471">
        <f>'Raw Data'!O26</f>
        <v>45.437858812150033</v>
      </c>
    </row>
    <row r="31" spans="2:23" x14ac:dyDescent="0.3">
      <c r="B31" s="99" t="s">
        <v>165</v>
      </c>
      <c r="C31" s="99"/>
      <c r="D31" s="99"/>
      <c r="E31" s="99"/>
      <c r="F31" s="115">
        <v>2.3599999999999999E-2</v>
      </c>
      <c r="G31" s="115">
        <v>2.3599999999999999E-2</v>
      </c>
    </row>
    <row r="32" spans="2:23" x14ac:dyDescent="0.3">
      <c r="B32" s="99" t="s">
        <v>291</v>
      </c>
      <c r="C32" s="99"/>
      <c r="D32" s="99"/>
      <c r="E32" s="99"/>
      <c r="F32" s="115">
        <v>4.5600000000000002E-2</v>
      </c>
      <c r="G32" s="115">
        <v>4.5600000000000002E-2</v>
      </c>
      <c r="I32" s="69" t="s">
        <v>310</v>
      </c>
      <c r="O32" s="472">
        <f>'Raw Data'!O30</f>
        <v>0.10695213445462684</v>
      </c>
      <c r="P32" s="242"/>
    </row>
    <row r="33" spans="2:15" x14ac:dyDescent="0.3">
      <c r="B33" s="99" t="s">
        <v>293</v>
      </c>
      <c r="C33" s="99"/>
      <c r="D33" s="99"/>
      <c r="E33" s="99"/>
      <c r="F33" s="115">
        <v>0</v>
      </c>
      <c r="G33" s="115">
        <v>0</v>
      </c>
      <c r="I33" s="69" t="s">
        <v>311</v>
      </c>
      <c r="O33" s="472">
        <f>'Raw Data'!O31</f>
        <v>2.9225070665024288E-2</v>
      </c>
    </row>
    <row r="34" spans="2:15" x14ac:dyDescent="0.3">
      <c r="B34" s="99" t="s">
        <v>159</v>
      </c>
      <c r="C34" s="99"/>
      <c r="D34" s="99"/>
      <c r="E34" s="99"/>
      <c r="F34" s="115">
        <v>0</v>
      </c>
      <c r="G34" s="115">
        <v>0</v>
      </c>
      <c r="I34" s="99" t="s">
        <v>610</v>
      </c>
      <c r="J34" s="99"/>
      <c r="K34" s="99"/>
      <c r="L34" s="99"/>
      <c r="M34" s="99"/>
      <c r="N34" s="99"/>
      <c r="O34" s="115">
        <v>0.04</v>
      </c>
    </row>
    <row r="35" spans="2:15" x14ac:dyDescent="0.3">
      <c r="B35" s="99" t="s">
        <v>294</v>
      </c>
      <c r="C35" s="99"/>
      <c r="D35" s="99"/>
      <c r="E35" s="99"/>
      <c r="F35" s="115">
        <v>0.01</v>
      </c>
      <c r="G35" s="115">
        <v>0.02</v>
      </c>
    </row>
    <row r="36" spans="2:15" x14ac:dyDescent="0.3">
      <c r="B36" s="99" t="s">
        <v>338</v>
      </c>
      <c r="C36" s="99"/>
      <c r="D36" s="99"/>
      <c r="E36" s="99"/>
      <c r="F36" s="115">
        <v>0.05</v>
      </c>
      <c r="G36" s="115">
        <v>0.1</v>
      </c>
    </row>
    <row r="37" spans="2:15" x14ac:dyDescent="0.3">
      <c r="I37" s="105" t="s">
        <v>631</v>
      </c>
      <c r="J37" s="105"/>
      <c r="K37" s="105"/>
      <c r="L37" s="105"/>
      <c r="M37" s="105"/>
      <c r="N37" s="105"/>
      <c r="O37" s="105"/>
    </row>
    <row r="38" spans="2:15" x14ac:dyDescent="0.3">
      <c r="B38" s="112" t="s">
        <v>364</v>
      </c>
      <c r="I38" s="69" t="s">
        <v>632</v>
      </c>
      <c r="O38" s="472">
        <f>'Raw Data'!O33</f>
        <v>5.8143175565243843E-2</v>
      </c>
    </row>
    <row r="39" spans="2:15" x14ac:dyDescent="0.3">
      <c r="B39" s="69" t="s">
        <v>325</v>
      </c>
      <c r="F39" s="115">
        <v>-0.15</v>
      </c>
      <c r="I39" s="69" t="s">
        <v>633</v>
      </c>
      <c r="O39" s="249">
        <v>10</v>
      </c>
    </row>
    <row r="40" spans="2:15" x14ac:dyDescent="0.3">
      <c r="B40" s="69" t="s">
        <v>324</v>
      </c>
      <c r="F40" s="115">
        <v>0</v>
      </c>
    </row>
    <row r="41" spans="2:15" x14ac:dyDescent="0.3">
      <c r="B41" s="69" t="s">
        <v>186</v>
      </c>
      <c r="F41" s="115">
        <v>0.15</v>
      </c>
    </row>
    <row r="42" spans="2:15" x14ac:dyDescent="0.3">
      <c r="I42" s="105" t="s">
        <v>634</v>
      </c>
      <c r="J42" s="105"/>
      <c r="K42" s="105"/>
      <c r="L42" s="105"/>
      <c r="M42" s="105"/>
      <c r="N42" s="105"/>
      <c r="O42" s="105"/>
    </row>
    <row r="43" spans="2:15" x14ac:dyDescent="0.3">
      <c r="N43" s="190" t="s">
        <v>635</v>
      </c>
      <c r="O43" s="190" t="s">
        <v>636</v>
      </c>
    </row>
    <row r="44" spans="2:15" x14ac:dyDescent="0.3">
      <c r="B44" s="74" t="s">
        <v>641</v>
      </c>
      <c r="C44" s="74"/>
      <c r="D44" s="74"/>
      <c r="E44" s="74"/>
      <c r="F44" s="74"/>
      <c r="G44" s="74"/>
      <c r="I44" s="69" t="s">
        <v>637</v>
      </c>
      <c r="N44" s="472">
        <f>'Raw Data'!O37</f>
        <v>3.5030414631465473E-2</v>
      </c>
      <c r="O44" s="472">
        <f>'Raw Data'!O36</f>
        <v>4.4128346354779947E-2</v>
      </c>
    </row>
    <row r="45" spans="2:15" x14ac:dyDescent="0.3">
      <c r="I45" s="69" t="s">
        <v>638</v>
      </c>
      <c r="N45" s="472">
        <f>'Raw Data'!G158</f>
        <v>2.5000000000000001E-2</v>
      </c>
      <c r="O45" s="472">
        <f>'Raw Data'!G148</f>
        <v>2.1000000000000001E-2</v>
      </c>
    </row>
    <row r="46" spans="2:15" x14ac:dyDescent="0.3">
      <c r="B46" s="69" t="s">
        <v>431</v>
      </c>
      <c r="G46" s="115">
        <v>0.1</v>
      </c>
      <c r="I46" s="69" t="s">
        <v>639</v>
      </c>
      <c r="N46" s="473">
        <f>'Raw Data'!G159</f>
        <v>11.3</v>
      </c>
      <c r="O46" s="473">
        <f>'Raw Data'!G149</f>
        <v>6.2</v>
      </c>
    </row>
    <row r="47" spans="2:15" x14ac:dyDescent="0.3">
      <c r="B47" s="69" t="s">
        <v>432</v>
      </c>
      <c r="G47" s="479">
        <f>1-G46</f>
        <v>0.9</v>
      </c>
      <c r="I47" s="69" t="s">
        <v>640</v>
      </c>
      <c r="N47" s="478">
        <v>15</v>
      </c>
      <c r="O47" s="478">
        <v>10</v>
      </c>
    </row>
    <row r="48" spans="2:15" x14ac:dyDescent="0.3">
      <c r="B48" s="7"/>
      <c r="D48" s="107"/>
      <c r="E48" s="240"/>
    </row>
    <row r="49" spans="2:7" x14ac:dyDescent="0.3">
      <c r="B49" s="69" t="s">
        <v>587</v>
      </c>
      <c r="G49" s="249">
        <v>15</v>
      </c>
    </row>
  </sheetData>
  <dataValidations count="3">
    <dataValidation type="list" allowBlank="1" showInputMessage="1" showErrorMessage="1" sqref="G7" xr:uid="{21728B38-FD9F-4F29-BB59-8E95E91B2D4E}">
      <formula1>$Q$8:$Q$11</formula1>
    </dataValidation>
    <dataValidation type="list" allowBlank="1" showInputMessage="1" showErrorMessage="1" sqref="G25" xr:uid="{CFD782FB-576D-4903-8D72-90D1ADBB8A07}">
      <formula1>$Q$15:$Q$17</formula1>
    </dataValidation>
    <dataValidation type="list" allowBlank="1" showInputMessage="1" showErrorMessage="1" sqref="N47:O47" xr:uid="{690B2316-669A-47EB-AFFD-A918A13940F8}">
      <formula1>"1,2,3,4,5,6,7,8,9,10,11,12,13,14,15,16,17,18,19,20,21,22,23,24,25"</formula1>
    </dataValidation>
  </dataValidations>
  <pageMargins left="0.7" right="0.7" top="0.75" bottom="0.75" header="0.3" footer="0.3"/>
  <pageSetup scale="41" orientation="portrait" r:id="rId1"/>
  <customProperties>
    <customPr name="Guid" r:id="rId2"/>
  </customProperties>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C37E0-C592-4163-8A2B-39D858AAB25A}">
  <dimension ref="A1:U345"/>
  <sheetViews>
    <sheetView showGridLines="0" tabSelected="1" zoomScaleNormal="100" workbookViewId="0">
      <pane xSplit="2" ySplit="5" topLeftCell="E25" activePane="bottomRight" state="frozen"/>
      <selection pane="topRight" activeCell="C1" sqref="C1"/>
      <selection pane="bottomLeft" activeCell="A6" sqref="A6"/>
      <selection pane="bottomRight" activeCell="H37" sqref="H37"/>
    </sheetView>
  </sheetViews>
  <sheetFormatPr defaultColWidth="9" defaultRowHeight="13.8" outlineLevelRow="1" x14ac:dyDescent="0.25"/>
  <cols>
    <col min="1" max="1" width="3.375" customWidth="1"/>
    <col min="2" max="2" width="65.75" customWidth="1"/>
    <col min="3" max="3" width="14.125" customWidth="1"/>
    <col min="4" max="4" width="12.375" customWidth="1"/>
    <col min="5" max="5" width="12.375" bestFit="1" customWidth="1"/>
    <col min="6" max="7" width="12.875" bestFit="1" customWidth="1"/>
    <col min="8" max="8" width="15.125" customWidth="1"/>
    <col min="9" max="9" width="12.875" bestFit="1" customWidth="1"/>
    <col min="10" max="10" width="12.375" bestFit="1" customWidth="1"/>
    <col min="11" max="11" width="12.875" bestFit="1" customWidth="1"/>
    <col min="12" max="12" width="14.25" bestFit="1" customWidth="1"/>
    <col min="13" max="13" width="13.875" bestFit="1" customWidth="1"/>
    <col min="14" max="15" width="14.625" bestFit="1" customWidth="1"/>
    <col min="16" max="16" width="14.25" bestFit="1" customWidth="1"/>
    <col min="17" max="17" width="14.625" customWidth="1"/>
    <col min="18" max="18" width="15.625" customWidth="1"/>
    <col min="19" max="19" width="13.375" customWidth="1"/>
    <col min="20" max="20" width="12.125" customWidth="1"/>
    <col min="21" max="21" width="27.75" customWidth="1"/>
  </cols>
  <sheetData>
    <row r="1" spans="1:20" x14ac:dyDescent="0.25">
      <c r="A1" s="67" t="s">
        <v>76</v>
      </c>
      <c r="B1" s="2"/>
      <c r="C1" s="17"/>
      <c r="D1" s="17"/>
      <c r="E1" s="17"/>
      <c r="F1" s="17"/>
      <c r="G1" s="17"/>
      <c r="H1" s="17"/>
      <c r="I1" s="17"/>
      <c r="J1" s="43"/>
      <c r="K1" s="44"/>
      <c r="L1" s="17"/>
      <c r="M1" s="43"/>
      <c r="N1" s="44"/>
      <c r="O1" s="17"/>
      <c r="P1" s="17"/>
      <c r="Q1" s="17"/>
      <c r="R1" s="17"/>
    </row>
    <row r="2" spans="1:20" ht="18" x14ac:dyDescent="0.35">
      <c r="A2" s="70" t="s">
        <v>517</v>
      </c>
      <c r="B2" s="3"/>
      <c r="C2" s="17"/>
      <c r="D2" s="17"/>
      <c r="E2" s="17"/>
      <c r="F2" s="17"/>
      <c r="G2" s="17"/>
      <c r="H2" s="17"/>
      <c r="I2" s="17"/>
      <c r="J2" s="17"/>
      <c r="K2" s="17"/>
      <c r="L2" s="17"/>
      <c r="M2" s="17"/>
      <c r="N2" s="17"/>
      <c r="O2" s="17"/>
      <c r="P2" s="17"/>
      <c r="Q2" s="17"/>
      <c r="R2" s="17"/>
    </row>
    <row r="3" spans="1:20" x14ac:dyDescent="0.25">
      <c r="A3" s="71" t="s">
        <v>229</v>
      </c>
      <c r="B3" s="4"/>
      <c r="C3" s="17"/>
      <c r="D3" s="17"/>
      <c r="E3" s="17"/>
      <c r="F3" s="17"/>
      <c r="G3" s="17"/>
      <c r="H3" s="17"/>
      <c r="I3" s="17"/>
      <c r="J3" s="17"/>
      <c r="K3" s="17"/>
      <c r="L3" s="17"/>
      <c r="M3" s="17"/>
      <c r="N3" s="17"/>
      <c r="O3" s="17"/>
      <c r="P3" s="17"/>
      <c r="Q3" s="17"/>
      <c r="R3" s="17"/>
    </row>
    <row r="4" spans="1:20" x14ac:dyDescent="0.25">
      <c r="B4" s="1"/>
      <c r="C4" s="28"/>
      <c r="D4" s="28"/>
      <c r="E4" s="27"/>
      <c r="F4" s="27"/>
      <c r="G4" s="27"/>
    </row>
    <row r="5" spans="1:20" x14ac:dyDescent="0.25">
      <c r="B5" s="77"/>
      <c r="C5" s="78">
        <f>YEAR(C8)</f>
        <v>2016</v>
      </c>
      <c r="D5" s="78">
        <f t="shared" ref="D5:H5" si="0">YEAR(D8)</f>
        <v>2017</v>
      </c>
      <c r="E5" s="78">
        <f t="shared" si="0"/>
        <v>2018</v>
      </c>
      <c r="F5" s="78">
        <f t="shared" si="0"/>
        <v>2019</v>
      </c>
      <c r="G5" s="78">
        <f t="shared" si="0"/>
        <v>2020</v>
      </c>
      <c r="H5" s="79">
        <f t="shared" si="0"/>
        <v>2021</v>
      </c>
      <c r="I5" s="79">
        <f t="shared" ref="I5:R5" si="1">YEAR(I8)</f>
        <v>2022</v>
      </c>
      <c r="J5" s="79">
        <f t="shared" si="1"/>
        <v>2023</v>
      </c>
      <c r="K5" s="79">
        <f t="shared" si="1"/>
        <v>2024</v>
      </c>
      <c r="L5" s="79">
        <f t="shared" si="1"/>
        <v>2025</v>
      </c>
      <c r="M5" s="79">
        <f t="shared" si="1"/>
        <v>2026</v>
      </c>
      <c r="N5" s="79">
        <f t="shared" si="1"/>
        <v>2027</v>
      </c>
      <c r="O5" s="79">
        <f t="shared" si="1"/>
        <v>2028</v>
      </c>
      <c r="P5" s="79">
        <f t="shared" si="1"/>
        <v>2029</v>
      </c>
      <c r="Q5" s="79">
        <f t="shared" si="1"/>
        <v>2030</v>
      </c>
      <c r="R5" s="79">
        <f t="shared" si="1"/>
        <v>2031</v>
      </c>
    </row>
    <row r="6" spans="1:20" ht="5.4" customHeight="1" x14ac:dyDescent="0.25">
      <c r="B6" s="58"/>
      <c r="C6" s="59"/>
      <c r="D6" s="59"/>
      <c r="E6" s="59"/>
      <c r="F6" s="59"/>
      <c r="G6" s="59"/>
      <c r="H6" s="60"/>
      <c r="I6" s="60"/>
      <c r="J6" s="60"/>
      <c r="K6" s="60"/>
      <c r="L6" s="60"/>
      <c r="M6" s="60"/>
      <c r="N6" s="60"/>
      <c r="O6" s="60"/>
      <c r="P6" s="60"/>
      <c r="Q6" s="60"/>
      <c r="R6" s="60"/>
    </row>
    <row r="7" spans="1:20" outlineLevel="1" x14ac:dyDescent="0.25">
      <c r="B7" s="219" t="s">
        <v>89</v>
      </c>
      <c r="C7" s="219"/>
      <c r="D7" s="219"/>
      <c r="E7" s="219"/>
      <c r="F7" s="219"/>
      <c r="G7" s="219"/>
      <c r="H7" s="219"/>
      <c r="I7" s="219"/>
      <c r="J7" s="219"/>
      <c r="K7" s="219"/>
      <c r="L7" s="219"/>
      <c r="M7" s="219"/>
      <c r="N7" s="219"/>
      <c r="O7" s="219"/>
      <c r="P7" s="219"/>
      <c r="Q7" s="219"/>
      <c r="R7" s="219"/>
    </row>
    <row r="8" spans="1:20" outlineLevel="1" x14ac:dyDescent="0.25">
      <c r="B8" t="s">
        <v>90</v>
      </c>
      <c r="C8" s="22">
        <f>DATE(YEAR(C9)-1,MONTH(C9),DAY(C9)+1)</f>
        <v>42370</v>
      </c>
      <c r="D8" s="22">
        <f t="shared" ref="D8:J8" si="2">DATE(YEAR(D9)-1,MONTH(D9),DAY(D9)+1)</f>
        <v>42736</v>
      </c>
      <c r="E8" s="22">
        <f t="shared" si="2"/>
        <v>43101</v>
      </c>
      <c r="F8" s="22">
        <f t="shared" si="2"/>
        <v>43466</v>
      </c>
      <c r="G8" s="22">
        <f t="shared" si="2"/>
        <v>43831</v>
      </c>
      <c r="H8" s="22">
        <f t="shared" si="2"/>
        <v>44197</v>
      </c>
      <c r="I8" s="22">
        <f t="shared" si="2"/>
        <v>44562</v>
      </c>
      <c r="J8" s="22">
        <f t="shared" si="2"/>
        <v>44927</v>
      </c>
      <c r="K8" s="22">
        <f t="shared" ref="K8:R8" si="3">DATE(YEAR(K9)-1,MONTH(K9),DAY(K9)+1)</f>
        <v>45292</v>
      </c>
      <c r="L8" s="22">
        <f>DATE(YEAR(L9)-1,MONTH(L9),DAY(L9)+1)</f>
        <v>45658</v>
      </c>
      <c r="M8" s="22">
        <f>DATE(YEAR(M9)-1,MONTH(M9),DAY(M9)+1)</f>
        <v>46023</v>
      </c>
      <c r="N8" s="22">
        <f t="shared" si="3"/>
        <v>46388</v>
      </c>
      <c r="O8" s="22">
        <f t="shared" si="3"/>
        <v>46753</v>
      </c>
      <c r="P8" s="22">
        <f t="shared" si="3"/>
        <v>47119</v>
      </c>
      <c r="Q8" s="22">
        <f t="shared" si="3"/>
        <v>47484</v>
      </c>
      <c r="R8" s="22">
        <f t="shared" si="3"/>
        <v>47849</v>
      </c>
      <c r="T8" s="22"/>
    </row>
    <row r="9" spans="1:20" outlineLevel="1" x14ac:dyDescent="0.25">
      <c r="B9" t="s">
        <v>92</v>
      </c>
      <c r="C9" s="22">
        <f>DATE(YEAR(D9)-1,MONTH(D9),DAY(D9))</f>
        <v>42735</v>
      </c>
      <c r="D9" s="22">
        <f>DATE(YEAR(E9)-1,MONTH(E9),DAY(E9))</f>
        <v>43100</v>
      </c>
      <c r="E9" s="22">
        <f>DATE(YEAR(F9)-1,MONTH(F9),DAY(F9))</f>
        <v>43465</v>
      </c>
      <c r="F9" s="22">
        <f>DATE(YEAR(G9)-1,MONTH(G9),DAY(G9))</f>
        <v>43830</v>
      </c>
      <c r="G9" s="436">
        <f>_YEdate_Before</f>
        <v>44196</v>
      </c>
      <c r="H9" s="436">
        <f>_YEdate_After</f>
        <v>44561</v>
      </c>
      <c r="I9" s="22">
        <f>DATE(YEAR(H9)+1,MONTH(H9),DAY(H9))</f>
        <v>44926</v>
      </c>
      <c r="J9" s="22">
        <f t="shared" ref="J9:R9" si="4">DATE(YEAR(I9)+1,MONTH(I9),DAY(I9))</f>
        <v>45291</v>
      </c>
      <c r="K9" s="22">
        <f t="shared" si="4"/>
        <v>45657</v>
      </c>
      <c r="L9" s="22">
        <f t="shared" si="4"/>
        <v>46022</v>
      </c>
      <c r="M9" s="22">
        <f t="shared" si="4"/>
        <v>46387</v>
      </c>
      <c r="N9" s="22">
        <f t="shared" si="4"/>
        <v>46752</v>
      </c>
      <c r="O9" s="22">
        <f t="shared" si="4"/>
        <v>47118</v>
      </c>
      <c r="P9" s="22">
        <f t="shared" si="4"/>
        <v>47483</v>
      </c>
      <c r="Q9" s="22">
        <f t="shared" si="4"/>
        <v>47848</v>
      </c>
      <c r="R9" s="22">
        <f t="shared" si="4"/>
        <v>48213</v>
      </c>
    </row>
    <row r="10" spans="1:20" outlineLevel="1" x14ac:dyDescent="0.25">
      <c r="B10" t="s">
        <v>91</v>
      </c>
      <c r="C10">
        <f>C9-C8+1</f>
        <v>366</v>
      </c>
      <c r="D10">
        <f>D9-D8+1</f>
        <v>365</v>
      </c>
      <c r="E10">
        <f>E9-E8+1</f>
        <v>365</v>
      </c>
      <c r="F10">
        <f>F9-F8+1</f>
        <v>365</v>
      </c>
      <c r="G10">
        <f>G9-G8+1</f>
        <v>366</v>
      </c>
      <c r="H10">
        <f t="shared" ref="H10:R10" si="5">H9-H8+1</f>
        <v>365</v>
      </c>
      <c r="I10">
        <f t="shared" si="5"/>
        <v>365</v>
      </c>
      <c r="J10">
        <f t="shared" si="5"/>
        <v>365</v>
      </c>
      <c r="K10">
        <f t="shared" si="5"/>
        <v>366</v>
      </c>
      <c r="L10">
        <f t="shared" si="5"/>
        <v>365</v>
      </c>
      <c r="M10">
        <f t="shared" si="5"/>
        <v>365</v>
      </c>
      <c r="N10">
        <f>N9-N8+1</f>
        <v>365</v>
      </c>
      <c r="O10">
        <f t="shared" si="5"/>
        <v>366</v>
      </c>
      <c r="P10">
        <f t="shared" si="5"/>
        <v>365</v>
      </c>
      <c r="Q10">
        <f t="shared" si="5"/>
        <v>365</v>
      </c>
      <c r="R10">
        <f t="shared" si="5"/>
        <v>365</v>
      </c>
    </row>
    <row r="11" spans="1:20" x14ac:dyDescent="0.25">
      <c r="B11" s="219" t="s">
        <v>226</v>
      </c>
      <c r="C11" s="219"/>
      <c r="D11" s="219"/>
      <c r="E11" s="219"/>
      <c r="F11" s="219"/>
      <c r="G11" s="219"/>
      <c r="H11" s="219"/>
      <c r="I11" s="219"/>
      <c r="J11" s="219"/>
      <c r="K11" s="219"/>
      <c r="L11" s="219"/>
      <c r="M11" s="219"/>
      <c r="N11" s="219"/>
      <c r="O11" s="219"/>
      <c r="P11" s="219"/>
      <c r="Q11" s="219"/>
      <c r="R11" s="219"/>
    </row>
    <row r="12" spans="1:20" outlineLevel="1" x14ac:dyDescent="0.25">
      <c r="B12" s="1" t="s">
        <v>109</v>
      </c>
    </row>
    <row r="13" spans="1:20" outlineLevel="1" x14ac:dyDescent="0.25">
      <c r="B13" t="s">
        <v>103</v>
      </c>
      <c r="C13" s="481"/>
      <c r="D13" s="429">
        <f>'Raw Data'!K8</f>
        <v>0.18509039603635524</v>
      </c>
      <c r="E13" s="429">
        <f>'Raw Data'!L8</f>
        <v>0.13504808313490968</v>
      </c>
      <c r="F13" s="429">
        <f>'Raw Data'!M8</f>
        <v>0.14847097660728359</v>
      </c>
      <c r="G13" s="429">
        <f>'Raw Data'!N8</f>
        <v>0.39716949740525465</v>
      </c>
      <c r="H13" s="349">
        <f>Scenarios!H14</f>
        <v>0.21644473829595079</v>
      </c>
      <c r="I13" s="349">
        <f>Scenarios!I14</f>
        <v>0.17315579063676065</v>
      </c>
      <c r="J13" s="349">
        <f>Scenarios!J14</f>
        <v>0.13852463250940852</v>
      </c>
      <c r="K13" s="349">
        <f>Scenarios!K14</f>
        <v>0.11081970600752683</v>
      </c>
      <c r="L13" s="349">
        <f>Scenarios!L14</f>
        <v>8.865576480602147E-2</v>
      </c>
      <c r="M13" s="349">
        <f>Scenarios!M14</f>
        <v>7.0924611844817173E-2</v>
      </c>
      <c r="N13" s="349">
        <f>Scenarios!N14</f>
        <v>5.6739689475853741E-2</v>
      </c>
      <c r="O13" s="349">
        <f>Scenarios!O14</f>
        <v>4.5391751580682996E-2</v>
      </c>
      <c r="P13" s="349">
        <f>Scenarios!P14</f>
        <v>3.6313401264546401E-2</v>
      </c>
      <c r="Q13" s="349">
        <f>Scenarios!Q14</f>
        <v>2.9050721011637123E-2</v>
      </c>
      <c r="R13" s="349">
        <f>Scenarios!R14</f>
        <v>2.3240576809309701E-2</v>
      </c>
    </row>
    <row r="14" spans="1:20" outlineLevel="1" x14ac:dyDescent="0.25">
      <c r="B14" t="s">
        <v>104</v>
      </c>
      <c r="C14" s="481"/>
      <c r="D14" s="429" t="str">
        <f>'Raw Data'!K9</f>
        <v>na</v>
      </c>
      <c r="E14" s="429">
        <f>'Raw Data'!L9</f>
        <v>1.9706795446705763</v>
      </c>
      <c r="F14" s="429">
        <f>'Raw Data'!M9</f>
        <v>-1.8578727357175806E-3</v>
      </c>
      <c r="G14" s="429">
        <f>'Raw Data'!N9</f>
        <v>-5.6130758492321964E-2</v>
      </c>
      <c r="H14" s="349">
        <f>Scenarios!H15</f>
        <v>0.05</v>
      </c>
      <c r="I14" s="349">
        <f>Scenarios!I15</f>
        <v>4.0000000000000008E-2</v>
      </c>
      <c r="J14" s="349">
        <f>Scenarios!J15</f>
        <v>3.2000000000000008E-2</v>
      </c>
      <c r="K14" s="349">
        <f>Scenarios!K15</f>
        <v>2.5600000000000008E-2</v>
      </c>
      <c r="L14" s="349">
        <f>Scenarios!L15</f>
        <v>2.0480000000000009E-2</v>
      </c>
      <c r="M14" s="349">
        <f>Scenarios!M15</f>
        <v>1.6384000000000006E-2</v>
      </c>
      <c r="N14" s="349">
        <f>Scenarios!N15</f>
        <v>1.3107200000000006E-2</v>
      </c>
      <c r="O14" s="349">
        <f>Scenarios!O15</f>
        <v>1.0485760000000005E-2</v>
      </c>
      <c r="P14" s="349">
        <f>Scenarios!P15</f>
        <v>8.388608000000004E-3</v>
      </c>
      <c r="Q14" s="349">
        <f>Scenarios!Q15</f>
        <v>6.7108864000000037E-3</v>
      </c>
      <c r="R14" s="349">
        <f>Scenarios!R15</f>
        <v>5.3687091200000031E-3</v>
      </c>
    </row>
    <row r="15" spans="1:20" outlineLevel="1" x14ac:dyDescent="0.25">
      <c r="B15" t="s">
        <v>105</v>
      </c>
      <c r="C15" s="481"/>
      <c r="D15" s="429">
        <f>'Raw Data'!K10</f>
        <v>0.38655242900013054</v>
      </c>
      <c r="E15" s="429">
        <f>'Raw Data'!L10</f>
        <v>0.34076722812960702</v>
      </c>
      <c r="F15" s="429">
        <f>'Raw Data'!M10</f>
        <v>0.25773774710492448</v>
      </c>
      <c r="G15" s="429">
        <f>'Raw Data'!N10</f>
        <v>0.49661470927420859</v>
      </c>
      <c r="H15" s="349">
        <f>Scenarios!H16</f>
        <v>0.37041802837721766</v>
      </c>
      <c r="I15" s="349">
        <f>Scenarios!I16</f>
        <v>0.29633442270177413</v>
      </c>
      <c r="J15" s="349">
        <f>Scenarios!J16</f>
        <v>0.23706753816141932</v>
      </c>
      <c r="K15" s="349">
        <f>Scenarios!K16</f>
        <v>0.18965403052913546</v>
      </c>
      <c r="L15" s="349">
        <f>Scenarios!L16</f>
        <v>0.15172322442330838</v>
      </c>
      <c r="M15" s="349">
        <f>Scenarios!M16</f>
        <v>0.12137857953864671</v>
      </c>
      <c r="N15" s="349">
        <f>Scenarios!N16</f>
        <v>9.7102863630917371E-2</v>
      </c>
      <c r="O15" s="349">
        <f>Scenarios!O16</f>
        <v>7.76822909047339E-2</v>
      </c>
      <c r="P15" s="349">
        <f>Scenarios!P16</f>
        <v>6.2145832723787126E-2</v>
      </c>
      <c r="Q15" s="349">
        <f>Scenarios!Q16</f>
        <v>4.97166661790297E-2</v>
      </c>
      <c r="R15" s="349">
        <f>Scenarios!R16</f>
        <v>3.9773332943223765E-2</v>
      </c>
    </row>
    <row r="16" spans="1:20" outlineLevel="1" x14ac:dyDescent="0.25">
      <c r="B16" t="s">
        <v>106</v>
      </c>
      <c r="C16" s="481"/>
      <c r="D16" s="429">
        <f>'Raw Data'!K11</f>
        <v>0.52033156083828591</v>
      </c>
      <c r="E16" s="429">
        <f>'Raw Data'!L11</f>
        <v>0.45746322394815353</v>
      </c>
      <c r="F16" s="429">
        <f>'Raw Data'!M11</f>
        <v>0.35587238848108416</v>
      </c>
      <c r="G16" s="429">
        <f>'Raw Data'!N11</f>
        <v>0.31218115564810001</v>
      </c>
      <c r="H16" s="349">
        <f>Scenarios!H17</f>
        <v>0.4114620822289059</v>
      </c>
      <c r="I16" s="349">
        <f>Scenarios!I17</f>
        <v>0.32916966578312473</v>
      </c>
      <c r="J16" s="349">
        <f>Scenarios!J17</f>
        <v>0.26333573262649979</v>
      </c>
      <c r="K16" s="349">
        <f>Scenarios!K17</f>
        <v>0.21066858610119985</v>
      </c>
      <c r="L16" s="349">
        <f>Scenarios!L17</f>
        <v>0.16853486888095989</v>
      </c>
      <c r="M16" s="349">
        <f>Scenarios!M17</f>
        <v>0.13482789510476792</v>
      </c>
      <c r="N16" s="349">
        <f>Scenarios!N17</f>
        <v>0.10786231608381434</v>
      </c>
      <c r="O16" s="349">
        <f>Scenarios!O17</f>
        <v>8.6289852867051486E-2</v>
      </c>
      <c r="P16" s="349">
        <f>Scenarios!P17</f>
        <v>6.9031882293641197E-2</v>
      </c>
      <c r="Q16" s="349">
        <f>Scenarios!Q17</f>
        <v>5.5225505834912959E-2</v>
      </c>
      <c r="R16" s="349">
        <f>Scenarios!R17</f>
        <v>4.418040466793037E-2</v>
      </c>
    </row>
    <row r="17" spans="2:21" outlineLevel="1" x14ac:dyDescent="0.25">
      <c r="B17" t="s">
        <v>107</v>
      </c>
      <c r="C17" s="481"/>
      <c r="D17" s="429">
        <f>'Raw Data'!K12</f>
        <v>0.42884033063262139</v>
      </c>
      <c r="E17" s="429">
        <f>'Raw Data'!L12</f>
        <v>0.46944269431238905</v>
      </c>
      <c r="F17" s="429">
        <f>'Raw Data'!M12</f>
        <v>0.36526992788930035</v>
      </c>
      <c r="G17" s="429">
        <f>'Raw Data'!N12</f>
        <v>0.29532347399074976</v>
      </c>
      <c r="H17" s="349">
        <f>Scenarios!H18</f>
        <v>0.38971910670626514</v>
      </c>
      <c r="I17" s="349">
        <f>Scenarios!I18</f>
        <v>0.31177528536501214</v>
      </c>
      <c r="J17" s="349">
        <f>Scenarios!J18</f>
        <v>0.24942022829200972</v>
      </c>
      <c r="K17" s="349">
        <f>Scenarios!K18</f>
        <v>0.19953618263360778</v>
      </c>
      <c r="L17" s="349">
        <f>Scenarios!L18</f>
        <v>0.15962894610688624</v>
      </c>
      <c r="M17" s="349">
        <f>Scenarios!M18</f>
        <v>0.12770315688550901</v>
      </c>
      <c r="N17" s="349">
        <f>Scenarios!N18</f>
        <v>0.10216252550840721</v>
      </c>
      <c r="O17" s="349">
        <f>Scenarios!O18</f>
        <v>8.1730020406725779E-2</v>
      </c>
      <c r="P17" s="349">
        <f>Scenarios!P18</f>
        <v>6.5384016325380628E-2</v>
      </c>
      <c r="Q17" s="349">
        <f>Scenarios!Q18</f>
        <v>5.2307213060304503E-2</v>
      </c>
      <c r="R17" s="349">
        <f>Scenarios!R18</f>
        <v>4.1845770448243606E-2</v>
      </c>
    </row>
    <row r="18" spans="2:21" outlineLevel="1" x14ac:dyDescent="0.25">
      <c r="B18" t="s">
        <v>108</v>
      </c>
      <c r="C18" s="481"/>
      <c r="D18" s="429">
        <f>'Raw Data'!K13</f>
        <v>0.57728813559322023</v>
      </c>
      <c r="E18" s="429">
        <f>'Raw Data'!L13</f>
        <v>1.1723619170427679</v>
      </c>
      <c r="F18" s="429">
        <f>'Raw Data'!M13</f>
        <v>0.39345073209339132</v>
      </c>
      <c r="G18" s="429">
        <f>'Raw Data'!N13</f>
        <v>0.5231096911608093</v>
      </c>
      <c r="H18" s="349">
        <f>Scenarios!H19</f>
        <v>0.66655261897254725</v>
      </c>
      <c r="I18" s="349">
        <f>Scenarios!I19</f>
        <v>0.53324209517803778</v>
      </c>
      <c r="J18" s="349">
        <f>Scenarios!J19</f>
        <v>0.42659367614243027</v>
      </c>
      <c r="K18" s="349">
        <f>Scenarios!K19</f>
        <v>0.34127494091394422</v>
      </c>
      <c r="L18" s="349">
        <f>Scenarios!L19</f>
        <v>0.27301995273115537</v>
      </c>
      <c r="M18" s="349">
        <f>Scenarios!M19</f>
        <v>0.21841596218492432</v>
      </c>
      <c r="N18" s="349">
        <f>Scenarios!N19</f>
        <v>0.17473276974793947</v>
      </c>
      <c r="O18" s="349">
        <f>Scenarios!O19</f>
        <v>0.13978621579835157</v>
      </c>
      <c r="P18" s="349">
        <f>Scenarios!P19</f>
        <v>0.11182897263868126</v>
      </c>
      <c r="Q18" s="349">
        <f>Scenarios!Q19</f>
        <v>8.9463178110945007E-2</v>
      </c>
      <c r="R18" s="349">
        <f>Scenarios!R19</f>
        <v>7.1570542488756009E-2</v>
      </c>
    </row>
    <row r="19" spans="2:21" outlineLevel="1" x14ac:dyDescent="0.25">
      <c r="B19" s="11" t="s">
        <v>2</v>
      </c>
      <c r="C19" s="9"/>
      <c r="D19" s="19">
        <f>IFERROR(D32/C32-1,"na")</f>
        <v>0.30796326119408479</v>
      </c>
      <c r="E19" s="19">
        <f t="shared" ref="E19:R19" si="6">IFERROR(E32/D32-1,"na")</f>
        <v>0.3093396152159491</v>
      </c>
      <c r="F19" s="19">
        <f t="shared" si="6"/>
        <v>0.20454125820676983</v>
      </c>
      <c r="G19" s="19">
        <f t="shared" si="6"/>
        <v>0.37623430604373276</v>
      </c>
      <c r="H19" s="19">
        <f>IFERROR(H32/G32-1,"na")</f>
        <v>0.29964692957084149</v>
      </c>
      <c r="I19" s="19">
        <f t="shared" si="6"/>
        <v>0.24984488843604979</v>
      </c>
      <c r="J19" s="19">
        <f t="shared" si="6"/>
        <v>0.20719534654500515</v>
      </c>
      <c r="K19" s="19">
        <f t="shared" si="6"/>
        <v>0.17097099331638388</v>
      </c>
      <c r="L19" s="19">
        <f t="shared" si="6"/>
        <v>0.14043616712752516</v>
      </c>
      <c r="M19" s="19">
        <f t="shared" si="6"/>
        <v>0.11487977409699712</v>
      </c>
      <c r="N19" s="19">
        <f t="shared" si="6"/>
        <v>9.3631234626913029E-2</v>
      </c>
      <c r="O19" s="19">
        <f t="shared" si="6"/>
        <v>7.6070546451739496E-2</v>
      </c>
      <c r="P19" s="19">
        <f t="shared" si="6"/>
        <v>6.1635239921952856E-2</v>
      </c>
      <c r="Q19" s="19">
        <f t="shared" si="6"/>
        <v>4.9824345813065385E-2</v>
      </c>
      <c r="R19" s="19">
        <f t="shared" si="6"/>
        <v>4.0199268164111013E-2</v>
      </c>
    </row>
    <row r="20" spans="2:21" outlineLevel="1" x14ac:dyDescent="0.25">
      <c r="B20" s="1"/>
      <c r="C20" s="28"/>
      <c r="D20" s="435"/>
      <c r="E20" s="435"/>
      <c r="F20" s="435"/>
      <c r="G20" s="435"/>
      <c r="H20" s="558"/>
      <c r="I20" s="435"/>
      <c r="J20" s="435"/>
      <c r="K20" s="435"/>
      <c r="L20" s="435"/>
      <c r="M20" s="435"/>
      <c r="N20" s="435"/>
      <c r="O20" s="435"/>
      <c r="P20" s="435"/>
      <c r="Q20" s="435"/>
      <c r="R20" s="435"/>
    </row>
    <row r="21" spans="2:21" outlineLevel="1" x14ac:dyDescent="0.25">
      <c r="B21" s="1"/>
      <c r="C21" s="28"/>
      <c r="D21" s="28"/>
      <c r="E21" s="27"/>
      <c r="F21" s="27"/>
      <c r="G21" s="27"/>
    </row>
    <row r="22" spans="2:21" x14ac:dyDescent="0.25">
      <c r="B22" s="219" t="s">
        <v>78</v>
      </c>
      <c r="C22" s="219"/>
      <c r="D22" s="219"/>
      <c r="E22" s="219"/>
      <c r="F22" s="219"/>
      <c r="G22" s="219"/>
      <c r="H22" s="219"/>
      <c r="I22" s="219"/>
      <c r="J22" s="219"/>
      <c r="K22" s="219"/>
      <c r="L22" s="219"/>
      <c r="M22" s="219"/>
      <c r="N22" s="219"/>
      <c r="O22" s="219"/>
      <c r="P22" s="219"/>
      <c r="Q22" s="219"/>
      <c r="R22" s="219"/>
      <c r="S22" s="7"/>
      <c r="T22" s="7"/>
      <c r="U22" s="7"/>
    </row>
    <row r="23" spans="2:21" outlineLevel="1" x14ac:dyDescent="0.25">
      <c r="B23" s="76"/>
      <c r="C23" s="78">
        <f>C$5</f>
        <v>2016</v>
      </c>
      <c r="D23" s="78">
        <f t="shared" ref="D23:R23" si="7">D$5</f>
        <v>2017</v>
      </c>
      <c r="E23" s="78">
        <f t="shared" si="7"/>
        <v>2018</v>
      </c>
      <c r="F23" s="78">
        <f t="shared" si="7"/>
        <v>2019</v>
      </c>
      <c r="G23" s="78">
        <f t="shared" si="7"/>
        <v>2020</v>
      </c>
      <c r="H23" s="79">
        <f>H$5</f>
        <v>2021</v>
      </c>
      <c r="I23" s="79">
        <f t="shared" si="7"/>
        <v>2022</v>
      </c>
      <c r="J23" s="79">
        <f t="shared" si="7"/>
        <v>2023</v>
      </c>
      <c r="K23" s="79">
        <f t="shared" si="7"/>
        <v>2024</v>
      </c>
      <c r="L23" s="79">
        <f t="shared" si="7"/>
        <v>2025</v>
      </c>
      <c r="M23" s="79">
        <f t="shared" si="7"/>
        <v>2026</v>
      </c>
      <c r="N23" s="79">
        <f t="shared" si="7"/>
        <v>2027</v>
      </c>
      <c r="O23" s="79">
        <f t="shared" si="7"/>
        <v>2028</v>
      </c>
      <c r="P23" s="79">
        <f t="shared" si="7"/>
        <v>2029</v>
      </c>
      <c r="Q23" s="79">
        <f t="shared" si="7"/>
        <v>2030</v>
      </c>
      <c r="R23" s="79">
        <f t="shared" si="7"/>
        <v>2031</v>
      </c>
    </row>
    <row r="24" spans="2:21" ht="5.4" customHeight="1" outlineLevel="1" x14ac:dyDescent="0.25">
      <c r="C24" s="59"/>
      <c r="D24" s="59"/>
      <c r="E24" s="59"/>
      <c r="F24" s="59"/>
      <c r="G24" s="59"/>
      <c r="H24" s="60"/>
      <c r="I24" s="60"/>
      <c r="J24" s="60"/>
      <c r="K24" s="60"/>
      <c r="L24" s="60"/>
      <c r="M24" s="60"/>
      <c r="N24" s="60"/>
      <c r="O24" s="60"/>
      <c r="P24" s="60"/>
      <c r="Q24" s="60"/>
      <c r="R24" s="60"/>
    </row>
    <row r="25" spans="2:21" outlineLevel="1" x14ac:dyDescent="0.25">
      <c r="B25" s="1" t="s">
        <v>102</v>
      </c>
      <c r="R25" s="463"/>
    </row>
    <row r="26" spans="2:21" outlineLevel="1" x14ac:dyDescent="0.25">
      <c r="B26" t="s">
        <v>103</v>
      </c>
      <c r="C26" s="430">
        <f>'Raw Data'!C8</f>
        <v>91431</v>
      </c>
      <c r="D26" s="430">
        <f>'Raw Data'!D8</f>
        <v>108354</v>
      </c>
      <c r="E26" s="430">
        <f>'Raw Data'!E8</f>
        <v>122987</v>
      </c>
      <c r="F26" s="430">
        <f>'Raw Data'!F8</f>
        <v>141247</v>
      </c>
      <c r="G26" s="430">
        <f>'Raw Data'!G8</f>
        <v>197346</v>
      </c>
      <c r="H26" s="387">
        <f t="shared" ref="H26:H31" si="8">+G26*(1+H13)</f>
        <v>240060.50332375269</v>
      </c>
      <c r="I26" s="387">
        <f t="shared" ref="I26:R26" si="9">+H26*(1+I13)</f>
        <v>281628.36957743583</v>
      </c>
      <c r="J26" s="387">
        <f t="shared" si="9"/>
        <v>320640.83597737399</v>
      </c>
      <c r="K26" s="387">
        <f t="shared" si="9"/>
        <v>356174.15915439423</v>
      </c>
      <c r="L26" s="387">
        <f t="shared" si="9"/>
        <v>387751.05163836869</v>
      </c>
      <c r="M26" s="387">
        <f t="shared" si="9"/>
        <v>415252.14446823968</v>
      </c>
      <c r="N26" s="387">
        <f t="shared" si="9"/>
        <v>438813.42219955003</v>
      </c>
      <c r="O26" s="387">
        <f t="shared" si="9"/>
        <v>458731.93205030134</v>
      </c>
      <c r="P26" s="387">
        <f t="shared" si="9"/>
        <v>475390.04877170455</v>
      </c>
      <c r="Q26" s="387">
        <f t="shared" si="9"/>
        <v>489200.47245027986</v>
      </c>
      <c r="R26" s="387">
        <f t="shared" si="9"/>
        <v>500569.77360541123</v>
      </c>
      <c r="S26" s="32" t="s">
        <v>120</v>
      </c>
    </row>
    <row r="27" spans="2:21" outlineLevel="1" x14ac:dyDescent="0.25">
      <c r="B27" t="s">
        <v>104</v>
      </c>
      <c r="C27" s="430">
        <f>'Raw Data'!C9</f>
        <v>0</v>
      </c>
      <c r="D27" s="430">
        <f>'Raw Data'!D9</f>
        <v>5798</v>
      </c>
      <c r="E27" s="430">
        <f>'Raw Data'!E9</f>
        <v>17224</v>
      </c>
      <c r="F27" s="430">
        <f>'Raw Data'!F9</f>
        <v>17192</v>
      </c>
      <c r="G27" s="430">
        <f>'Raw Data'!G9</f>
        <v>16227</v>
      </c>
      <c r="H27" s="387">
        <f t="shared" si="8"/>
        <v>17038.350000000002</v>
      </c>
      <c r="I27" s="387">
        <f t="shared" ref="I27:R27" si="10">+H27*(1+I14)</f>
        <v>17719.884000000002</v>
      </c>
      <c r="J27" s="387">
        <f t="shared" si="10"/>
        <v>18286.920288000001</v>
      </c>
      <c r="K27" s="387">
        <f t="shared" si="10"/>
        <v>18755.065447372803</v>
      </c>
      <c r="L27" s="387">
        <f t="shared" si="10"/>
        <v>19139.169187734999</v>
      </c>
      <c r="M27" s="387">
        <f t="shared" si="10"/>
        <v>19452.745335706848</v>
      </c>
      <c r="N27" s="387">
        <f t="shared" si="10"/>
        <v>19707.716359371028</v>
      </c>
      <c r="O27" s="387">
        <f t="shared" si="10"/>
        <v>19914.366743263465</v>
      </c>
      <c r="P27" s="387">
        <f t="shared" si="10"/>
        <v>20081.42055944094</v>
      </c>
      <c r="Q27" s="387">
        <f t="shared" si="10"/>
        <v>20216.184691565973</v>
      </c>
      <c r="R27" s="387">
        <f t="shared" si="10"/>
        <v>20324.719506691192</v>
      </c>
      <c r="S27" s="32" t="s">
        <v>120</v>
      </c>
    </row>
    <row r="28" spans="2:21" outlineLevel="1" x14ac:dyDescent="0.25">
      <c r="B28" t="s">
        <v>105</v>
      </c>
      <c r="C28" s="430">
        <f>'Raw Data'!C10</f>
        <v>22993</v>
      </c>
      <c r="D28" s="430">
        <f>'Raw Data'!D10</f>
        <v>31881</v>
      </c>
      <c r="E28" s="430">
        <f>'Raw Data'!E10</f>
        <v>42745</v>
      </c>
      <c r="F28" s="430">
        <f>'Raw Data'!F10</f>
        <v>53762</v>
      </c>
      <c r="G28" s="430">
        <f>'Raw Data'!G10</f>
        <v>80461</v>
      </c>
      <c r="H28" s="387">
        <f t="shared" si="8"/>
        <v>110265.2049812593</v>
      </c>
      <c r="I28" s="387">
        <f t="shared" ref="I28:R28" si="11">+H28*(1+I15)</f>
        <v>142940.58084347358</v>
      </c>
      <c r="J28" s="387">
        <f t="shared" si="11"/>
        <v>176827.15244739919</v>
      </c>
      <c r="K28" s="387">
        <f>+J28*(1+K15)</f>
        <v>210363.13461603833</v>
      </c>
      <c r="L28" s="387">
        <f t="shared" si="11"/>
        <v>242280.10769977816</v>
      </c>
      <c r="M28" s="387">
        <f t="shared" si="11"/>
        <v>271687.72302284755</v>
      </c>
      <c r="N28" s="387">
        <f t="shared" si="11"/>
        <v>298069.37894172961</v>
      </c>
      <c r="O28" s="387">
        <f t="shared" si="11"/>
        <v>321224.09114647441</v>
      </c>
      <c r="P28" s="387">
        <f t="shared" si="11"/>
        <v>341186.82978171378</v>
      </c>
      <c r="Q28" s="387">
        <f t="shared" si="11"/>
        <v>358149.50150265271</v>
      </c>
      <c r="R28" s="387">
        <f t="shared" si="11"/>
        <v>372394.30086936732</v>
      </c>
      <c r="S28" s="31" t="s">
        <v>121</v>
      </c>
    </row>
    <row r="29" spans="2:21" outlineLevel="1" x14ac:dyDescent="0.25">
      <c r="B29" t="s">
        <v>274</v>
      </c>
      <c r="C29" s="430">
        <f>'Raw Data'!C11</f>
        <v>6394</v>
      </c>
      <c r="D29" s="430">
        <f>'Raw Data'!D11</f>
        <v>9721</v>
      </c>
      <c r="E29" s="430">
        <f>'Raw Data'!E11</f>
        <v>14168</v>
      </c>
      <c r="F29" s="430">
        <f>'Raw Data'!F11</f>
        <v>19210</v>
      </c>
      <c r="G29" s="430">
        <f>'Raw Data'!G11</f>
        <v>25207</v>
      </c>
      <c r="H29" s="387">
        <f>+G29*(1+H16)</f>
        <v>35578.724706744033</v>
      </c>
      <c r="I29" s="387">
        <f>+H29*(1+I16)</f>
        <v>47290.16162745277</v>
      </c>
      <c r="J29" s="387">
        <f t="shared" ref="J29:R29" si="12">+I29*(1+J16)</f>
        <v>59743.350985643629</v>
      </c>
      <c r="K29" s="387">
        <f>+J29*(1+K16)</f>
        <v>72329.398266736898</v>
      </c>
      <c r="L29" s="387">
        <f t="shared" si="12"/>
        <v>84519.423919860128</v>
      </c>
      <c r="M29" s="387">
        <f t="shared" si="12"/>
        <v>95914.999942442446</v>
      </c>
      <c r="N29" s="387">
        <f t="shared" si="12"/>
        <v>106260.6139834132</v>
      </c>
      <c r="O29" s="387">
        <f t="shared" si="12"/>
        <v>115429.82672960448</v>
      </c>
      <c r="P29" s="387">
        <f t="shared" si="12"/>
        <v>123398.16494157792</v>
      </c>
      <c r="Q29" s="387">
        <f t="shared" si="12"/>
        <v>130212.89101957658</v>
      </c>
      <c r="R29" s="387">
        <f t="shared" si="12"/>
        <v>135965.74923780258</v>
      </c>
      <c r="S29" s="33" t="s">
        <v>122</v>
      </c>
    </row>
    <row r="30" spans="2:21" outlineLevel="1" x14ac:dyDescent="0.25">
      <c r="B30" t="s">
        <v>107</v>
      </c>
      <c r="C30" s="430">
        <f>'Raw Data'!C12</f>
        <v>12219</v>
      </c>
      <c r="D30" s="430">
        <f>'Raw Data'!D12</f>
        <v>17459</v>
      </c>
      <c r="E30" s="430">
        <f>'Raw Data'!E12</f>
        <v>25655</v>
      </c>
      <c r="F30" s="430">
        <f>'Raw Data'!F12</f>
        <v>35026</v>
      </c>
      <c r="G30" s="430">
        <f>'Raw Data'!G12</f>
        <v>45370</v>
      </c>
      <c r="H30" s="387">
        <f t="shared" si="8"/>
        <v>63051.555871263248</v>
      </c>
      <c r="I30" s="387">
        <f>+H30*(1+I17)</f>
        <v>82709.472695734352</v>
      </c>
      <c r="J30" s="387">
        <f t="shared" ref="J30:R30" si="13">+I30*(1+J17)</f>
        <v>103338.88825741615</v>
      </c>
      <c r="K30" s="387">
        <f>+J30*(1+K17)</f>
        <v>123958.73553790193</v>
      </c>
      <c r="L30" s="387">
        <f t="shared" si="13"/>
        <v>143746.13785255945</v>
      </c>
      <c r="M30" s="387">
        <f t="shared" si="13"/>
        <v>162102.97344643084</v>
      </c>
      <c r="N30" s="387">
        <f t="shared" si="13"/>
        <v>178663.82260614051</v>
      </c>
      <c r="O30" s="387">
        <f t="shared" si="13"/>
        <v>193266.02047368401</v>
      </c>
      <c r="P30" s="387">
        <f t="shared" si="13"/>
        <v>205902.52911147673</v>
      </c>
      <c r="Q30" s="387">
        <f t="shared" si="13"/>
        <v>216672.71657136627</v>
      </c>
      <c r="R30" s="387">
        <f t="shared" si="13"/>
        <v>225739.553331409</v>
      </c>
      <c r="S30" s="34" t="s">
        <v>116</v>
      </c>
    </row>
    <row r="31" spans="2:21" outlineLevel="1" x14ac:dyDescent="0.25">
      <c r="B31" t="s">
        <v>108</v>
      </c>
      <c r="C31" s="430">
        <f>'Raw Data'!C13</f>
        <v>2950</v>
      </c>
      <c r="D31" s="430">
        <f>'Raw Data'!D13</f>
        <v>4653</v>
      </c>
      <c r="E31" s="430">
        <f>'Raw Data'!E13</f>
        <v>10108</v>
      </c>
      <c r="F31" s="430">
        <f>'Raw Data'!F13</f>
        <v>14085</v>
      </c>
      <c r="G31" s="430">
        <f>'Raw Data'!G13</f>
        <v>21453</v>
      </c>
      <c r="H31" s="387">
        <f t="shared" si="8"/>
        <v>35752.553334818054</v>
      </c>
      <c r="I31" s="387">
        <f>+H31*(1+I18)</f>
        <v>54817.319783040977</v>
      </c>
      <c r="J31" s="387">
        <f t="shared" ref="J31:R31" si="14">+I31*(1+J18)</f>
        <v>78202.041745563591</v>
      </c>
      <c r="K31" s="387">
        <f>+J31*(1+K18)</f>
        <v>104890.4389216306</v>
      </c>
      <c r="L31" s="387">
        <f t="shared" si="14"/>
        <v>133527.62159796435</v>
      </c>
      <c r="M31" s="387">
        <f t="shared" si="14"/>
        <v>162692.18554754823</v>
      </c>
      <c r="N31" s="387">
        <f t="shared" si="14"/>
        <v>191119.84174461704</v>
      </c>
      <c r="O31" s="387">
        <f t="shared" si="14"/>
        <v>217835.76118607688</v>
      </c>
      <c r="P31" s="387">
        <f t="shared" si="14"/>
        <v>242196.11056348096</v>
      </c>
      <c r="Q31" s="387">
        <f t="shared" si="14"/>
        <v>263863.74434059981</v>
      </c>
      <c r="R31" s="387">
        <f t="shared" si="14"/>
        <v>282748.61566617095</v>
      </c>
      <c r="S31" s="35" t="s">
        <v>115</v>
      </c>
    </row>
    <row r="32" spans="2:21" outlineLevel="1" x14ac:dyDescent="0.25">
      <c r="B32" s="11" t="s">
        <v>2</v>
      </c>
      <c r="C32" s="391">
        <f t="shared" ref="C32:G32" si="15">SUM(C26:C31)</f>
        <v>135987</v>
      </c>
      <c r="D32" s="391">
        <f t="shared" si="15"/>
        <v>177866</v>
      </c>
      <c r="E32" s="391">
        <f t="shared" si="15"/>
        <v>232887</v>
      </c>
      <c r="F32" s="391">
        <f t="shared" si="15"/>
        <v>280522</v>
      </c>
      <c r="G32" s="391">
        <f t="shared" si="15"/>
        <v>386064</v>
      </c>
      <c r="H32" s="391">
        <f>SUM(H26:H31)</f>
        <v>501746.89221783733</v>
      </c>
      <c r="I32" s="391">
        <f>SUM(I26:I31)</f>
        <v>627105.7885271376</v>
      </c>
      <c r="J32" s="391">
        <f t="shared" ref="J32:Q32" si="16">SUM(J26:J31)</f>
        <v>757039.18970139662</v>
      </c>
      <c r="K32" s="391">
        <f>SUM(K26:K31)</f>
        <v>886470.93194407481</v>
      </c>
      <c r="L32" s="391">
        <f t="shared" si="16"/>
        <v>1010963.5118962658</v>
      </c>
      <c r="M32" s="391">
        <f t="shared" si="16"/>
        <v>1127102.7717632158</v>
      </c>
      <c r="N32" s="391">
        <f t="shared" si="16"/>
        <v>1232634.7958348214</v>
      </c>
      <c r="O32" s="391">
        <f t="shared" si="16"/>
        <v>1326401.9983294045</v>
      </c>
      <c r="P32" s="391">
        <f t="shared" si="16"/>
        <v>1408155.103729395</v>
      </c>
      <c r="Q32" s="391">
        <f t="shared" si="16"/>
        <v>1478315.5105760412</v>
      </c>
      <c r="R32" s="391">
        <f>SUM(R26:R31)</f>
        <v>1537742.7122168522</v>
      </c>
    </row>
    <row r="33" spans="2:21" outlineLevel="1" x14ac:dyDescent="0.25">
      <c r="B33" s="1"/>
      <c r="G33" s="20"/>
      <c r="H33" s="20"/>
      <c r="I33" s="20"/>
      <c r="J33" s="20"/>
      <c r="K33" s="20"/>
      <c r="L33" s="20"/>
      <c r="M33" s="20"/>
      <c r="N33" s="20"/>
      <c r="O33" s="20"/>
      <c r="P33" s="20"/>
      <c r="Q33" s="20"/>
      <c r="R33" s="20"/>
      <c r="T33" s="65"/>
    </row>
    <row r="34" spans="2:21" outlineLevel="1" x14ac:dyDescent="0.25">
      <c r="B34" t="s">
        <v>3</v>
      </c>
      <c r="C34" s="23"/>
      <c r="D34" s="23"/>
      <c r="E34" s="23"/>
      <c r="F34" s="23"/>
      <c r="G34" s="23"/>
      <c r="H34" s="23"/>
      <c r="I34" s="23"/>
      <c r="J34" s="23"/>
      <c r="K34" s="23"/>
      <c r="L34" s="23"/>
      <c r="M34" s="23"/>
      <c r="N34" s="23"/>
      <c r="O34" s="23"/>
      <c r="P34" s="23"/>
      <c r="Q34" s="23"/>
      <c r="R34" s="23"/>
    </row>
    <row r="35" spans="2:21" outlineLevel="1" x14ac:dyDescent="0.25">
      <c r="B35" s="8" t="s">
        <v>4</v>
      </c>
      <c r="C35" s="430">
        <f>'Raw Data'!C21</f>
        <v>88265</v>
      </c>
      <c r="D35" s="430">
        <f>'Raw Data'!D21</f>
        <v>111934</v>
      </c>
      <c r="E35" s="430">
        <f>'Raw Data'!E21</f>
        <v>139156</v>
      </c>
      <c r="F35" s="430">
        <f>'Raw Data'!F21</f>
        <v>165536</v>
      </c>
      <c r="G35" s="430">
        <f>'Raw Data'!G21</f>
        <v>233307</v>
      </c>
      <c r="H35" s="387">
        <f>+H32*'Control Panel'!$W$25</f>
        <v>308106.07372187974</v>
      </c>
      <c r="I35" s="387">
        <f>+I32*'Control Panel'!$W$25</f>
        <v>385084.80133739213</v>
      </c>
      <c r="J35" s="387">
        <f>+J32*'Control Panel'!$W$25</f>
        <v>464872.58019970753</v>
      </c>
      <c r="K35" s="387">
        <f>+K32*'Control Panel'!$W$25</f>
        <v>544352.30700200191</v>
      </c>
      <c r="L35" s="387">
        <f>+L32*'Control Panel'!$W$25</f>
        <v>620799.05856438889</v>
      </c>
      <c r="M35" s="387">
        <f>+M32*'Control Panel'!$W$25</f>
        <v>692116.31417189445</v>
      </c>
      <c r="N35" s="387">
        <f>+N32*'Control Panel'!$W$25</f>
        <v>756920.01917323726</v>
      </c>
      <c r="O35" s="387">
        <f>+O32*'Control Panel'!$W$25</f>
        <v>814499.33865200647</v>
      </c>
      <c r="P35" s="387">
        <f>+P32*'Control Panel'!$W$25</f>
        <v>864701.2008060948</v>
      </c>
      <c r="Q35" s="387">
        <f>+Q32*'Control Panel'!$W$25</f>
        <v>907784.37246003048</v>
      </c>
      <c r="R35" s="387">
        <f>+R32*'Control Panel'!$W$25</f>
        <v>944276.63988374057</v>
      </c>
      <c r="U35" s="580">
        <f>T35-H35</f>
        <v>-308106.07372187974</v>
      </c>
    </row>
    <row r="36" spans="2:21" outlineLevel="1" x14ac:dyDescent="0.25">
      <c r="B36" s="8" t="s">
        <v>5</v>
      </c>
      <c r="C36" s="430">
        <f>'Raw Data'!C22-C37</f>
        <v>17619</v>
      </c>
      <c r="D36" s="430">
        <f>'Raw Data'!D22-D37</f>
        <v>23049</v>
      </c>
      <c r="E36" s="430">
        <f>'Raw Data'!E22-E37</f>
        <v>30627</v>
      </c>
      <c r="F36" s="430">
        <f>'Raw Data'!F22-F37</f>
        <v>36563</v>
      </c>
      <c r="G36" s="430">
        <f>'Raw Data'!G22-G37</f>
        <v>53498</v>
      </c>
      <c r="H36" s="387">
        <f>+(H32*'Control Panel'!$O$16)-H37</f>
        <v>66422.158976741397</v>
      </c>
      <c r="I36" s="387">
        <f>+(I32*'Control Panel'!$O$16)-I37</f>
        <v>82490.53653357405</v>
      </c>
      <c r="J36" s="387">
        <f>+(J32*'Control Panel'!$O$16)-J37</f>
        <v>98834.278196408311</v>
      </c>
      <c r="K36" s="387">
        <f>+(K32*'Control Panel'!$O$16)-K37</f>
        <v>114734.66003562819</v>
      </c>
      <c r="L36" s="387">
        <f>+(L32*'Control Panel'!$O$16)-L37</f>
        <v>129578.76197086887</v>
      </c>
      <c r="M36" s="387">
        <f>+(M32*'Control Panel'!$O$16)-M37</f>
        <v>142911.08637354555</v>
      </c>
      <c r="N36" s="387">
        <f>+(N32*'Control Panel'!$O$16)-N37</f>
        <v>154449.26398955582</v>
      </c>
      <c r="O36" s="387">
        <f>+(O32*'Control Panel'!$O$16)-O37</f>
        <v>164071.23690802421</v>
      </c>
      <c r="P36" s="387">
        <f>+(P32*'Control Panel'!$O$16)-P37</f>
        <v>171785.3123008309</v>
      </c>
      <c r="Q36" s="387">
        <f>+(Q32*'Control Panel'!$O$16)-Q37</f>
        <v>177693.91726979325</v>
      </c>
      <c r="R36" s="387">
        <f>+(R32*'Control Panel'!$O$16)-R37</f>
        <v>181958.86485668813</v>
      </c>
      <c r="U36" s="580">
        <f>T36-H36</f>
        <v>-66422.158976741397</v>
      </c>
    </row>
    <row r="37" spans="2:21" outlineLevel="1" x14ac:dyDescent="0.25">
      <c r="B37" s="8" t="s">
        <v>321</v>
      </c>
      <c r="C37" s="430">
        <f>'Raw Data'!C157</f>
        <v>0</v>
      </c>
      <c r="D37" s="430">
        <f>'Raw Data'!D157</f>
        <v>2200</v>
      </c>
      <c r="E37" s="430">
        <f>'Raw Data'!E157</f>
        <v>3400</v>
      </c>
      <c r="F37" s="430">
        <f>'Raw Data'!F157</f>
        <v>3669</v>
      </c>
      <c r="G37" s="430">
        <f>'Raw Data'!G157</f>
        <v>5019</v>
      </c>
      <c r="H37" s="387">
        <f>H285</f>
        <v>5088.8328992399565</v>
      </c>
      <c r="I37" s="387">
        <f t="shared" ref="I37:R37" si="17">I285</f>
        <v>6887.1111296131412</v>
      </c>
      <c r="J37" s="387">
        <f t="shared" si="17"/>
        <v>9062.0021477303271</v>
      </c>
      <c r="K37" s="387">
        <f t="shared" si="17"/>
        <v>11608.754534090869</v>
      </c>
      <c r="L37" s="387">
        <f t="shared" si="17"/>
        <v>14507.837482825431</v>
      </c>
      <c r="M37" s="387">
        <f t="shared" si="17"/>
        <v>17728.149075793684</v>
      </c>
      <c r="N37" s="387">
        <f t="shared" si="17"/>
        <v>21230.821404428381</v>
      </c>
      <c r="O37" s="387">
        <f t="shared" si="17"/>
        <v>24972.928582568646</v>
      </c>
      <c r="P37" s="387">
        <f t="shared" si="17"/>
        <v>28910.635685619985</v>
      </c>
      <c r="Q37" s="387">
        <f t="shared" si="17"/>
        <v>33001.575032415545</v>
      </c>
      <c r="R37" s="387">
        <f t="shared" si="17"/>
        <v>37206.432041546548</v>
      </c>
      <c r="U37" s="580"/>
    </row>
    <row r="38" spans="2:21" outlineLevel="1" x14ac:dyDescent="0.25">
      <c r="B38" s="8" t="s">
        <v>6</v>
      </c>
      <c r="C38" s="430">
        <f>'Raw Data'!C23</f>
        <v>7233</v>
      </c>
      <c r="D38" s="430">
        <f>'Raw Data'!D23</f>
        <v>22620</v>
      </c>
      <c r="E38" s="430">
        <f>'Raw Data'!E23</f>
        <v>28837</v>
      </c>
      <c r="F38" s="430">
        <f>'Raw Data'!F23</f>
        <v>35931</v>
      </c>
      <c r="G38" s="430">
        <f>'Raw Data'!G23</f>
        <v>42740</v>
      </c>
      <c r="H38" s="387">
        <f>+H32*'Control Panel'!$O$17</f>
        <v>54487.759865667831</v>
      </c>
      <c r="I38" s="387">
        <f>+I32*'Control Panel'!$O$17</f>
        <v>68101.248150435888</v>
      </c>
      <c r="J38" s="387">
        <f>+J32*'Control Panel'!$O$17</f>
        <v>82211.509861112834</v>
      </c>
      <c r="K38" s="387">
        <f>+K32*'Control Panel'!$O$17</f>
        <v>96267.293364106998</v>
      </c>
      <c r="L38" s="387">
        <f>+L32*'Control Panel'!$O$17</f>
        <v>109786.7030639032</v>
      </c>
      <c r="M38" s="387">
        <f>+M32*'Control Panel'!$O$17</f>
        <v>122398.97471073852</v>
      </c>
      <c r="N38" s="387">
        <f>+N32*'Control Panel'!$O$17</f>
        <v>133859.34182997327</v>
      </c>
      <c r="O38" s="387">
        <f>+O32*'Control Panel'!$O$17</f>
        <v>144042.0951106495</v>
      </c>
      <c r="P38" s="387">
        <f>+P32*'Control Panel'!$O$17</f>
        <v>152920.16420165513</v>
      </c>
      <c r="Q38" s="387">
        <f>+Q32*'Control Panel'!$O$17</f>
        <v>160539.31134462912</v>
      </c>
      <c r="R38" s="387">
        <f>+R32*'Control Panel'!$O$17</f>
        <v>166992.87417225359</v>
      </c>
      <c r="U38" s="580">
        <f t="shared" ref="U38:U41" si="18">T38-H38</f>
        <v>-54487.759865667831</v>
      </c>
    </row>
    <row r="39" spans="2:21" outlineLevel="1" x14ac:dyDescent="0.25">
      <c r="B39" s="8" t="s">
        <v>7</v>
      </c>
      <c r="C39" s="430">
        <f>'Raw Data'!C24</f>
        <v>16085</v>
      </c>
      <c r="D39" s="430">
        <f>'Raw Data'!D24</f>
        <v>10069</v>
      </c>
      <c r="E39" s="430">
        <f>'Raw Data'!E24</f>
        <v>13814</v>
      </c>
      <c r="F39" s="430">
        <f>'Raw Data'!F24</f>
        <v>18878</v>
      </c>
      <c r="G39" s="430">
        <f>'Raw Data'!G24</f>
        <v>22008</v>
      </c>
      <c r="H39" s="387">
        <f>+H32*'Control Panel'!$O$18</f>
        <v>35976.434317264248</v>
      </c>
      <c r="I39" s="387">
        <f>+I32*'Control Panel'!$O$18</f>
        <v>44964.962535588005</v>
      </c>
      <c r="J39" s="387">
        <f>+J32*'Control Panel'!$O$18</f>
        <v>54281.493530532338</v>
      </c>
      <c r="K39" s="387">
        <f>+K32*'Control Panel'!$O$18</f>
        <v>63562.054398144319</v>
      </c>
      <c r="L39" s="387">
        <f>+L32*'Control Panel'!$O$18</f>
        <v>72488.465692570957</v>
      </c>
      <c r="M39" s="387">
        <f>+M32*'Control Panel'!$O$18</f>
        <v>80815.924255971448</v>
      </c>
      <c r="N39" s="387">
        <f>+N32*'Control Panel'!$O$18</f>
        <v>88382.81902157313</v>
      </c>
      <c r="O39" s="387">
        <f>+O32*'Control Panel'!$O$18</f>
        <v>95106.148361489395</v>
      </c>
      <c r="P39" s="387">
        <f>+P32*'Control Panel'!$O$18</f>
        <v>100968.03863380263</v>
      </c>
      <c r="Q39" s="387">
        <f>+Q32*'Control Panel'!$O$18</f>
        <v>105998.70510676014</v>
      </c>
      <c r="R39" s="387">
        <f>+R32*'Control Panel'!$O$18</f>
        <v>110259.77547839533</v>
      </c>
      <c r="U39" s="580">
        <f t="shared" si="18"/>
        <v>-35976.434317264248</v>
      </c>
    </row>
    <row r="40" spans="2:21" outlineLevel="1" x14ac:dyDescent="0.25">
      <c r="B40" s="8" t="s">
        <v>8</v>
      </c>
      <c r="C40" s="430">
        <f>'Raw Data'!C25</f>
        <v>2432</v>
      </c>
      <c r="D40" s="430">
        <f>'Raw Data'!D25</f>
        <v>3674</v>
      </c>
      <c r="E40" s="430">
        <f>'Raw Data'!E25</f>
        <v>4336</v>
      </c>
      <c r="F40" s="430">
        <f>'Raw Data'!F25</f>
        <v>5203</v>
      </c>
      <c r="G40" s="430">
        <f>'Raw Data'!G25</f>
        <v>6668</v>
      </c>
      <c r="H40" s="387">
        <f>+H32*'Control Panel'!$O$19</f>
        <v>9330.2690664682177</v>
      </c>
      <c r="I40" s="387">
        <f>+I32*'Control Panel'!$O$19</f>
        <v>11661.389100458295</v>
      </c>
      <c r="J40" s="387">
        <f>+J32*'Control Panel'!$O$19</f>
        <v>14077.574656323897</v>
      </c>
      <c r="K40" s="387">
        <f>+K32*'Control Panel'!$O$19</f>
        <v>16484.431578801148</v>
      </c>
      <c r="L40" s="387">
        <f>+L32*'Control Panel'!$O$19</f>
        <v>18799.441967003917</v>
      </c>
      <c r="M40" s="387">
        <f>+M32*'Control Panel'!$O$19</f>
        <v>20959.117613322935</v>
      </c>
      <c r="N40" s="387">
        <f>+N32*'Control Panel'!$O$19</f>
        <v>22921.545672149041</v>
      </c>
      <c r="O40" s="387">
        <f>+O32*'Control Panel'!$O$19</f>
        <v>24665.200176947921</v>
      </c>
      <c r="P40" s="387">
        <f>+P32*'Control Panel'!$O$19</f>
        <v>26185.445707577099</v>
      </c>
      <c r="Q40" s="387">
        <f>+Q32*'Control Panel'!$O$19</f>
        <v>27490.118409780665</v>
      </c>
      <c r="R40" s="387">
        <f>+R32*'Control Panel'!$O$19</f>
        <v>28595.201051598604</v>
      </c>
      <c r="U40" s="580">
        <f t="shared" si="18"/>
        <v>-9330.2690664682177</v>
      </c>
    </row>
    <row r="41" spans="2:21" outlineLevel="1" x14ac:dyDescent="0.25">
      <c r="B41" s="8" t="s">
        <v>9</v>
      </c>
      <c r="C41" s="430">
        <f>'Raw Data'!C26</f>
        <v>167</v>
      </c>
      <c r="D41" s="430">
        <f>'Raw Data'!D26</f>
        <v>214</v>
      </c>
      <c r="E41" s="430">
        <f>'Raw Data'!E26</f>
        <v>296</v>
      </c>
      <c r="F41" s="430">
        <f>'Raw Data'!F26</f>
        <v>201</v>
      </c>
      <c r="G41" s="430">
        <f>'Raw Data'!G26</f>
        <v>-75</v>
      </c>
      <c r="H41" s="387">
        <f>+H32*'Control Panel'!$O$20</f>
        <v>423.92265871890572</v>
      </c>
      <c r="I41" s="387">
        <f>+I32*'Control Panel'!$O$20</f>
        <v>529.83756809204431</v>
      </c>
      <c r="J41" s="387">
        <f>+J32*'Control Panel'!$O$20</f>
        <v>639.61744662543822</v>
      </c>
      <c r="K41" s="387">
        <f>+K32*'Control Panel'!$O$20</f>
        <v>748.97347681747863</v>
      </c>
      <c r="L41" s="387">
        <f>+L32*'Control Panel'!$O$20</f>
        <v>854.15644118190153</v>
      </c>
      <c r="M41" s="387">
        <f>+M32*'Control Panel'!$O$20</f>
        <v>952.28174018837353</v>
      </c>
      <c r="N41" s="387">
        <f>+N32*'Control Panel'!$O$20</f>
        <v>1041.445055234876</v>
      </c>
      <c r="O41" s="387">
        <f>+O32*'Control Panel'!$O$20</f>
        <v>1120.6683496860551</v>
      </c>
      <c r="P41" s="387">
        <f>+P32*'Control Panel'!$O$20</f>
        <v>1189.7410122918939</v>
      </c>
      <c r="Q41" s="387">
        <f>+Q32*'Control Panel'!$O$20</f>
        <v>1249.0190799163117</v>
      </c>
      <c r="R41" s="387">
        <f>+R32*'Control Panel'!$O$20</f>
        <v>1299.2287328519587</v>
      </c>
      <c r="U41" s="580">
        <f t="shared" si="18"/>
        <v>-423.92265871890572</v>
      </c>
    </row>
    <row r="42" spans="2:21" outlineLevel="1" x14ac:dyDescent="0.25">
      <c r="B42" s="10" t="s">
        <v>10</v>
      </c>
      <c r="C42" s="389">
        <f t="shared" ref="C42:R42" si="19">SUM(C35:C41)</f>
        <v>131801</v>
      </c>
      <c r="D42" s="389">
        <f t="shared" si="19"/>
        <v>173760</v>
      </c>
      <c r="E42" s="389">
        <f t="shared" si="19"/>
        <v>220466</v>
      </c>
      <c r="F42" s="389">
        <f t="shared" si="19"/>
        <v>265981</v>
      </c>
      <c r="G42" s="389">
        <f t="shared" si="19"/>
        <v>363165</v>
      </c>
      <c r="H42" s="389">
        <f t="shared" si="19"/>
        <v>479835.45150598028</v>
      </c>
      <c r="I42" s="389">
        <f t="shared" si="19"/>
        <v>599719.8863551534</v>
      </c>
      <c r="J42" s="389">
        <f t="shared" si="19"/>
        <v>723979.05603844067</v>
      </c>
      <c r="K42" s="389">
        <f t="shared" si="19"/>
        <v>847758.47438959091</v>
      </c>
      <c r="L42" s="389">
        <f t="shared" si="19"/>
        <v>966814.42518274311</v>
      </c>
      <c r="M42" s="389">
        <f t="shared" si="19"/>
        <v>1077881.8479414552</v>
      </c>
      <c r="N42" s="389">
        <f t="shared" si="19"/>
        <v>1178805.2561461516</v>
      </c>
      <c r="O42" s="389">
        <f t="shared" si="19"/>
        <v>1268477.6161413724</v>
      </c>
      <c r="P42" s="389">
        <f t="shared" si="19"/>
        <v>1346660.5383478724</v>
      </c>
      <c r="Q42" s="389">
        <f t="shared" si="19"/>
        <v>1413757.0187033257</v>
      </c>
      <c r="R42" s="389">
        <f t="shared" si="19"/>
        <v>1470589.0162170748</v>
      </c>
    </row>
    <row r="43" spans="2:21" outlineLevel="1" x14ac:dyDescent="0.25">
      <c r="B43" s="11" t="s">
        <v>11</v>
      </c>
      <c r="C43" s="390">
        <f t="shared" ref="C43:R43" si="20">C32-C42</f>
        <v>4186</v>
      </c>
      <c r="D43" s="390">
        <f t="shared" si="20"/>
        <v>4106</v>
      </c>
      <c r="E43" s="390">
        <f>E32-E42</f>
        <v>12421</v>
      </c>
      <c r="F43" s="390">
        <f t="shared" si="20"/>
        <v>14541</v>
      </c>
      <c r="G43" s="390">
        <f t="shared" si="20"/>
        <v>22899</v>
      </c>
      <c r="H43" s="390">
        <f>H32-H42</f>
        <v>21911.440711857053</v>
      </c>
      <c r="I43" s="390">
        <f>I32-I42</f>
        <v>27385.902171984199</v>
      </c>
      <c r="J43" s="390">
        <f>J32-J42</f>
        <v>33060.133662955952</v>
      </c>
      <c r="K43" s="390">
        <f t="shared" si="20"/>
        <v>38712.457554483903</v>
      </c>
      <c r="L43" s="390">
        <f t="shared" si="20"/>
        <v>44149.086713522673</v>
      </c>
      <c r="M43" s="390">
        <f t="shared" si="20"/>
        <v>49220.923821760574</v>
      </c>
      <c r="N43" s="390">
        <f t="shared" si="20"/>
        <v>53829.539688669844</v>
      </c>
      <c r="O43" s="390">
        <f t="shared" si="20"/>
        <v>57924.382188032148</v>
      </c>
      <c r="P43" s="390">
        <f t="shared" si="20"/>
        <v>61494.565381522523</v>
      </c>
      <c r="Q43" s="390">
        <f t="shared" si="20"/>
        <v>64558.491872715531</v>
      </c>
      <c r="R43" s="390">
        <f t="shared" si="20"/>
        <v>67153.69599977741</v>
      </c>
    </row>
    <row r="44" spans="2:21" outlineLevel="1" x14ac:dyDescent="0.25">
      <c r="B44" t="s">
        <v>12</v>
      </c>
      <c r="C44" s="430">
        <f>'Raw Data'!C29</f>
        <v>100</v>
      </c>
      <c r="D44" s="430">
        <f>'Raw Data'!D29</f>
        <v>202</v>
      </c>
      <c r="E44" s="430">
        <f>'Raw Data'!E29</f>
        <v>440</v>
      </c>
      <c r="F44" s="430">
        <f>'Raw Data'!F29</f>
        <v>832</v>
      </c>
      <c r="G44" s="430">
        <f>'Raw Data'!G29</f>
        <v>555</v>
      </c>
      <c r="H44" s="387">
        <f>+'Control Panel'!$F$22*H100</f>
        <v>1270.1195305577601</v>
      </c>
      <c r="I44" s="387">
        <f ca="1">+'Control Panel'!$F$22*I100</f>
        <v>1733.1125782009578</v>
      </c>
      <c r="J44" s="387">
        <f ca="1">+'Control Panel'!$F$22*J100</f>
        <v>2709.4004725894174</v>
      </c>
      <c r="K44" s="387">
        <f ca="1">+'Control Panel'!$F$22*K100</f>
        <v>3810.8758050521224</v>
      </c>
      <c r="L44" s="387">
        <f ca="1">+'Control Panel'!$F$22*L100</f>
        <v>5021.4121399782498</v>
      </c>
      <c r="M44" s="387">
        <f ca="1">+'Control Panel'!$F$22*M100</f>
        <v>6414.3880763945572</v>
      </c>
      <c r="N44" s="387">
        <f ca="1">+'Control Panel'!$F$22*N100</f>
        <v>7912.5113954740891</v>
      </c>
      <c r="O44" s="387">
        <f ca="1">+'Control Panel'!$F$22*O100</f>
        <v>9521.8804416593885</v>
      </c>
      <c r="P44" s="387">
        <f ca="1">+'Control Panel'!$F$22*P100</f>
        <v>11292.556817420924</v>
      </c>
      <c r="Q44" s="387">
        <f ca="1">+'Control Panel'!$F$22*Q100</f>
        <v>13266.337915556056</v>
      </c>
      <c r="R44" s="387">
        <f ca="1">+'Control Panel'!$F$22*R100</f>
        <v>15455.01141356221</v>
      </c>
    </row>
    <row r="45" spans="2:21" outlineLevel="1" x14ac:dyDescent="0.25">
      <c r="B45" t="s">
        <v>13</v>
      </c>
      <c r="C45" s="430">
        <f>'Raw Data'!C30</f>
        <v>-484</v>
      </c>
      <c r="D45" s="430">
        <f>'Raw Data'!D30</f>
        <v>-848</v>
      </c>
      <c r="E45" s="430">
        <f>'Raw Data'!E30</f>
        <v>-1417</v>
      </c>
      <c r="F45" s="430">
        <f>'Raw Data'!F30</f>
        <v>-1600</v>
      </c>
      <c r="G45" s="430">
        <f>'Raw Data'!G30</f>
        <v>-1647</v>
      </c>
      <c r="H45" s="387">
        <f ca="1">-H323-H235</f>
        <v>-1315.537437178861</v>
      </c>
      <c r="I45" s="387">
        <f t="shared" ref="I45:R45" ca="1" si="21">-I323-I235</f>
        <v>-1631.1154001237219</v>
      </c>
      <c r="J45" s="387">
        <f t="shared" ca="1" si="21"/>
        <v>-1987.8451068296399</v>
      </c>
      <c r="K45" s="387">
        <f t="shared" ca="1" si="21"/>
        <v>-2368.9632620723255</v>
      </c>
      <c r="L45" s="387">
        <f t="shared" ca="1" si="21"/>
        <v>-2788.3559093398039</v>
      </c>
      <c r="M45" s="387">
        <f t="shared" ca="1" si="21"/>
        <v>-3223.5102794568961</v>
      </c>
      <c r="N45" s="387">
        <f t="shared" ca="1" si="21"/>
        <v>-3639.3783268411576</v>
      </c>
      <c r="O45" s="387">
        <f t="shared" ca="1" si="21"/>
        <v>-4087.7514924047168</v>
      </c>
      <c r="P45" s="387">
        <f t="shared" ca="1" si="21"/>
        <v>-4512.3354286183576</v>
      </c>
      <c r="Q45" s="387">
        <f t="shared" ca="1" si="21"/>
        <v>-4882.186513304955</v>
      </c>
      <c r="R45" s="387">
        <f t="shared" ca="1" si="21"/>
        <v>-5200.3960551094788</v>
      </c>
    </row>
    <row r="46" spans="2:21" outlineLevel="1" x14ac:dyDescent="0.25">
      <c r="B46" t="s">
        <v>14</v>
      </c>
      <c r="C46" s="430">
        <f>'Raw Data'!C31</f>
        <v>90</v>
      </c>
      <c r="D46" s="430">
        <f>'Raw Data'!D31</f>
        <v>346</v>
      </c>
      <c r="E46" s="430">
        <f>'Raw Data'!E31</f>
        <v>-183</v>
      </c>
      <c r="F46" s="430">
        <f>'Raw Data'!F31</f>
        <v>203</v>
      </c>
      <c r="G46" s="430">
        <f>'Raw Data'!G31</f>
        <v>2371</v>
      </c>
      <c r="H46" s="387">
        <f>H65-G65</f>
        <v>1690.9599999999991</v>
      </c>
      <c r="I46" s="387">
        <f>I65-H65</f>
        <v>1758.5984000000026</v>
      </c>
      <c r="J46" s="387">
        <f>J65-I65</f>
        <v>1828.9423360000001</v>
      </c>
      <c r="K46" s="387">
        <f>K65-J65</f>
        <v>1902.1000294400001</v>
      </c>
      <c r="L46" s="387">
        <f>L65-K65</f>
        <v>1978.1840306176018</v>
      </c>
      <c r="M46" s="387">
        <f t="shared" ref="M46:R46" si="22">M65-L65</f>
        <v>2057.3113918423041</v>
      </c>
      <c r="N46" s="387">
        <f t="shared" si="22"/>
        <v>2139.6038475159949</v>
      </c>
      <c r="O46" s="387">
        <f t="shared" si="22"/>
        <v>2225.1880014166381</v>
      </c>
      <c r="P46" s="387">
        <f t="shared" si="22"/>
        <v>2314.1955214733025</v>
      </c>
      <c r="Q46" s="387">
        <f t="shared" si="22"/>
        <v>2406.7633423322332</v>
      </c>
      <c r="R46" s="387">
        <f t="shared" si="22"/>
        <v>2503.0338760255254</v>
      </c>
    </row>
    <row r="47" spans="2:21" outlineLevel="1" x14ac:dyDescent="0.25">
      <c r="B47" s="12" t="s">
        <v>15</v>
      </c>
      <c r="C47" s="389">
        <f t="shared" ref="C47:F47" si="23">SUM(C44:C46)</f>
        <v>-294</v>
      </c>
      <c r="D47" s="389">
        <f t="shared" si="23"/>
        <v>-300</v>
      </c>
      <c r="E47" s="389">
        <f t="shared" si="23"/>
        <v>-1160</v>
      </c>
      <c r="F47" s="389">
        <f t="shared" si="23"/>
        <v>-565</v>
      </c>
      <c r="G47" s="389">
        <f>SUM(G44:G46)</f>
        <v>1279</v>
      </c>
      <c r="H47" s="389">
        <f ca="1">SUM(H44:H46)</f>
        <v>1645.5420933788982</v>
      </c>
      <c r="I47" s="389">
        <f t="shared" ref="I47:R47" ca="1" si="24">SUM(I44:I46)</f>
        <v>1860.5955780772385</v>
      </c>
      <c r="J47" s="389">
        <f t="shared" ca="1" si="24"/>
        <v>2550.4977017597776</v>
      </c>
      <c r="K47" s="389">
        <f t="shared" ca="1" si="24"/>
        <v>3344.0125724197969</v>
      </c>
      <c r="L47" s="389">
        <f t="shared" ca="1" si="24"/>
        <v>4211.2402612560472</v>
      </c>
      <c r="M47" s="389">
        <f t="shared" ca="1" si="24"/>
        <v>5248.1891887799648</v>
      </c>
      <c r="N47" s="389">
        <f t="shared" ca="1" si="24"/>
        <v>6412.736916148926</v>
      </c>
      <c r="O47" s="389">
        <f t="shared" ca="1" si="24"/>
        <v>7659.3169506713093</v>
      </c>
      <c r="P47" s="389">
        <f t="shared" ca="1" si="24"/>
        <v>9094.4169102758678</v>
      </c>
      <c r="Q47" s="389">
        <f t="shared" ca="1" si="24"/>
        <v>10790.914744583333</v>
      </c>
      <c r="R47" s="389">
        <f t="shared" ca="1" si="24"/>
        <v>12757.649234478256</v>
      </c>
    </row>
    <row r="48" spans="2:21" outlineLevel="1" x14ac:dyDescent="0.25">
      <c r="B48" s="13" t="s">
        <v>16</v>
      </c>
      <c r="C48" s="430">
        <f>C43+C47</f>
        <v>3892</v>
      </c>
      <c r="D48" s="430">
        <f>D43+D47</f>
        <v>3806</v>
      </c>
      <c r="E48" s="430">
        <f>E43+E47</f>
        <v>11261</v>
      </c>
      <c r="F48" s="430">
        <f>F43+F47</f>
        <v>13976</v>
      </c>
      <c r="G48" s="430">
        <f>G43+G47</f>
        <v>24178</v>
      </c>
      <c r="H48" s="387">
        <f ca="1">+H43+H47</f>
        <v>23556.982805235952</v>
      </c>
      <c r="I48" s="387">
        <f t="shared" ref="I48:R48" ca="1" si="25">+I43+I47</f>
        <v>29246.497750061437</v>
      </c>
      <c r="J48" s="387">
        <f t="shared" ca="1" si="25"/>
        <v>35610.631364715729</v>
      </c>
      <c r="K48" s="387">
        <f t="shared" ca="1" si="25"/>
        <v>42056.470126903703</v>
      </c>
      <c r="L48" s="387">
        <f t="shared" ca="1" si="25"/>
        <v>48360.32697477872</v>
      </c>
      <c r="M48" s="387">
        <f t="shared" ca="1" si="25"/>
        <v>54469.113010540539</v>
      </c>
      <c r="N48" s="387">
        <f t="shared" ca="1" si="25"/>
        <v>60242.27660481877</v>
      </c>
      <c r="O48" s="387">
        <f t="shared" ca="1" si="25"/>
        <v>65583.699138703465</v>
      </c>
      <c r="P48" s="387">
        <f t="shared" ca="1" si="25"/>
        <v>70588.982291798398</v>
      </c>
      <c r="Q48" s="387">
        <f t="shared" ca="1" si="25"/>
        <v>75349.406617298868</v>
      </c>
      <c r="R48" s="387">
        <f t="shared" ca="1" si="25"/>
        <v>79911.34523425567</v>
      </c>
    </row>
    <row r="49" spans="2:20" outlineLevel="1" x14ac:dyDescent="0.25">
      <c r="B49" t="s">
        <v>17</v>
      </c>
      <c r="C49" s="430">
        <f>'Raw Data'!C34</f>
        <v>-1425</v>
      </c>
      <c r="D49" s="430">
        <f>'Raw Data'!D34</f>
        <v>-769</v>
      </c>
      <c r="E49" s="430">
        <f>'Raw Data'!E34</f>
        <v>-1197</v>
      </c>
      <c r="F49" s="430">
        <f>'Raw Data'!F34</f>
        <v>-2374</v>
      </c>
      <c r="G49" s="430">
        <f>'Raw Data'!G34</f>
        <v>-2863</v>
      </c>
      <c r="H49" s="387">
        <f ca="1">H48*-_TaxRate</f>
        <v>-7585.3484632859763</v>
      </c>
      <c r="I49" s="387">
        <f t="shared" ref="I49:R49" ca="1" si="26">I48*-_TaxRate</f>
        <v>-9417.3722755197832</v>
      </c>
      <c r="J49" s="387">
        <f t="shared" ca="1" si="26"/>
        <v>-11466.623299438465</v>
      </c>
      <c r="K49" s="387">
        <f t="shared" ca="1" si="26"/>
        <v>-13542.183380862993</v>
      </c>
      <c r="L49" s="387">
        <f t="shared" ca="1" si="26"/>
        <v>-15572.025285878748</v>
      </c>
      <c r="M49" s="387">
        <f t="shared" ca="1" si="26"/>
        <v>-17539.054389394056</v>
      </c>
      <c r="N49" s="387">
        <f t="shared" ca="1" si="26"/>
        <v>-19398.013066751646</v>
      </c>
      <c r="O49" s="387">
        <f t="shared" ca="1" si="26"/>
        <v>-21117.951122662515</v>
      </c>
      <c r="P49" s="387">
        <f t="shared" ca="1" si="26"/>
        <v>-22729.652297959085</v>
      </c>
      <c r="Q49" s="387">
        <f t="shared" ca="1" si="26"/>
        <v>-24262.508930770236</v>
      </c>
      <c r="R49" s="387">
        <f t="shared" ca="1" si="26"/>
        <v>-25731.453165430328</v>
      </c>
    </row>
    <row r="50" spans="2:20" outlineLevel="1" x14ac:dyDescent="0.25">
      <c r="B50" t="s">
        <v>18</v>
      </c>
      <c r="C50" s="430">
        <f>'Raw Data'!C35</f>
        <v>-96</v>
      </c>
      <c r="D50" s="430">
        <f>'Raw Data'!D35</f>
        <v>-4</v>
      </c>
      <c r="E50" s="430">
        <f>'Raw Data'!E35</f>
        <v>9</v>
      </c>
      <c r="F50" s="430">
        <f>'Raw Data'!F35</f>
        <v>-14</v>
      </c>
      <c r="G50" s="430">
        <f>'Raw Data'!G35</f>
        <v>16</v>
      </c>
      <c r="H50" s="482"/>
      <c r="I50" s="482"/>
      <c r="J50" s="482"/>
      <c r="K50" s="482"/>
      <c r="L50" s="482"/>
      <c r="M50" s="482"/>
      <c r="N50" s="482"/>
      <c r="O50" s="482"/>
      <c r="P50" s="482"/>
      <c r="Q50" s="482"/>
      <c r="R50" s="482"/>
    </row>
    <row r="51" spans="2:20" ht="14.4" outlineLevel="1" thickBot="1" x14ac:dyDescent="0.3">
      <c r="B51" s="14" t="s">
        <v>19</v>
      </c>
      <c r="C51" s="393">
        <f t="shared" ref="C51:G51" si="27">SUM(C48:C50)</f>
        <v>2371</v>
      </c>
      <c r="D51" s="393">
        <f t="shared" si="27"/>
        <v>3033</v>
      </c>
      <c r="E51" s="393">
        <f t="shared" si="27"/>
        <v>10073</v>
      </c>
      <c r="F51" s="393">
        <f t="shared" si="27"/>
        <v>11588</v>
      </c>
      <c r="G51" s="393">
        <f t="shared" si="27"/>
        <v>21331</v>
      </c>
      <c r="H51" s="393">
        <f ca="1">SUM(H48:H50)</f>
        <v>15971.634341949975</v>
      </c>
      <c r="I51" s="393">
        <f t="shared" ref="I51:R51" ca="1" si="28">SUM(I48:I50)</f>
        <v>19829.125474541652</v>
      </c>
      <c r="J51" s="393">
        <f t="shared" ca="1" si="28"/>
        <v>24144.008065277267</v>
      </c>
      <c r="K51" s="393">
        <f t="shared" ca="1" si="28"/>
        <v>28514.286746040711</v>
      </c>
      <c r="L51" s="393">
        <f t="shared" ca="1" si="28"/>
        <v>32788.30168889997</v>
      </c>
      <c r="M51" s="393">
        <f t="shared" ca="1" si="28"/>
        <v>36930.058621146483</v>
      </c>
      <c r="N51" s="393">
        <f t="shared" ca="1" si="28"/>
        <v>40844.263538067127</v>
      </c>
      <c r="O51" s="393">
        <f t="shared" ca="1" si="28"/>
        <v>44465.748016040947</v>
      </c>
      <c r="P51" s="393">
        <f t="shared" ca="1" si="28"/>
        <v>47859.329993839317</v>
      </c>
      <c r="Q51" s="393">
        <f t="shared" ca="1" si="28"/>
        <v>51086.897686528631</v>
      </c>
      <c r="R51" s="393">
        <f t="shared" ca="1" si="28"/>
        <v>54179.892068825342</v>
      </c>
    </row>
    <row r="52" spans="2:20" ht="15" outlineLevel="1" thickTop="1" thickBot="1" x14ac:dyDescent="0.3">
      <c r="B52" s="15" t="s">
        <v>20</v>
      </c>
      <c r="C52" s="38">
        <f>C$51/C55</f>
        <v>5.0021097046413505</v>
      </c>
      <c r="D52" s="38">
        <f>D$51/D55</f>
        <v>6.3187499999999996</v>
      </c>
      <c r="E52" s="38">
        <f>E$51/E55</f>
        <v>20.683778234086244</v>
      </c>
      <c r="F52" s="38">
        <f t="shared" ref="D52:G53" si="29">F$51/F55</f>
        <v>23.457489878542511</v>
      </c>
      <c r="G52" s="38">
        <f t="shared" si="29"/>
        <v>42.661999999999999</v>
      </c>
      <c r="H52" s="38">
        <f ca="1">H$51/H55</f>
        <v>31.943268683899952</v>
      </c>
      <c r="I52" s="38">
        <f t="shared" ref="I52:R52" ca="1" si="30">I$51/I55</f>
        <v>39.658250949083303</v>
      </c>
      <c r="J52" s="38">
        <f t="shared" ca="1" si="30"/>
        <v>48.288016130554531</v>
      </c>
      <c r="K52" s="38">
        <f t="shared" ca="1" si="30"/>
        <v>57.028573492081421</v>
      </c>
      <c r="L52" s="38">
        <f t="shared" ca="1" si="30"/>
        <v>65.576603377799941</v>
      </c>
      <c r="M52" s="38">
        <f t="shared" ca="1" si="30"/>
        <v>73.860117242292972</v>
      </c>
      <c r="N52" s="38">
        <f t="shared" ca="1" si="30"/>
        <v>81.68852707613425</v>
      </c>
      <c r="O52" s="38">
        <f t="shared" ca="1" si="30"/>
        <v>88.931496032081895</v>
      </c>
      <c r="P52" s="38">
        <f t="shared" ca="1" si="30"/>
        <v>95.718659987678635</v>
      </c>
      <c r="Q52" s="38">
        <f t="shared" ca="1" si="30"/>
        <v>102.17379537305726</v>
      </c>
      <c r="R52" s="38">
        <f t="shared" ca="1" si="30"/>
        <v>108.35978413765068</v>
      </c>
    </row>
    <row r="53" spans="2:20" ht="15" outlineLevel="1" thickTop="1" thickBot="1" x14ac:dyDescent="0.3">
      <c r="B53" s="15" t="s">
        <v>21</v>
      </c>
      <c r="C53" s="38">
        <f>C$51/C56</f>
        <v>4.8987603305785123</v>
      </c>
      <c r="D53" s="38">
        <f t="shared" si="29"/>
        <v>6.1521298174442194</v>
      </c>
      <c r="E53" s="38">
        <f>E$51/E56</f>
        <v>20.146000000000001</v>
      </c>
      <c r="F53" s="38">
        <f t="shared" si="29"/>
        <v>22.99206349206349</v>
      </c>
      <c r="G53" s="38">
        <f t="shared" si="29"/>
        <v>41.825490196078434</v>
      </c>
      <c r="H53" s="38">
        <f ca="1">H$51/H56</f>
        <v>31.316930082254853</v>
      </c>
      <c r="I53" s="38">
        <f t="shared" ref="I53:R53" ca="1" si="31">I$51/I56</f>
        <v>38.880638185375787</v>
      </c>
      <c r="J53" s="38">
        <f t="shared" ca="1" si="31"/>
        <v>47.341192284857385</v>
      </c>
      <c r="K53" s="38">
        <f t="shared" ca="1" si="31"/>
        <v>55.910366168707277</v>
      </c>
      <c r="L53" s="38">
        <f t="shared" ca="1" si="31"/>
        <v>64.290787625294058</v>
      </c>
      <c r="M53" s="38">
        <f t="shared" ca="1" si="31"/>
        <v>72.411879649306826</v>
      </c>
      <c r="N53" s="38">
        <f t="shared" ca="1" si="31"/>
        <v>80.086791251112018</v>
      </c>
      <c r="O53" s="38">
        <f t="shared" ca="1" si="31"/>
        <v>87.187741207923423</v>
      </c>
      <c r="P53" s="38">
        <f t="shared" ca="1" si="31"/>
        <v>93.841823517331989</v>
      </c>
      <c r="Q53" s="38">
        <f t="shared" ca="1" si="31"/>
        <v>100.17038762064438</v>
      </c>
      <c r="R53" s="38">
        <f t="shared" ca="1" si="31"/>
        <v>106.23508248789283</v>
      </c>
    </row>
    <row r="54" spans="2:20" ht="14.4" outlineLevel="1" thickTop="1" x14ac:dyDescent="0.25">
      <c r="B54" t="s">
        <v>22</v>
      </c>
      <c r="C54" s="23"/>
      <c r="D54" s="23"/>
      <c r="E54" s="23"/>
      <c r="F54" s="23"/>
      <c r="G54" s="23"/>
      <c r="H54" s="23"/>
      <c r="I54" s="23"/>
      <c r="J54" s="23"/>
      <c r="K54" s="23"/>
      <c r="L54" s="23"/>
      <c r="M54" s="23"/>
      <c r="N54" s="23"/>
      <c r="O54" s="23"/>
      <c r="P54" s="23"/>
      <c r="Q54" s="23"/>
      <c r="R54" s="23"/>
    </row>
    <row r="55" spans="2:20" outlineLevel="1" x14ac:dyDescent="0.25">
      <c r="B55" s="8" t="s">
        <v>23</v>
      </c>
      <c r="C55" s="431">
        <f>'Raw Data'!C40</f>
        <v>474</v>
      </c>
      <c r="D55" s="431">
        <f>'Raw Data'!D40</f>
        <v>480</v>
      </c>
      <c r="E55" s="431">
        <f>'Raw Data'!E40</f>
        <v>487</v>
      </c>
      <c r="F55" s="431">
        <f>'Raw Data'!F40</f>
        <v>494</v>
      </c>
      <c r="G55" s="431">
        <f>'Raw Data'!G40</f>
        <v>500</v>
      </c>
      <c r="H55" s="23">
        <f ca="1">+G55+H$296</f>
        <v>500</v>
      </c>
      <c r="I55" s="23">
        <f t="shared" ref="I55:R55" ca="1" si="32">+H55+I$296</f>
        <v>500</v>
      </c>
      <c r="J55" s="23">
        <f t="shared" ca="1" si="32"/>
        <v>500</v>
      </c>
      <c r="K55" s="23">
        <f t="shared" ca="1" si="32"/>
        <v>500</v>
      </c>
      <c r="L55" s="23">
        <f t="shared" ca="1" si="32"/>
        <v>500</v>
      </c>
      <c r="M55" s="23">
        <f t="shared" ca="1" si="32"/>
        <v>500</v>
      </c>
      <c r="N55" s="23">
        <f t="shared" ca="1" si="32"/>
        <v>500</v>
      </c>
      <c r="O55" s="23">
        <f t="shared" ca="1" si="32"/>
        <v>500</v>
      </c>
      <c r="P55" s="23">
        <f t="shared" ca="1" si="32"/>
        <v>500</v>
      </c>
      <c r="Q55" s="23">
        <f t="shared" ca="1" si="32"/>
        <v>500</v>
      </c>
      <c r="R55" s="23">
        <f t="shared" ca="1" si="32"/>
        <v>500</v>
      </c>
    </row>
    <row r="56" spans="2:20" outlineLevel="1" x14ac:dyDescent="0.25">
      <c r="B56" s="8" t="s">
        <v>24</v>
      </c>
      <c r="C56" s="431">
        <f>'Raw Data'!C41</f>
        <v>484</v>
      </c>
      <c r="D56" s="431">
        <f>'Raw Data'!D41</f>
        <v>493</v>
      </c>
      <c r="E56" s="431">
        <f>'Raw Data'!E41</f>
        <v>500</v>
      </c>
      <c r="F56" s="431">
        <f>'Raw Data'!F41</f>
        <v>504</v>
      </c>
      <c r="G56" s="431">
        <f>'Raw Data'!G41</f>
        <v>510</v>
      </c>
      <c r="H56" s="23">
        <f ca="1">+G56+H$296</f>
        <v>510</v>
      </c>
      <c r="I56" s="23">
        <f ca="1">+H56+I$296</f>
        <v>510</v>
      </c>
      <c r="J56" s="23">
        <f t="shared" ref="J56:R56" ca="1" si="33">+I56+J$296</f>
        <v>510</v>
      </c>
      <c r="K56" s="23">
        <f t="shared" ca="1" si="33"/>
        <v>510</v>
      </c>
      <c r="L56" s="23">
        <f t="shared" ca="1" si="33"/>
        <v>510</v>
      </c>
      <c r="M56" s="23">
        <f t="shared" ca="1" si="33"/>
        <v>510</v>
      </c>
      <c r="N56" s="23">
        <f t="shared" ca="1" si="33"/>
        <v>510</v>
      </c>
      <c r="O56" s="23">
        <f t="shared" ca="1" si="33"/>
        <v>510</v>
      </c>
      <c r="P56" s="23">
        <f t="shared" ca="1" si="33"/>
        <v>510</v>
      </c>
      <c r="Q56" s="23">
        <f t="shared" ca="1" si="33"/>
        <v>510</v>
      </c>
      <c r="R56" s="23">
        <f t="shared" ca="1" si="33"/>
        <v>510</v>
      </c>
    </row>
    <row r="57" spans="2:20" outlineLevel="1" x14ac:dyDescent="0.25">
      <c r="B57" s="8"/>
      <c r="C57" s="431"/>
      <c r="D57" s="431"/>
      <c r="E57" s="431"/>
      <c r="F57" s="431"/>
      <c r="G57" s="431"/>
      <c r="H57" s="23"/>
      <c r="I57" s="23"/>
      <c r="J57" s="23"/>
      <c r="K57" s="23"/>
      <c r="L57" s="23"/>
      <c r="M57" s="23"/>
      <c r="N57" s="23"/>
      <c r="O57" s="23"/>
      <c r="P57" s="23"/>
      <c r="Q57" s="23"/>
      <c r="R57" s="23"/>
    </row>
    <row r="58" spans="2:20" outlineLevel="1" x14ac:dyDescent="0.25">
      <c r="C58" s="23"/>
      <c r="D58" s="42"/>
      <c r="E58" s="42"/>
      <c r="F58" s="42"/>
      <c r="G58" s="42"/>
      <c r="H58" s="23"/>
      <c r="I58" s="23"/>
      <c r="J58" s="23"/>
      <c r="K58" s="23"/>
      <c r="L58" s="23"/>
      <c r="M58" s="23"/>
      <c r="N58" s="23"/>
      <c r="O58" s="23"/>
      <c r="P58" s="23"/>
      <c r="Q58" s="23"/>
      <c r="R58" s="23"/>
    </row>
    <row r="59" spans="2:20" outlineLevel="1" x14ac:dyDescent="0.25">
      <c r="B59" s="219" t="s">
        <v>79</v>
      </c>
      <c r="C59" s="219"/>
      <c r="D59" s="219"/>
      <c r="E59" s="219"/>
      <c r="F59" s="219"/>
      <c r="G59" s="219"/>
      <c r="H59" s="219"/>
      <c r="I59" s="219"/>
      <c r="J59" s="219"/>
      <c r="K59" s="219"/>
      <c r="L59" s="219"/>
      <c r="M59" s="219"/>
      <c r="N59" s="219"/>
      <c r="O59" s="219"/>
      <c r="P59" s="219"/>
      <c r="Q59" s="219"/>
      <c r="R59" s="219"/>
    </row>
    <row r="60" spans="2:20" outlineLevel="1" x14ac:dyDescent="0.25">
      <c r="B60" s="76"/>
      <c r="C60" s="78">
        <f>C$5</f>
        <v>2016</v>
      </c>
      <c r="D60" s="78">
        <f t="shared" ref="D60:R60" si="34">D$5</f>
        <v>2017</v>
      </c>
      <c r="E60" s="78">
        <f t="shared" si="34"/>
        <v>2018</v>
      </c>
      <c r="F60" s="78">
        <f t="shared" si="34"/>
        <v>2019</v>
      </c>
      <c r="G60" s="78">
        <f t="shared" si="34"/>
        <v>2020</v>
      </c>
      <c r="H60" s="79">
        <f t="shared" si="34"/>
        <v>2021</v>
      </c>
      <c r="I60" s="79">
        <f t="shared" si="34"/>
        <v>2022</v>
      </c>
      <c r="J60" s="79">
        <f t="shared" si="34"/>
        <v>2023</v>
      </c>
      <c r="K60" s="79">
        <f t="shared" si="34"/>
        <v>2024</v>
      </c>
      <c r="L60" s="79">
        <f t="shared" si="34"/>
        <v>2025</v>
      </c>
      <c r="M60" s="79">
        <f t="shared" si="34"/>
        <v>2026</v>
      </c>
      <c r="N60" s="79">
        <f t="shared" si="34"/>
        <v>2027</v>
      </c>
      <c r="O60" s="79">
        <f t="shared" si="34"/>
        <v>2028</v>
      </c>
      <c r="P60" s="79">
        <f t="shared" si="34"/>
        <v>2029</v>
      </c>
      <c r="Q60" s="79">
        <f t="shared" si="34"/>
        <v>2030</v>
      </c>
      <c r="R60" s="79">
        <f t="shared" si="34"/>
        <v>2031</v>
      </c>
    </row>
    <row r="61" spans="2:20" ht="5.4" customHeight="1" outlineLevel="1" x14ac:dyDescent="0.25">
      <c r="C61" s="59"/>
      <c r="D61" s="59"/>
      <c r="E61" s="59"/>
      <c r="F61" s="59"/>
      <c r="G61" s="59"/>
      <c r="H61" s="60"/>
      <c r="I61" s="60"/>
      <c r="J61" s="60"/>
      <c r="K61" s="60"/>
      <c r="L61" s="60"/>
      <c r="M61" s="60"/>
      <c r="N61" s="60"/>
      <c r="O61" s="60"/>
      <c r="P61" s="60"/>
      <c r="Q61" s="60"/>
      <c r="R61" s="60"/>
    </row>
    <row r="62" spans="2:20" outlineLevel="1" x14ac:dyDescent="0.25">
      <c r="B62" t="s">
        <v>26</v>
      </c>
      <c r="C62" s="23"/>
      <c r="D62" s="23"/>
      <c r="E62" s="23"/>
      <c r="F62" s="23"/>
      <c r="G62" s="23"/>
      <c r="H62" s="23"/>
      <c r="I62" s="23"/>
      <c r="J62" s="23"/>
      <c r="K62" s="23"/>
      <c r="L62" s="23"/>
      <c r="M62" s="23"/>
      <c r="N62" s="23"/>
      <c r="O62" s="23"/>
      <c r="P62" s="23"/>
      <c r="Q62" s="23"/>
      <c r="R62" s="23"/>
      <c r="S62" s="304"/>
      <c r="T62" s="1"/>
    </row>
    <row r="63" spans="2:20" x14ac:dyDescent="0.25">
      <c r="B63" s="8" t="s">
        <v>27</v>
      </c>
      <c r="C63" s="430">
        <f>C142</f>
        <v>19334</v>
      </c>
      <c r="D63" s="430">
        <f>D142</f>
        <v>20522</v>
      </c>
      <c r="E63" s="430">
        <f>E142</f>
        <v>31750</v>
      </c>
      <c r="F63" s="430">
        <f>F142</f>
        <v>36092</v>
      </c>
      <c r="G63" s="430">
        <f>G142</f>
        <v>42122</v>
      </c>
      <c r="H63" s="387">
        <f ca="1">+H135-H64</f>
        <v>57569.566869048744</v>
      </c>
      <c r="I63" s="387">
        <f t="shared" ref="I63:R63" ca="1" si="35">+I135-I64</f>
        <v>90142.99882181274</v>
      </c>
      <c r="J63" s="387">
        <f t="shared" ca="1" si="35"/>
        <v>126893.25660524689</v>
      </c>
      <c r="K63" s="387">
        <f t="shared" ca="1" si="35"/>
        <v>167282.28852780705</v>
      </c>
      <c r="L63" s="387">
        <f t="shared" ca="1" si="35"/>
        <v>213758.34045623569</v>
      </c>
      <c r="M63" s="387">
        <f t="shared" ca="1" si="35"/>
        <v>263742.59025731869</v>
      </c>
      <c r="N63" s="387">
        <f t="shared" ca="1" si="35"/>
        <v>317438.50660957332</v>
      </c>
      <c r="O63" s="387">
        <f t="shared" ca="1" si="35"/>
        <v>376516.37366882194</v>
      </c>
      <c r="P63" s="387">
        <f t="shared" ca="1" si="35"/>
        <v>442370.74373660726</v>
      </c>
      <c r="Q63" s="387">
        <f t="shared" ca="1" si="35"/>
        <v>515394.90767831029</v>
      </c>
      <c r="R63" s="387">
        <f t="shared" ca="1" si="35"/>
        <v>586722.59188718977</v>
      </c>
    </row>
    <row r="64" spans="2:20" x14ac:dyDescent="0.25">
      <c r="B64" s="8" t="s">
        <v>497</v>
      </c>
      <c r="C64" s="430">
        <f>+C143+C144</f>
        <v>265</v>
      </c>
      <c r="D64" s="430">
        <f>+D143+D144</f>
        <v>1334</v>
      </c>
      <c r="E64" s="430">
        <f t="shared" ref="E64:K64" si="36">+E143+E144</f>
        <v>423</v>
      </c>
      <c r="F64" s="430">
        <f t="shared" si="36"/>
        <v>318</v>
      </c>
      <c r="G64" s="430">
        <f t="shared" si="36"/>
        <v>255</v>
      </c>
      <c r="H64" s="387">
        <f t="shared" si="36"/>
        <v>255</v>
      </c>
      <c r="I64" s="387">
        <f t="shared" si="36"/>
        <v>255</v>
      </c>
      <c r="J64" s="387">
        <f t="shared" si="36"/>
        <v>255</v>
      </c>
      <c r="K64" s="387">
        <f t="shared" si="36"/>
        <v>255</v>
      </c>
      <c r="L64" s="387">
        <f t="shared" ref="L64:R64" si="37">+L143+L144</f>
        <v>255</v>
      </c>
      <c r="M64" s="387">
        <f t="shared" si="37"/>
        <v>255</v>
      </c>
      <c r="N64" s="387">
        <f t="shared" si="37"/>
        <v>255</v>
      </c>
      <c r="O64" s="387">
        <f t="shared" si="37"/>
        <v>255</v>
      </c>
      <c r="P64" s="387">
        <f t="shared" si="37"/>
        <v>255</v>
      </c>
      <c r="Q64" s="387">
        <f t="shared" si="37"/>
        <v>255</v>
      </c>
      <c r="R64" s="387">
        <f t="shared" si="37"/>
        <v>255</v>
      </c>
    </row>
    <row r="65" spans="2:18" x14ac:dyDescent="0.25">
      <c r="B65" s="8" t="s">
        <v>28</v>
      </c>
      <c r="C65" s="430">
        <f>'Raw Data'!C46</f>
        <v>6647</v>
      </c>
      <c r="D65" s="430">
        <f>'Raw Data'!D46</f>
        <v>10464</v>
      </c>
      <c r="E65" s="430">
        <f>'Raw Data'!E46</f>
        <v>9500</v>
      </c>
      <c r="F65" s="430">
        <f>'Raw Data'!F46</f>
        <v>18929</v>
      </c>
      <c r="G65" s="430">
        <f>'Raw Data'!G46</f>
        <v>42274</v>
      </c>
      <c r="H65" s="387">
        <f>+G65*(1+'Control Panel'!$O$34)</f>
        <v>43964.959999999999</v>
      </c>
      <c r="I65" s="387">
        <f>+H65*(1+'Control Panel'!$O$34)</f>
        <v>45723.558400000002</v>
      </c>
      <c r="J65" s="387">
        <f>+I65*(1+'Control Panel'!$O$34)</f>
        <v>47552.500736000002</v>
      </c>
      <c r="K65" s="387">
        <f>+J65*(1+'Control Panel'!$O$34)</f>
        <v>49454.600765440002</v>
      </c>
      <c r="L65" s="387">
        <f>+K65*(1+'Control Panel'!$O$34)</f>
        <v>51432.784796057604</v>
      </c>
      <c r="M65" s="387">
        <f>+L65*(1+'Control Panel'!$O$34)</f>
        <v>53490.096187899908</v>
      </c>
      <c r="N65" s="387">
        <f>+M65*(1+'Control Panel'!$O$34)</f>
        <v>55629.700035415903</v>
      </c>
      <c r="O65" s="387">
        <f>+N65*(1+'Control Panel'!$O$34)</f>
        <v>57854.888036832541</v>
      </c>
      <c r="P65" s="387">
        <f>+O65*(1+'Control Panel'!$O$34)</f>
        <v>60169.083558305843</v>
      </c>
      <c r="Q65" s="387">
        <f>+P65*(1+'Control Panel'!$O$34)</f>
        <v>62575.846900638076</v>
      </c>
      <c r="R65" s="387">
        <f>+Q65*(1+'Control Panel'!$O$34)</f>
        <v>65078.880776663602</v>
      </c>
    </row>
    <row r="66" spans="2:18" outlineLevel="1" x14ac:dyDescent="0.25">
      <c r="B66" s="8" t="s">
        <v>29</v>
      </c>
      <c r="C66" s="430">
        <f>'Raw Data'!C47</f>
        <v>11461</v>
      </c>
      <c r="D66" s="430">
        <f>'Raw Data'!D47</f>
        <v>16047</v>
      </c>
      <c r="E66" s="430">
        <f>'Raw Data'!E47</f>
        <v>17174</v>
      </c>
      <c r="F66" s="430">
        <f>'Raw Data'!F47</f>
        <v>20497</v>
      </c>
      <c r="G66" s="430">
        <f>'Raw Data'!G47</f>
        <v>23795</v>
      </c>
      <c r="H66" s="387">
        <f>+H35/H10*'Control Panel'!$O$30</f>
        <v>38355.288429974418</v>
      </c>
      <c r="I66" s="387">
        <f>+I35/I10*'Control Panel'!$O$30</f>
        <v>47938.161188693884</v>
      </c>
      <c r="J66" s="387">
        <f>+J35/J10*'Control Panel'!$O$30</f>
        <v>57870.725108915627</v>
      </c>
      <c r="K66" s="387">
        <f>+K35/K10*'Control Panel'!$O$30</f>
        <v>67579.79035416698</v>
      </c>
      <c r="L66" s="387">
        <f>+L35/L10*'Control Panel'!$O$30</f>
        <v>77281.588969217439</v>
      </c>
      <c r="M66" s="387">
        <f>+M35/M10*'Control Panel'!$O$30</f>
        <v>86159.680451858119</v>
      </c>
      <c r="N66" s="387">
        <f>+N35/N10*'Control Panel'!$O$30</f>
        <v>94226.917707625893</v>
      </c>
      <c r="O66" s="387">
        <f>+O35/O10*'Control Panel'!$O$30</f>
        <v>101117.77582584547</v>
      </c>
      <c r="P66" s="387">
        <f>+P35/P10*'Control Panel'!$O$30</f>
        <v>107644.30432033952</v>
      </c>
      <c r="Q66" s="387">
        <f>+Q35/Q10*'Control Panel'!$O$30</f>
        <v>113007.61136360296</v>
      </c>
      <c r="R66" s="387">
        <f>+R35/R10*'Control Panel'!$O$30</f>
        <v>117550.43463739409</v>
      </c>
    </row>
    <row r="67" spans="2:18" outlineLevel="1" x14ac:dyDescent="0.25">
      <c r="B67" s="8" t="s">
        <v>30</v>
      </c>
      <c r="C67" s="430">
        <f>'Raw Data'!C48-C143</f>
        <v>8074</v>
      </c>
      <c r="D67" s="430">
        <f>'Raw Data'!D48-D143</f>
        <v>11835</v>
      </c>
      <c r="E67" s="430">
        <f>'Raw Data'!E48-E143</f>
        <v>16259</v>
      </c>
      <c r="F67" s="430">
        <f>'Raw Data'!F48-F143</f>
        <v>20540</v>
      </c>
      <c r="G67" s="430">
        <f>'Raw Data'!G48-G143</f>
        <v>24309</v>
      </c>
      <c r="H67" s="387">
        <f>(+H32/H10*'Control Panel'!$M$30)-H143</f>
        <v>34359.130302130376</v>
      </c>
      <c r="I67" s="387">
        <f>(+I32/I10*'Control Panel'!$M$30)-I143</f>
        <v>43001.79723823144</v>
      </c>
      <c r="J67" s="387">
        <f>(+J32/J10*'Control Panel'!$M$30)-J143</f>
        <v>51959.846034809845</v>
      </c>
      <c r="K67" s="387">
        <f>(+K32/K10*'Control Panel'!$M$30)-K143</f>
        <v>60716.324315211699</v>
      </c>
      <c r="L67" s="387">
        <f>(+L32/L10*'Control Panel'!$M$30)-L143</f>
        <v>69466.24891738416</v>
      </c>
      <c r="M67" s="387">
        <f>(+M32/M10*'Control Panel'!$M$30)-M143</f>
        <v>77473.282887743626</v>
      </c>
      <c r="N67" s="387">
        <f>(+N32/N10*'Control Panel'!$M$30)-N143</f>
        <v>84749.01809279123</v>
      </c>
      <c r="O67" s="387">
        <f>(+O32/O10*'Control Panel'!$M$30)-O143</f>
        <v>90963.792421868129</v>
      </c>
      <c r="P67" s="387">
        <f>(+P32/P10*'Control Panel'!$M$30)-P143</f>
        <v>96849.982653869345</v>
      </c>
      <c r="Q67" s="387">
        <f>(+Q32/Q10*'Control Panel'!$M$30)-Q143</f>
        <v>101687.07875417956</v>
      </c>
      <c r="R67" s="387">
        <f>(+R32/R10*'Control Panel'!$M$30)-R143</f>
        <v>105784.19133132613</v>
      </c>
    </row>
    <row r="68" spans="2:18" outlineLevel="1" x14ac:dyDescent="0.25">
      <c r="B68" s="10" t="s">
        <v>31</v>
      </c>
      <c r="C68" s="388">
        <f t="shared" ref="C68:G68" si="38">SUM(C63:C67)</f>
        <v>45781</v>
      </c>
      <c r="D68" s="388">
        <f t="shared" si="38"/>
        <v>60202</v>
      </c>
      <c r="E68" s="388">
        <f t="shared" si="38"/>
        <v>75106</v>
      </c>
      <c r="F68" s="388">
        <f t="shared" si="38"/>
        <v>96376</v>
      </c>
      <c r="G68" s="388">
        <f t="shared" si="38"/>
        <v>132755</v>
      </c>
      <c r="H68" s="388">
        <f ca="1">SUM(H63:H67)</f>
        <v>174503.94560115354</v>
      </c>
      <c r="I68" s="388">
        <f t="shared" ref="I68:R68" ca="1" si="39">SUM(I63:I67)</f>
        <v>227061.51564873807</v>
      </c>
      <c r="J68" s="388">
        <f t="shared" ca="1" si="39"/>
        <v>284531.32848497236</v>
      </c>
      <c r="K68" s="388">
        <f t="shared" ca="1" si="39"/>
        <v>345288.00396262569</v>
      </c>
      <c r="L68" s="388">
        <f t="shared" ca="1" si="39"/>
        <v>412193.96313889488</v>
      </c>
      <c r="M68" s="388">
        <f t="shared" ca="1" si="39"/>
        <v>481120.64978482033</v>
      </c>
      <c r="N68" s="388">
        <f t="shared" ca="1" si="39"/>
        <v>552299.14244540629</v>
      </c>
      <c r="O68" s="388">
        <f t="shared" ca="1" si="39"/>
        <v>626707.82995336805</v>
      </c>
      <c r="P68" s="388">
        <f t="shared" ca="1" si="39"/>
        <v>707289.11426912202</v>
      </c>
      <c r="Q68" s="388">
        <f ca="1">SUM(Q63:Q67)</f>
        <v>792920.44469673082</v>
      </c>
      <c r="R68" s="388">
        <f t="shared" ca="1" si="39"/>
        <v>875391.0986325735</v>
      </c>
    </row>
    <row r="69" spans="2:18" outlineLevel="1" x14ac:dyDescent="0.25">
      <c r="B69" t="s">
        <v>32</v>
      </c>
      <c r="C69" s="430">
        <f>'Raw Data'!C50</f>
        <v>29114</v>
      </c>
      <c r="D69" s="430">
        <f>'Raw Data'!D50</f>
        <v>48866</v>
      </c>
      <c r="E69" s="430">
        <f>'Raw Data'!E50</f>
        <v>61797</v>
      </c>
      <c r="F69" s="430">
        <f>'Raw Data'!F50</f>
        <v>72705</v>
      </c>
      <c r="G69" s="430">
        <f>'Raw Data'!G50</f>
        <v>113114</v>
      </c>
      <c r="H69" s="387">
        <f>+H199</f>
        <v>146048.80226363594</v>
      </c>
      <c r="I69" s="387">
        <f t="shared" ref="I69:R69" si="40">+I199</f>
        <v>185390.74329928576</v>
      </c>
      <c r="J69" s="387">
        <f>+J199</f>
        <v>230278.81601288574</v>
      </c>
      <c r="K69" s="387">
        <f t="shared" si="40"/>
        <v>279337.99685562641</v>
      </c>
      <c r="L69" s="387">
        <f t="shared" si="40"/>
        <v>330789.94562110357</v>
      </c>
      <c r="M69" s="387">
        <f t="shared" si="40"/>
        <v>382592.58166498877</v>
      </c>
      <c r="N69" s="387">
        <f t="shared" si="40"/>
        <v>436659.2141226558</v>
      </c>
      <c r="O69" s="387">
        <f t="shared" si="40"/>
        <v>487769.60081964568</v>
      </c>
      <c r="P69" s="387">
        <f t="shared" si="40"/>
        <v>532839.58547179541</v>
      </c>
      <c r="Q69" s="387">
        <f t="shared" si="40"/>
        <v>569966.02399622067</v>
      </c>
      <c r="R69" s="387">
        <f t="shared" si="40"/>
        <v>610726.28595449158</v>
      </c>
    </row>
    <row r="70" spans="2:18" outlineLevel="1" x14ac:dyDescent="0.25">
      <c r="B70" t="s">
        <v>207</v>
      </c>
      <c r="C70" s="430">
        <f>'Raw Data'!C51</f>
        <v>0</v>
      </c>
      <c r="D70" s="430">
        <f>'Raw Data'!D51</f>
        <v>0</v>
      </c>
      <c r="E70" s="430">
        <f>'Raw Data'!E51</f>
        <v>0</v>
      </c>
      <c r="F70" s="430">
        <f>'Raw Data'!F51</f>
        <v>25141</v>
      </c>
      <c r="G70" s="430">
        <f>'Raw Data'!G51</f>
        <v>37553</v>
      </c>
      <c r="H70" s="387">
        <f>+H250</f>
        <v>50903.3937752001</v>
      </c>
      <c r="I70" s="387">
        <f t="shared" ref="I70:R70" si="41">+I250</f>
        <v>67180.6432798647</v>
      </c>
      <c r="J70" s="387">
        <f>+J250</f>
        <v>86241.553921639555</v>
      </c>
      <c r="K70" s="387">
        <f t="shared" si="41"/>
        <v>107766.28254033222</v>
      </c>
      <c r="L70" s="387">
        <f t="shared" si="41"/>
        <v>131291.07312002376</v>
      </c>
      <c r="M70" s="387">
        <f t="shared" si="41"/>
        <v>156252.0782993701</v>
      </c>
      <c r="N70" s="387">
        <f t="shared" si="41"/>
        <v>182031.26683969155</v>
      </c>
      <c r="O70" s="387">
        <f t="shared" si="41"/>
        <v>207997.53189759862</v>
      </c>
      <c r="P70" s="387">
        <f t="shared" si="41"/>
        <v>233539.0916584736</v>
      </c>
      <c r="Q70" s="387">
        <f t="shared" si="41"/>
        <v>258085.99920912521</v>
      </c>
      <c r="R70" s="387">
        <f t="shared" si="41"/>
        <v>281123.48195327743</v>
      </c>
    </row>
    <row r="71" spans="2:18" outlineLevel="1" x14ac:dyDescent="0.25">
      <c r="B71" t="s">
        <v>33</v>
      </c>
      <c r="C71" s="430">
        <f>'Raw Data'!C52</f>
        <v>3784</v>
      </c>
      <c r="D71" s="430">
        <f>'Raw Data'!D52</f>
        <v>13350</v>
      </c>
      <c r="E71" s="430">
        <f>'Raw Data'!E52</f>
        <v>14548</v>
      </c>
      <c r="F71" s="430">
        <f>'Raw Data'!F52</f>
        <v>14754</v>
      </c>
      <c r="G71" s="430">
        <f>'Raw Data'!G52</f>
        <v>15017</v>
      </c>
      <c r="H71" s="387">
        <f>+G71</f>
        <v>15017</v>
      </c>
      <c r="I71" s="387">
        <f t="shared" ref="I71:R72" si="42">+H71</f>
        <v>15017</v>
      </c>
      <c r="J71" s="387">
        <f>+I71</f>
        <v>15017</v>
      </c>
      <c r="K71" s="387">
        <f t="shared" si="42"/>
        <v>15017</v>
      </c>
      <c r="L71" s="387">
        <f t="shared" si="42"/>
        <v>15017</v>
      </c>
      <c r="M71" s="387">
        <f t="shared" si="42"/>
        <v>15017</v>
      </c>
      <c r="N71" s="387">
        <f t="shared" si="42"/>
        <v>15017</v>
      </c>
      <c r="O71" s="387">
        <f t="shared" si="42"/>
        <v>15017</v>
      </c>
      <c r="P71" s="387">
        <f t="shared" si="42"/>
        <v>15017</v>
      </c>
      <c r="Q71" s="387">
        <f t="shared" si="42"/>
        <v>15017</v>
      </c>
      <c r="R71" s="387">
        <f t="shared" si="42"/>
        <v>15017</v>
      </c>
    </row>
    <row r="72" spans="2:18" outlineLevel="1" x14ac:dyDescent="0.25">
      <c r="B72" t="s">
        <v>34</v>
      </c>
      <c r="C72" s="430">
        <f>'Raw Data'!C53-C144</f>
        <v>4723</v>
      </c>
      <c r="D72" s="430">
        <f>'Raw Data'!D53-D144</f>
        <v>8892</v>
      </c>
      <c r="E72" s="430">
        <f>'Raw Data'!E53-E144</f>
        <v>11197</v>
      </c>
      <c r="F72" s="430">
        <f>'Raw Data'!F53-F144</f>
        <v>16272</v>
      </c>
      <c r="G72" s="430">
        <f>'Raw Data'!G53-G144</f>
        <v>22756</v>
      </c>
      <c r="H72" s="387">
        <f>+G72</f>
        <v>22756</v>
      </c>
      <c r="I72" s="387">
        <f>+H72</f>
        <v>22756</v>
      </c>
      <c r="J72" s="387">
        <f>+I72</f>
        <v>22756</v>
      </c>
      <c r="K72" s="387">
        <f>+J72</f>
        <v>22756</v>
      </c>
      <c r="L72" s="387">
        <f>+K72</f>
        <v>22756</v>
      </c>
      <c r="M72" s="387">
        <f t="shared" si="42"/>
        <v>22756</v>
      </c>
      <c r="N72" s="387">
        <f>+M72</f>
        <v>22756</v>
      </c>
      <c r="O72" s="387">
        <f>+N72</f>
        <v>22756</v>
      </c>
      <c r="P72" s="387">
        <f>+O72</f>
        <v>22756</v>
      </c>
      <c r="Q72" s="387">
        <f>+P72</f>
        <v>22756</v>
      </c>
      <c r="R72" s="387">
        <f t="shared" si="42"/>
        <v>22756</v>
      </c>
    </row>
    <row r="73" spans="2:18" ht="14.4" outlineLevel="1" thickBot="1" x14ac:dyDescent="0.3">
      <c r="B73" s="14" t="s">
        <v>35</v>
      </c>
      <c r="C73" s="393">
        <f t="shared" ref="C73:F73" si="43">SUM(C68:C72)</f>
        <v>83402</v>
      </c>
      <c r="D73" s="393">
        <f t="shared" si="43"/>
        <v>131310</v>
      </c>
      <c r="E73" s="393">
        <f t="shared" si="43"/>
        <v>162648</v>
      </c>
      <c r="F73" s="393">
        <f t="shared" si="43"/>
        <v>225248</v>
      </c>
      <c r="G73" s="393">
        <f>SUM(G68:G72)</f>
        <v>321195</v>
      </c>
      <c r="H73" s="393">
        <f ca="1">SUM(H68:H72)</f>
        <v>409229.14163998957</v>
      </c>
      <c r="I73" s="393">
        <f t="shared" ref="I73:R73" ca="1" si="44">SUM(I68:I72)</f>
        <v>517405.90222788852</v>
      </c>
      <c r="J73" s="393">
        <f ca="1">SUM(J68:J72)</f>
        <v>638824.6984194977</v>
      </c>
      <c r="K73" s="393">
        <f t="shared" ref="K73:Q73" ca="1" si="45">SUM(K68:K72)</f>
        <v>770165.28335858427</v>
      </c>
      <c r="L73" s="393">
        <f t="shared" ca="1" si="45"/>
        <v>912047.98188002221</v>
      </c>
      <c r="M73" s="393">
        <f t="shared" ca="1" si="45"/>
        <v>1057738.3097491793</v>
      </c>
      <c r="N73" s="393">
        <f t="shared" ca="1" si="45"/>
        <v>1208762.6234077537</v>
      </c>
      <c r="O73" s="393">
        <f t="shared" ca="1" si="45"/>
        <v>1360247.9626706124</v>
      </c>
      <c r="P73" s="393">
        <f t="shared" ca="1" si="45"/>
        <v>1511440.7913993909</v>
      </c>
      <c r="Q73" s="393">
        <f t="shared" ca="1" si="45"/>
        <v>1658745.4679020767</v>
      </c>
      <c r="R73" s="393">
        <f t="shared" ca="1" si="44"/>
        <v>1805013.8665403426</v>
      </c>
    </row>
    <row r="74" spans="2:18" ht="14.4" outlineLevel="1" thickTop="1" x14ac:dyDescent="0.25">
      <c r="C74" s="23"/>
      <c r="D74" s="23"/>
      <c r="E74" s="23"/>
      <c r="F74" s="23"/>
      <c r="G74" s="23"/>
      <c r="H74" s="23"/>
      <c r="I74" s="23"/>
      <c r="J74" s="23"/>
      <c r="K74" s="23"/>
      <c r="L74" s="23"/>
      <c r="M74" s="23"/>
      <c r="N74" s="23"/>
      <c r="O74" s="23"/>
      <c r="P74" s="23"/>
      <c r="Q74" s="23"/>
      <c r="R74" s="23"/>
    </row>
    <row r="75" spans="2:18" outlineLevel="1" x14ac:dyDescent="0.25">
      <c r="B75" t="s">
        <v>615</v>
      </c>
      <c r="C75" s="23"/>
      <c r="D75" s="23"/>
      <c r="E75" s="23"/>
      <c r="F75" s="23"/>
      <c r="G75" s="23"/>
      <c r="H75" s="23"/>
      <c r="I75" s="23"/>
      <c r="J75" s="23"/>
      <c r="K75" s="23"/>
      <c r="L75" s="23"/>
      <c r="M75" s="23"/>
      <c r="N75" s="23"/>
      <c r="O75" s="23"/>
      <c r="P75" s="23"/>
      <c r="Q75" s="23"/>
      <c r="R75" s="23"/>
    </row>
    <row r="76" spans="2:18" outlineLevel="1" x14ac:dyDescent="0.25">
      <c r="B76" t="s">
        <v>37</v>
      </c>
      <c r="C76" s="23"/>
      <c r="D76" s="23"/>
      <c r="E76" s="23"/>
      <c r="F76" s="23"/>
      <c r="G76" s="23"/>
      <c r="H76" s="23"/>
      <c r="I76" s="23"/>
      <c r="J76" s="23"/>
      <c r="K76" s="23"/>
      <c r="L76" s="23"/>
      <c r="M76" s="23"/>
      <c r="N76" s="23"/>
      <c r="O76" s="23"/>
      <c r="P76" s="23"/>
      <c r="Q76" s="23"/>
      <c r="R76" s="23"/>
    </row>
    <row r="77" spans="2:18" outlineLevel="1" x14ac:dyDescent="0.25">
      <c r="B77" s="8" t="s">
        <v>38</v>
      </c>
      <c r="C77" s="430">
        <f>'Raw Data'!C57</f>
        <v>25309</v>
      </c>
      <c r="D77" s="430">
        <f>'Raw Data'!D57</f>
        <v>34616</v>
      </c>
      <c r="E77" s="430">
        <f>'Raw Data'!E57</f>
        <v>38192</v>
      </c>
      <c r="F77" s="430">
        <f>'Raw Data'!F57</f>
        <v>47183</v>
      </c>
      <c r="G77" s="430">
        <f>'Raw Data'!G57</f>
        <v>72539</v>
      </c>
      <c r="H77" s="387">
        <f>+SUM(H36,H40,H41,H35)/H10*'Control Panel'!$N$30</f>
        <v>89151.795895527481</v>
      </c>
      <c r="I77" s="387">
        <f>+SUM(I36,I40,I41,I35)/I10*'Control Panel'!$N$30</f>
        <v>111303.68739464902</v>
      </c>
      <c r="J77" s="387">
        <f>+SUM(J36,J40,J41,J35)/J10*'Control Panel'!$N$30</f>
        <v>134191.78087178236</v>
      </c>
      <c r="K77" s="387">
        <f>+SUM(K36,K40,K41,K35)/K10*'Control Panel'!$N$30</f>
        <v>156474.59012884012</v>
      </c>
      <c r="L77" s="387">
        <f>+SUM(L36,L40,L41,L35)/L10*'Control Panel'!$N$30</f>
        <v>178643.82946402612</v>
      </c>
      <c r="M77" s="387">
        <f>+SUM(M36,M40,M41,M35)/M10*'Control Panel'!$N$30</f>
        <v>198805.95137313378</v>
      </c>
      <c r="N77" s="387">
        <f>+SUM(N36,N40,N41,N35)/N10*'Control Panel'!$N$30</f>
        <v>216992.88511928744</v>
      </c>
      <c r="O77" s="387">
        <f>+SUM(O36,O40,O41,O35)/O10*'Control Panel'!$N$30</f>
        <v>232369.55356721385</v>
      </c>
      <c r="P77" s="387">
        <f>+SUM(P36,P40,P41,P35)/P10*'Control Panel'!$N$30</f>
        <v>246811.13445726247</v>
      </c>
      <c r="Q77" s="387">
        <f>+SUM(Q36,Q40,Q41,Q35)/Q10*'Control Panel'!$N$30</f>
        <v>258493.43696542006</v>
      </c>
      <c r="R77" s="387">
        <f>+SUM(R36,R40,R41,R35)/R10*'Control Panel'!$N$30</f>
        <v>268216.9503484735</v>
      </c>
    </row>
    <row r="78" spans="2:18" outlineLevel="1" x14ac:dyDescent="0.25">
      <c r="B78" s="8" t="s">
        <v>39</v>
      </c>
      <c r="C78" s="430">
        <f>'Raw Data'!C58</f>
        <v>13739</v>
      </c>
      <c r="D78" s="430">
        <f>'Raw Data'!D58</f>
        <v>18170</v>
      </c>
      <c r="E78" s="430">
        <f>'Raw Data'!E58</f>
        <v>23663</v>
      </c>
      <c r="F78" s="430">
        <f>'Raw Data'!F58</f>
        <v>32439</v>
      </c>
      <c r="G78" s="430">
        <f>'Raw Data'!G58</f>
        <v>44138</v>
      </c>
      <c r="H78" s="387">
        <f>+H32*'Control Panel'!$O$32</f>
        <v>53662.901078673298</v>
      </c>
      <c r="I78" s="387">
        <f>+I32*'Control Panel'!$O$32</f>
        <v>67070.302611829204</v>
      </c>
      <c r="J78" s="387">
        <f>+J32*'Control Panel'!$O$32</f>
        <v>80966.957204365521</v>
      </c>
      <c r="K78" s="387">
        <f>+K32*'Control Panel'!$O$32</f>
        <v>94809.958303401043</v>
      </c>
      <c r="L78" s="387">
        <f>+L32*'Control Panel'!$O$32</f>
        <v>108124.70545305117</v>
      </c>
      <c r="M78" s="387">
        <f>+M32*'Control Panel'!$O$32</f>
        <v>120546.04718980205</v>
      </c>
      <c r="N78" s="387">
        <f>+N32*'Control Panel'!$O$32</f>
        <v>131832.92241757733</v>
      </c>
      <c r="O78" s="387">
        <f>+O32*'Control Panel'!$O$32</f>
        <v>141861.52486621219</v>
      </c>
      <c r="P78" s="387">
        <f>+P32*'Control Panel'!$O$32</f>
        <v>150605.19398703525</v>
      </c>
      <c r="Q78" s="387">
        <f>+Q32*'Control Panel'!$O$32</f>
        <v>158108.99925348908</v>
      </c>
      <c r="R78" s="387">
        <f>+R32*'Control Panel'!$O$32</f>
        <v>164464.86531363934</v>
      </c>
    </row>
    <row r="79" spans="2:18" outlineLevel="1" x14ac:dyDescent="0.25">
      <c r="B79" s="8" t="s">
        <v>40</v>
      </c>
      <c r="C79" s="430">
        <f>'Raw Data'!C59</f>
        <v>4768</v>
      </c>
      <c r="D79" s="430">
        <f>'Raw Data'!D59</f>
        <v>5097</v>
      </c>
      <c r="E79" s="430">
        <f>'Raw Data'!E59</f>
        <v>6536</v>
      </c>
      <c r="F79" s="430">
        <f>'Raw Data'!F59</f>
        <v>8190</v>
      </c>
      <c r="G79" s="430">
        <f>'Raw Data'!G59</f>
        <v>9708</v>
      </c>
      <c r="H79" s="387">
        <f>+H32*'Control Panel'!$O$33</f>
        <v>14663.588381022621</v>
      </c>
      <c r="I79" s="387">
        <f>+I32*'Control Panel'!$O$33</f>
        <v>18327.210984151374</v>
      </c>
      <c r="J79" s="387">
        <f>+J32*'Control Panel'!$O$33</f>
        <v>22124.523815216042</v>
      </c>
      <c r="K79" s="387">
        <f>+K32*'Control Panel'!$O$33</f>
        <v>25907.175628555524</v>
      </c>
      <c r="L79" s="387">
        <f>+L32*'Control Panel'!$O$33</f>
        <v>29545.480074929488</v>
      </c>
      <c r="M79" s="387">
        <f>+M32*'Control Panel'!$O$33</f>
        <v>32939.658151524724</v>
      </c>
      <c r="N79" s="387">
        <f>+N32*'Control Panel'!$O$33</f>
        <v>36023.83901244044</v>
      </c>
      <c r="O79" s="387">
        <f>+O32*'Control Panel'!$O$33</f>
        <v>38764.192131406271</v>
      </c>
      <c r="P79" s="387">
        <f>+P32*'Control Panel'!$O$33</f>
        <v>41153.432413806171</v>
      </c>
      <c r="Q79" s="387">
        <f>+Q32*'Control Panel'!$O$33</f>
        <v>43203.875261786263</v>
      </c>
      <c r="R79" s="387">
        <f>+R32*'Control Panel'!$O$33</f>
        <v>44940.639429163617</v>
      </c>
    </row>
    <row r="80" spans="2:18" outlineLevel="1" x14ac:dyDescent="0.25">
      <c r="B80" s="10" t="s">
        <v>41</v>
      </c>
      <c r="C80" s="388">
        <f t="shared" ref="C80:R80" si="46">SUM(C77:C79)</f>
        <v>43816</v>
      </c>
      <c r="D80" s="388">
        <f t="shared" si="46"/>
        <v>57883</v>
      </c>
      <c r="E80" s="388">
        <f t="shared" si="46"/>
        <v>68391</v>
      </c>
      <c r="F80" s="388">
        <f t="shared" si="46"/>
        <v>87812</v>
      </c>
      <c r="G80" s="388">
        <f t="shared" si="46"/>
        <v>126385</v>
      </c>
      <c r="H80" s="388">
        <f t="shared" si="46"/>
        <v>157478.2853552234</v>
      </c>
      <c r="I80" s="388">
        <f t="shared" si="46"/>
        <v>196701.20099062959</v>
      </c>
      <c r="J80" s="388">
        <f>SUM(J77:J79)</f>
        <v>237283.26189136392</v>
      </c>
      <c r="K80" s="388">
        <f t="shared" si="46"/>
        <v>277191.72406079667</v>
      </c>
      <c r="L80" s="388">
        <f t="shared" si="46"/>
        <v>316314.01499200676</v>
      </c>
      <c r="M80" s="388">
        <f t="shared" si="46"/>
        <v>352291.65671446058</v>
      </c>
      <c r="N80" s="388">
        <f t="shared" si="46"/>
        <v>384849.64654930518</v>
      </c>
      <c r="O80" s="388">
        <f t="shared" si="46"/>
        <v>412995.27056483232</v>
      </c>
      <c r="P80" s="388">
        <f t="shared" si="46"/>
        <v>438569.76085810387</v>
      </c>
      <c r="Q80" s="388">
        <f t="shared" si="46"/>
        <v>459806.31148069538</v>
      </c>
      <c r="R80" s="388">
        <f t="shared" si="46"/>
        <v>477622.45509127644</v>
      </c>
    </row>
    <row r="81" spans="1:21" outlineLevel="1" x14ac:dyDescent="0.25">
      <c r="B81" t="s">
        <v>224</v>
      </c>
      <c r="C81" s="430">
        <f>'Raw Data'!C61</f>
        <v>0</v>
      </c>
      <c r="D81" s="430">
        <f>'Raw Data'!D61</f>
        <v>0</v>
      </c>
      <c r="E81" s="430">
        <f>'Raw Data'!E61</f>
        <v>9650</v>
      </c>
      <c r="F81" s="430">
        <f>'Raw Data'!F61</f>
        <v>39791</v>
      </c>
      <c r="G81" s="430">
        <f>'Raw Data'!G61</f>
        <v>52573</v>
      </c>
      <c r="H81" s="387">
        <f t="shared" ref="H81:R81" si="47">H233+H284</f>
        <v>82937.625127394509</v>
      </c>
      <c r="I81" s="387">
        <f t="shared" si="47"/>
        <v>118993.67263552194</v>
      </c>
      <c r="J81" s="387">
        <f t="shared" si="47"/>
        <v>160226.43865410343</v>
      </c>
      <c r="K81" s="387">
        <f t="shared" si="47"/>
        <v>205722.78176876294</v>
      </c>
      <c r="L81" s="387">
        <f t="shared" si="47"/>
        <v>254251.62373065145</v>
      </c>
      <c r="M81" s="387">
        <f t="shared" si="47"/>
        <v>304367.99562801135</v>
      </c>
      <c r="N81" s="387">
        <f t="shared" si="47"/>
        <v>356850.41365678905</v>
      </c>
      <c r="O81" s="387">
        <f t="shared" si="47"/>
        <v>408387.08775791817</v>
      </c>
      <c r="P81" s="387">
        <f t="shared" si="47"/>
        <v>456892.73029882263</v>
      </c>
      <c r="Q81" s="387">
        <f t="shared" si="47"/>
        <v>500976.22147599049</v>
      </c>
      <c r="R81" s="387">
        <f t="shared" si="47"/>
        <v>541601.03374685801</v>
      </c>
    </row>
    <row r="82" spans="1:21" outlineLevel="1" x14ac:dyDescent="0.25">
      <c r="B82" t="s">
        <v>42</v>
      </c>
      <c r="C82" s="430">
        <f>'Raw Data'!C62</f>
        <v>7694</v>
      </c>
      <c r="D82" s="430">
        <f>'Raw Data'!D62</f>
        <v>24743</v>
      </c>
      <c r="E82" s="430">
        <f>'Raw Data'!E62</f>
        <v>23495</v>
      </c>
      <c r="F82" s="430">
        <f>'Raw Data'!F62</f>
        <v>23414</v>
      </c>
      <c r="G82" s="430">
        <f>'Raw Data'!G62</f>
        <v>31816</v>
      </c>
      <c r="H82" s="387">
        <f ca="1">H316</f>
        <v>30661</v>
      </c>
      <c r="I82" s="387">
        <f ca="1">I316</f>
        <v>29032</v>
      </c>
      <c r="J82" s="387">
        <f ca="1">J316</f>
        <v>26749</v>
      </c>
      <c r="K82" s="387">
        <f t="shared" ref="K82:R82" ca="1" si="48">K316</f>
        <v>23394</v>
      </c>
      <c r="L82" s="387">
        <f t="shared" ca="1" si="48"/>
        <v>21143</v>
      </c>
      <c r="M82" s="387">
        <f t="shared" ca="1" si="48"/>
        <v>17393</v>
      </c>
      <c r="N82" s="387">
        <f t="shared" ca="1" si="48"/>
        <v>13643</v>
      </c>
      <c r="O82" s="387">
        <f t="shared" ca="1" si="48"/>
        <v>9893</v>
      </c>
      <c r="P82" s="387">
        <f t="shared" ca="1" si="48"/>
        <v>6143</v>
      </c>
      <c r="Q82" s="387">
        <f t="shared" ca="1" si="48"/>
        <v>2393</v>
      </c>
      <c r="R82" s="387">
        <f t="shared" ca="1" si="48"/>
        <v>0</v>
      </c>
    </row>
    <row r="83" spans="1:21" outlineLevel="1" x14ac:dyDescent="0.25">
      <c r="B83" t="s">
        <v>43</v>
      </c>
      <c r="C83" s="430">
        <f>'Raw Data'!C63</f>
        <v>12607</v>
      </c>
      <c r="D83" s="430">
        <f>'Raw Data'!D63</f>
        <v>20975</v>
      </c>
      <c r="E83" s="430">
        <f>'Raw Data'!E63</f>
        <v>17563</v>
      </c>
      <c r="F83" s="430">
        <f>'Raw Data'!F63</f>
        <v>12171</v>
      </c>
      <c r="G83" s="430">
        <f>'Raw Data'!G63</f>
        <v>17017</v>
      </c>
      <c r="H83" s="387">
        <f>+G83</f>
        <v>17017</v>
      </c>
      <c r="I83" s="387">
        <f>+H83</f>
        <v>17017</v>
      </c>
      <c r="J83" s="387">
        <f>+I83</f>
        <v>17017</v>
      </c>
      <c r="K83" s="387">
        <f>+J83</f>
        <v>17017</v>
      </c>
      <c r="L83" s="387">
        <f t="shared" ref="L83:R83" si="49">+K83</f>
        <v>17017</v>
      </c>
      <c r="M83" s="387">
        <f t="shared" si="49"/>
        <v>17017</v>
      </c>
      <c r="N83" s="387">
        <f t="shared" si="49"/>
        <v>17017</v>
      </c>
      <c r="O83" s="387">
        <f t="shared" si="49"/>
        <v>17017</v>
      </c>
      <c r="P83" s="387">
        <f t="shared" si="49"/>
        <v>17017</v>
      </c>
      <c r="Q83" s="387">
        <f t="shared" si="49"/>
        <v>17017</v>
      </c>
      <c r="R83" s="387">
        <f t="shared" si="49"/>
        <v>17017</v>
      </c>
    </row>
    <row r="84" spans="1:21" outlineLevel="1" x14ac:dyDescent="0.25">
      <c r="B84" s="12" t="s">
        <v>80</v>
      </c>
      <c r="C84" s="388">
        <f t="shared" ref="C84:G84" si="50">SUM(C80:C83)</f>
        <v>64117</v>
      </c>
      <c r="D84" s="388">
        <f t="shared" si="50"/>
        <v>103601</v>
      </c>
      <c r="E84" s="388">
        <f t="shared" si="50"/>
        <v>119099</v>
      </c>
      <c r="F84" s="388">
        <f>SUM(F80:F83)</f>
        <v>163188</v>
      </c>
      <c r="G84" s="388">
        <f t="shared" si="50"/>
        <v>227791</v>
      </c>
      <c r="H84" s="388">
        <f ca="1">SUM(H80:H83)</f>
        <v>288093.91048261791</v>
      </c>
      <c r="I84" s="388">
        <f t="shared" ref="I84:R84" ca="1" si="51">SUM(I80:I83)</f>
        <v>361743.87362615153</v>
      </c>
      <c r="J84" s="388">
        <f t="shared" ca="1" si="51"/>
        <v>441275.70054546732</v>
      </c>
      <c r="K84" s="388">
        <f t="shared" ca="1" si="51"/>
        <v>523325.50582955964</v>
      </c>
      <c r="L84" s="388">
        <f t="shared" ca="1" si="51"/>
        <v>608725.63872265816</v>
      </c>
      <c r="M84" s="388">
        <f t="shared" ca="1" si="51"/>
        <v>691069.65234247199</v>
      </c>
      <c r="N84" s="388">
        <f t="shared" ca="1" si="51"/>
        <v>772360.06020609429</v>
      </c>
      <c r="O84" s="388">
        <f t="shared" ca="1" si="51"/>
        <v>848292.35832275054</v>
      </c>
      <c r="P84" s="388">
        <f t="shared" ca="1" si="51"/>
        <v>918622.4911569265</v>
      </c>
      <c r="Q84" s="388">
        <f t="shared" ca="1" si="51"/>
        <v>980192.53295668587</v>
      </c>
      <c r="R84" s="388">
        <f t="shared" ca="1" si="51"/>
        <v>1036240.4888381344</v>
      </c>
    </row>
    <row r="85" spans="1:21" outlineLevel="1" x14ac:dyDescent="0.25">
      <c r="B85" t="s">
        <v>44</v>
      </c>
      <c r="C85" s="23"/>
      <c r="D85" s="23"/>
      <c r="E85" s="23"/>
      <c r="F85" s="23"/>
      <c r="G85" s="5"/>
      <c r="H85" s="23"/>
      <c r="I85" s="23"/>
      <c r="J85" s="23"/>
      <c r="K85" s="23"/>
      <c r="L85" s="23"/>
      <c r="M85" s="23"/>
      <c r="N85" s="23"/>
      <c r="O85" s="23"/>
      <c r="P85" s="23"/>
      <c r="Q85" s="23"/>
      <c r="R85" s="23"/>
    </row>
    <row r="86" spans="1:21" outlineLevel="1" x14ac:dyDescent="0.25">
      <c r="B86" s="8" t="s">
        <v>81</v>
      </c>
      <c r="C86" s="430">
        <f>'Raw Data'!C72</f>
        <v>5</v>
      </c>
      <c r="D86" s="430">
        <f>'Raw Data'!D72</f>
        <v>5</v>
      </c>
      <c r="E86" s="430">
        <f>'Raw Data'!E72</f>
        <v>5</v>
      </c>
      <c r="F86" s="430">
        <f>'Raw Data'!F72</f>
        <v>5</v>
      </c>
      <c r="G86" s="430">
        <f>'Raw Data'!G72</f>
        <v>5</v>
      </c>
      <c r="H86" s="387">
        <f t="shared" ref="H86:R86" ca="1" si="52">G86+H295</f>
        <v>5</v>
      </c>
      <c r="I86" s="387">
        <f t="shared" ca="1" si="52"/>
        <v>5</v>
      </c>
      <c r="J86" s="387">
        <f t="shared" ca="1" si="52"/>
        <v>5</v>
      </c>
      <c r="K86" s="387">
        <f t="shared" ca="1" si="52"/>
        <v>5</v>
      </c>
      <c r="L86" s="387">
        <f t="shared" ca="1" si="52"/>
        <v>5</v>
      </c>
      <c r="M86" s="387">
        <f t="shared" ca="1" si="52"/>
        <v>5</v>
      </c>
      <c r="N86" s="387">
        <f t="shared" ca="1" si="52"/>
        <v>5</v>
      </c>
      <c r="O86" s="387">
        <f t="shared" ca="1" si="52"/>
        <v>5</v>
      </c>
      <c r="P86" s="387">
        <f t="shared" ca="1" si="52"/>
        <v>5</v>
      </c>
      <c r="Q86" s="387">
        <f t="shared" ca="1" si="52"/>
        <v>5</v>
      </c>
      <c r="R86" s="387">
        <f t="shared" ca="1" si="52"/>
        <v>5</v>
      </c>
    </row>
    <row r="87" spans="1:21" outlineLevel="1" x14ac:dyDescent="0.25">
      <c r="B87" s="8" t="s">
        <v>52</v>
      </c>
      <c r="C87" s="430">
        <f>'Raw Data'!C73</f>
        <v>-1837</v>
      </c>
      <c r="D87" s="430">
        <f>'Raw Data'!D73</f>
        <v>-1837</v>
      </c>
      <c r="E87" s="430">
        <f>'Raw Data'!E73</f>
        <v>-1837</v>
      </c>
      <c r="F87" s="430">
        <f>'Raw Data'!F73</f>
        <v>-1837</v>
      </c>
      <c r="G87" s="430">
        <f>'Raw Data'!G73</f>
        <v>-1837</v>
      </c>
      <c r="H87" s="387">
        <f>+G87</f>
        <v>-1837</v>
      </c>
      <c r="I87" s="387">
        <f t="shared" ref="I87:R87" si="53">+H87</f>
        <v>-1837</v>
      </c>
      <c r="J87" s="387">
        <f t="shared" si="53"/>
        <v>-1837</v>
      </c>
      <c r="K87" s="387">
        <f t="shared" si="53"/>
        <v>-1837</v>
      </c>
      <c r="L87" s="387">
        <f t="shared" si="53"/>
        <v>-1837</v>
      </c>
      <c r="M87" s="387">
        <f t="shared" si="53"/>
        <v>-1837</v>
      </c>
      <c r="N87" s="387">
        <f t="shared" si="53"/>
        <v>-1837</v>
      </c>
      <c r="O87" s="387">
        <f t="shared" si="53"/>
        <v>-1837</v>
      </c>
      <c r="P87" s="387">
        <f t="shared" si="53"/>
        <v>-1837</v>
      </c>
      <c r="Q87" s="387">
        <f t="shared" si="53"/>
        <v>-1837</v>
      </c>
      <c r="R87" s="387">
        <f t="shared" si="53"/>
        <v>-1837</v>
      </c>
    </row>
    <row r="88" spans="1:21" outlineLevel="1" x14ac:dyDescent="0.25">
      <c r="B88" s="8" t="s">
        <v>53</v>
      </c>
      <c r="C88" s="430">
        <f>'Raw Data'!C74</f>
        <v>17186</v>
      </c>
      <c r="D88" s="430">
        <f>'Raw Data'!D74</f>
        <v>21389</v>
      </c>
      <c r="E88" s="430">
        <f>'Raw Data'!E74</f>
        <v>26791</v>
      </c>
      <c r="F88" s="430">
        <f>'Raw Data'!F74</f>
        <v>33658</v>
      </c>
      <c r="G88" s="430">
        <f>'Raw Data'!G74</f>
        <v>42865</v>
      </c>
      <c r="H88" s="387">
        <f>+G88+H106</f>
        <v>54624.596815421704</v>
      </c>
      <c r="I88" s="387">
        <f t="shared" ref="I88:R88" si="54">+H88+I106</f>
        <v>69322.268785245367</v>
      </c>
      <c r="J88" s="387">
        <f t="shared" si="54"/>
        <v>87065.229992261447</v>
      </c>
      <c r="K88" s="387">
        <f t="shared" si="54"/>
        <v>107841.72290121514</v>
      </c>
      <c r="L88" s="387">
        <f t="shared" si="54"/>
        <v>131535.98684065448</v>
      </c>
      <c r="M88" s="387">
        <f t="shared" si="54"/>
        <v>157952.24246885127</v>
      </c>
      <c r="N88" s="387">
        <f t="shared" si="54"/>
        <v>186841.88472573625</v>
      </c>
      <c r="O88" s="387">
        <f t="shared" si="54"/>
        <v>217929.17785589772</v>
      </c>
      <c r="P88" s="387">
        <f t="shared" si="54"/>
        <v>250932.54375666077</v>
      </c>
      <c r="Q88" s="387">
        <f t="shared" si="54"/>
        <v>285580.28077305859</v>
      </c>
      <c r="R88" s="387">
        <f t="shared" si="54"/>
        <v>321620.83146105817</v>
      </c>
    </row>
    <row r="89" spans="1:21" outlineLevel="1" x14ac:dyDescent="0.25">
      <c r="B89" s="8" t="s">
        <v>54</v>
      </c>
      <c r="C89" s="430">
        <f>'Raw Data'!C75</f>
        <v>-985</v>
      </c>
      <c r="D89" s="430">
        <f>'Raw Data'!D75</f>
        <v>-484</v>
      </c>
      <c r="E89" s="430">
        <f>'Raw Data'!E75</f>
        <v>-1035</v>
      </c>
      <c r="F89" s="430">
        <f>'Raw Data'!F75</f>
        <v>-986</v>
      </c>
      <c r="G89" s="430">
        <f>'Raw Data'!G75</f>
        <v>-180</v>
      </c>
      <c r="H89" s="387">
        <f>+G89</f>
        <v>-180</v>
      </c>
      <c r="I89" s="387">
        <f t="shared" ref="I89:R89" si="55">+H89</f>
        <v>-180</v>
      </c>
      <c r="J89" s="387">
        <f t="shared" si="55"/>
        <v>-180</v>
      </c>
      <c r="K89" s="387">
        <f t="shared" si="55"/>
        <v>-180</v>
      </c>
      <c r="L89" s="387">
        <f t="shared" si="55"/>
        <v>-180</v>
      </c>
      <c r="M89" s="387">
        <f t="shared" si="55"/>
        <v>-180</v>
      </c>
      <c r="N89" s="387">
        <f t="shared" si="55"/>
        <v>-180</v>
      </c>
      <c r="O89" s="387">
        <f t="shared" si="55"/>
        <v>-180</v>
      </c>
      <c r="P89" s="387">
        <f t="shared" si="55"/>
        <v>-180</v>
      </c>
      <c r="Q89" s="387">
        <f t="shared" si="55"/>
        <v>-180</v>
      </c>
      <c r="R89" s="387">
        <f t="shared" si="55"/>
        <v>-180</v>
      </c>
    </row>
    <row r="90" spans="1:21" outlineLevel="1" x14ac:dyDescent="0.25">
      <c r="B90" s="8" t="s">
        <v>55</v>
      </c>
      <c r="C90" s="430">
        <f>'Raw Data'!C76</f>
        <v>4916</v>
      </c>
      <c r="D90" s="430">
        <f>'Raw Data'!D76</f>
        <v>8636</v>
      </c>
      <c r="E90" s="430">
        <f>'Raw Data'!E76</f>
        <v>19625</v>
      </c>
      <c r="F90" s="430">
        <f>'Raw Data'!F76</f>
        <v>31220</v>
      </c>
      <c r="G90" s="430">
        <f>'Raw Data'!G76</f>
        <v>52551</v>
      </c>
      <c r="H90" s="387">
        <f ca="1">+G90+H51</f>
        <v>68522.634341949975</v>
      </c>
      <c r="I90" s="387">
        <f t="shared" ref="I90:R90" ca="1" si="56">+H90+I51</f>
        <v>88351.759816491627</v>
      </c>
      <c r="J90" s="387">
        <f ca="1">+I90+J51</f>
        <v>112495.7678817689</v>
      </c>
      <c r="K90" s="387">
        <f t="shared" ca="1" si="56"/>
        <v>141010.05462780962</v>
      </c>
      <c r="L90" s="387">
        <f t="shared" ca="1" si="56"/>
        <v>173798.3563167096</v>
      </c>
      <c r="M90" s="387">
        <f t="shared" ca="1" si="56"/>
        <v>210728.41493785608</v>
      </c>
      <c r="N90" s="387">
        <f t="shared" ca="1" si="56"/>
        <v>251572.6784759232</v>
      </c>
      <c r="O90" s="387">
        <f t="shared" ca="1" si="56"/>
        <v>296038.42649196414</v>
      </c>
      <c r="P90" s="387">
        <f t="shared" ca="1" si="56"/>
        <v>343897.75648580346</v>
      </c>
      <c r="Q90" s="387">
        <f t="shared" ca="1" si="56"/>
        <v>394984.65417233208</v>
      </c>
      <c r="R90" s="387">
        <f t="shared" ca="1" si="56"/>
        <v>449164.54624115746</v>
      </c>
    </row>
    <row r="91" spans="1:21" outlineLevel="1" x14ac:dyDescent="0.25">
      <c r="B91" s="12" t="s">
        <v>56</v>
      </c>
      <c r="C91" s="389">
        <f t="shared" ref="C91:G91" si="57">SUM(C86:C90)</f>
        <v>19285</v>
      </c>
      <c r="D91" s="389">
        <f t="shared" si="57"/>
        <v>27709</v>
      </c>
      <c r="E91" s="389">
        <f t="shared" si="57"/>
        <v>43549</v>
      </c>
      <c r="F91" s="389">
        <f>SUM(F86:F90)</f>
        <v>62060</v>
      </c>
      <c r="G91" s="389">
        <f t="shared" si="57"/>
        <v>93404</v>
      </c>
      <c r="H91" s="389">
        <f ca="1">SUM(H86:H90)</f>
        <v>121135.23115737169</v>
      </c>
      <c r="I91" s="389">
        <f t="shared" ref="I91:R91" ca="1" si="58">SUM(I86:I90)</f>
        <v>155662.02860173699</v>
      </c>
      <c r="J91" s="389">
        <f t="shared" ca="1" si="58"/>
        <v>197548.99787403035</v>
      </c>
      <c r="K91" s="389">
        <f t="shared" ca="1" si="58"/>
        <v>246839.77752902475</v>
      </c>
      <c r="L91" s="389">
        <f t="shared" ca="1" si="58"/>
        <v>303322.34315736406</v>
      </c>
      <c r="M91" s="389">
        <f t="shared" ca="1" si="58"/>
        <v>366668.65740670735</v>
      </c>
      <c r="N91" s="389">
        <f t="shared" ca="1" si="58"/>
        <v>436402.56320165948</v>
      </c>
      <c r="O91" s="389">
        <f t="shared" ca="1" si="58"/>
        <v>511955.60434786184</v>
      </c>
      <c r="P91" s="389">
        <f t="shared" ca="1" si="58"/>
        <v>592818.30024246429</v>
      </c>
      <c r="Q91" s="389">
        <f t="shared" ca="1" si="58"/>
        <v>678552.93494539068</v>
      </c>
      <c r="R91" s="389">
        <f t="shared" ca="1" si="58"/>
        <v>768773.37770221569</v>
      </c>
    </row>
    <row r="92" spans="1:21" ht="14.4" outlineLevel="1" thickBot="1" x14ac:dyDescent="0.3">
      <c r="B92" s="14" t="s">
        <v>57</v>
      </c>
      <c r="C92" s="393">
        <f t="shared" ref="C92:G92" si="59">C91+C84</f>
        <v>83402</v>
      </c>
      <c r="D92" s="393">
        <f t="shared" si="59"/>
        <v>131310</v>
      </c>
      <c r="E92" s="393">
        <f t="shared" si="59"/>
        <v>162648</v>
      </c>
      <c r="F92" s="393">
        <f>F91+F84</f>
        <v>225248</v>
      </c>
      <c r="G92" s="393">
        <f t="shared" si="59"/>
        <v>321195</v>
      </c>
      <c r="H92" s="393">
        <f ca="1">H91+H84</f>
        <v>409229.14163998957</v>
      </c>
      <c r="I92" s="393">
        <f t="shared" ref="I92:R92" ca="1" si="60">I91+I84</f>
        <v>517405.90222788852</v>
      </c>
      <c r="J92" s="393">
        <f t="shared" ca="1" si="60"/>
        <v>638824.6984194977</v>
      </c>
      <c r="K92" s="393">
        <f t="shared" ca="1" si="60"/>
        <v>770165.28335858439</v>
      </c>
      <c r="L92" s="393">
        <f t="shared" ca="1" si="60"/>
        <v>912047.98188002221</v>
      </c>
      <c r="M92" s="393">
        <f t="shared" ca="1" si="60"/>
        <v>1057738.3097491793</v>
      </c>
      <c r="N92" s="393">
        <f t="shared" ca="1" si="60"/>
        <v>1208762.6234077537</v>
      </c>
      <c r="O92" s="393">
        <f t="shared" ca="1" si="60"/>
        <v>1360247.9626706124</v>
      </c>
      <c r="P92" s="393">
        <f t="shared" ca="1" si="60"/>
        <v>1511440.7913993909</v>
      </c>
      <c r="Q92" s="393">
        <f t="shared" ca="1" si="60"/>
        <v>1658745.4679020764</v>
      </c>
      <c r="R92" s="393">
        <f t="shared" ca="1" si="60"/>
        <v>1805013.86654035</v>
      </c>
    </row>
    <row r="93" spans="1:21" ht="14.4" outlineLevel="1" thickTop="1" x14ac:dyDescent="0.25">
      <c r="C93" s="23"/>
      <c r="D93" s="23"/>
      <c r="E93" s="23"/>
      <c r="F93" s="23"/>
      <c r="G93" s="23"/>
      <c r="H93" s="23"/>
      <c r="I93" s="23"/>
      <c r="J93" s="23"/>
      <c r="K93" s="23"/>
      <c r="L93" s="23"/>
      <c r="M93" s="23"/>
      <c r="N93" s="23"/>
      <c r="O93" s="23"/>
      <c r="P93" s="23"/>
      <c r="Q93" s="23"/>
      <c r="R93" s="23"/>
      <c r="T93" s="24"/>
      <c r="U93" s="24"/>
    </row>
    <row r="94" spans="1:21" outlineLevel="1" x14ac:dyDescent="0.25">
      <c r="A94" s="24"/>
      <c r="B94" s="30" t="s">
        <v>110</v>
      </c>
      <c r="C94" s="483">
        <f t="shared" ref="C94:R94" si="61">C92-C73</f>
        <v>0</v>
      </c>
      <c r="D94" s="483">
        <f t="shared" si="61"/>
        <v>0</v>
      </c>
      <c r="E94" s="483">
        <f t="shared" si="61"/>
        <v>0</v>
      </c>
      <c r="F94" s="483">
        <f t="shared" si="61"/>
        <v>0</v>
      </c>
      <c r="G94" s="483">
        <f t="shared" si="61"/>
        <v>0</v>
      </c>
      <c r="H94" s="483">
        <f ca="1">H92-H73</f>
        <v>0</v>
      </c>
      <c r="I94" s="483">
        <f t="shared" ca="1" si="61"/>
        <v>0</v>
      </c>
      <c r="J94" s="483">
        <f t="shared" ca="1" si="61"/>
        <v>0</v>
      </c>
      <c r="K94" s="483">
        <f t="shared" ca="1" si="61"/>
        <v>0</v>
      </c>
      <c r="L94" s="483">
        <f t="shared" ca="1" si="61"/>
        <v>0</v>
      </c>
      <c r="M94" s="483">
        <f t="shared" ca="1" si="61"/>
        <v>0</v>
      </c>
      <c r="N94" s="483">
        <f t="shared" ca="1" si="61"/>
        <v>0</v>
      </c>
      <c r="O94" s="483">
        <f t="shared" ca="1" si="61"/>
        <v>0</v>
      </c>
      <c r="P94" s="483">
        <f t="shared" ca="1" si="61"/>
        <v>0</v>
      </c>
      <c r="Q94" s="483">
        <f t="shared" ca="1" si="61"/>
        <v>0</v>
      </c>
      <c r="R94" s="483">
        <f t="shared" ca="1" si="61"/>
        <v>7.4505805969238281E-9</v>
      </c>
      <c r="S94" s="24"/>
      <c r="T94" s="24"/>
      <c r="U94" s="24"/>
    </row>
    <row r="95" spans="1:21" outlineLevel="1" x14ac:dyDescent="0.25">
      <c r="A95" s="24"/>
      <c r="B95" s="30"/>
      <c r="C95" s="39"/>
      <c r="D95" s="39"/>
      <c r="E95" s="39"/>
      <c r="F95" s="39"/>
      <c r="G95" s="39"/>
      <c r="H95" s="84"/>
      <c r="I95" s="84"/>
      <c r="J95" s="84"/>
      <c r="K95" s="84"/>
      <c r="L95" s="84"/>
      <c r="M95" s="84"/>
      <c r="N95" s="84"/>
      <c r="O95" s="84"/>
      <c r="P95" s="84"/>
      <c r="Q95" s="84"/>
      <c r="R95" s="84"/>
      <c r="S95" s="24"/>
    </row>
    <row r="96" spans="1:21" outlineLevel="1" x14ac:dyDescent="0.25">
      <c r="C96" s="23"/>
      <c r="D96" s="23"/>
      <c r="E96" s="23"/>
      <c r="F96" s="23"/>
      <c r="G96" s="23"/>
      <c r="H96" s="23"/>
      <c r="I96" s="23"/>
      <c r="J96" s="23"/>
      <c r="K96" s="23"/>
      <c r="L96" s="23"/>
      <c r="M96" s="23"/>
      <c r="N96" s="23"/>
      <c r="O96" s="23"/>
      <c r="P96" s="23"/>
      <c r="Q96" s="23"/>
      <c r="R96" s="23"/>
    </row>
    <row r="97" spans="1:21" outlineLevel="1" x14ac:dyDescent="0.25">
      <c r="B97" s="219" t="s">
        <v>82</v>
      </c>
      <c r="C97" s="219"/>
      <c r="D97" s="219"/>
      <c r="E97" s="219"/>
      <c r="F97" s="219"/>
      <c r="G97" s="219"/>
      <c r="H97" s="219"/>
      <c r="I97" s="219"/>
      <c r="J97" s="219"/>
      <c r="K97" s="219"/>
      <c r="L97" s="219"/>
      <c r="M97" s="219"/>
      <c r="N97" s="219"/>
      <c r="O97" s="219"/>
      <c r="P97" s="219"/>
      <c r="Q97" s="219"/>
      <c r="R97" s="219"/>
    </row>
    <row r="98" spans="1:21" s="24" customFormat="1" outlineLevel="1" x14ac:dyDescent="0.25">
      <c r="A98"/>
      <c r="B98" s="76"/>
      <c r="C98" s="78">
        <f>C$5</f>
        <v>2016</v>
      </c>
      <c r="D98" s="78">
        <f t="shared" ref="D98:R98" si="62">D$5</f>
        <v>2017</v>
      </c>
      <c r="E98" s="78">
        <f t="shared" si="62"/>
        <v>2018</v>
      </c>
      <c r="F98" s="78">
        <f t="shared" si="62"/>
        <v>2019</v>
      </c>
      <c r="G98" s="78">
        <f t="shared" si="62"/>
        <v>2020</v>
      </c>
      <c r="H98" s="79">
        <f>H$5</f>
        <v>2021</v>
      </c>
      <c r="I98" s="79">
        <f t="shared" si="62"/>
        <v>2022</v>
      </c>
      <c r="J98" s="79">
        <f t="shared" si="62"/>
        <v>2023</v>
      </c>
      <c r="K98" s="79">
        <f t="shared" si="62"/>
        <v>2024</v>
      </c>
      <c r="L98" s="79">
        <f t="shared" si="62"/>
        <v>2025</v>
      </c>
      <c r="M98" s="79">
        <f t="shared" si="62"/>
        <v>2026</v>
      </c>
      <c r="N98" s="79">
        <f t="shared" si="62"/>
        <v>2027</v>
      </c>
      <c r="O98" s="79">
        <f t="shared" si="62"/>
        <v>2028</v>
      </c>
      <c r="P98" s="79">
        <f t="shared" si="62"/>
        <v>2029</v>
      </c>
      <c r="Q98" s="79">
        <f t="shared" si="62"/>
        <v>2030</v>
      </c>
      <c r="R98" s="79">
        <f t="shared" si="62"/>
        <v>2031</v>
      </c>
      <c r="S98"/>
      <c r="T98"/>
      <c r="U98"/>
    </row>
    <row r="99" spans="1:21" s="24" customFormat="1" ht="5.4" customHeight="1" outlineLevel="1" x14ac:dyDescent="0.25">
      <c r="A99"/>
      <c r="B99"/>
      <c r="C99" s="59"/>
      <c r="D99" s="59"/>
      <c r="E99" s="59"/>
      <c r="F99" s="59"/>
      <c r="G99" s="59"/>
      <c r="H99" s="60"/>
      <c r="I99" s="60"/>
      <c r="J99" s="60"/>
      <c r="K99" s="60"/>
      <c r="L99" s="60"/>
      <c r="M99" s="60"/>
      <c r="N99" s="60"/>
      <c r="O99" s="60"/>
      <c r="P99" s="60"/>
      <c r="Q99" s="60"/>
      <c r="R99" s="60"/>
      <c r="S99"/>
      <c r="T99"/>
      <c r="U99"/>
    </row>
    <row r="100" spans="1:21" s="24" customFormat="1" outlineLevel="1" x14ac:dyDescent="0.25">
      <c r="A100"/>
      <c r="B100" t="s">
        <v>620</v>
      </c>
      <c r="C100" s="430">
        <f>'Raw Data'!C86</f>
        <v>15890</v>
      </c>
      <c r="D100" s="430">
        <f>'Raw Data'!D86</f>
        <v>19934</v>
      </c>
      <c r="E100" s="430">
        <f>'Raw Data'!E86</f>
        <v>21856</v>
      </c>
      <c r="F100" s="430">
        <f>'Raw Data'!F86</f>
        <v>32173</v>
      </c>
      <c r="G100" s="430">
        <f>'Raw Data'!G86</f>
        <v>36410</v>
      </c>
      <c r="H100" s="387">
        <f>+G135</f>
        <v>42377</v>
      </c>
      <c r="I100" s="387">
        <f t="shared" ref="I100:R100" ca="1" si="63">+H135</f>
        <v>57824.566869048744</v>
      </c>
      <c r="J100" s="387">
        <f t="shared" ca="1" si="63"/>
        <v>90397.99882181274</v>
      </c>
      <c r="K100" s="387">
        <f t="shared" ca="1" si="63"/>
        <v>127148.25660524689</v>
      </c>
      <c r="L100" s="387">
        <f t="shared" ca="1" si="63"/>
        <v>167537.28852780705</v>
      </c>
      <c r="M100" s="387">
        <f t="shared" ca="1" si="63"/>
        <v>214013.34045623569</v>
      </c>
      <c r="N100" s="387">
        <f t="shared" ca="1" si="63"/>
        <v>263997.59025731869</v>
      </c>
      <c r="O100" s="387">
        <f t="shared" ca="1" si="63"/>
        <v>317693.50660957332</v>
      </c>
      <c r="P100" s="387">
        <f t="shared" ca="1" si="63"/>
        <v>376771.37366882194</v>
      </c>
      <c r="Q100" s="387">
        <f t="shared" ca="1" si="63"/>
        <v>442625.74373660726</v>
      </c>
      <c r="R100" s="387">
        <f t="shared" ca="1" si="63"/>
        <v>515649.90767831029</v>
      </c>
      <c r="S100"/>
      <c r="T100"/>
      <c r="U100"/>
    </row>
    <row r="101" spans="1:21" x14ac:dyDescent="0.25">
      <c r="B101" t="s">
        <v>25</v>
      </c>
      <c r="C101" s="26"/>
      <c r="D101" s="23"/>
      <c r="E101" s="26"/>
      <c r="F101" s="26"/>
      <c r="G101" s="26"/>
      <c r="H101" s="23"/>
      <c r="I101" s="23"/>
      <c r="J101" s="23"/>
      <c r="K101" s="23"/>
      <c r="L101" s="23"/>
      <c r="M101" s="23"/>
      <c r="N101" s="23"/>
      <c r="O101" s="23"/>
      <c r="P101" s="23"/>
      <c r="Q101" s="23"/>
      <c r="R101" s="23"/>
    </row>
    <row r="102" spans="1:21" x14ac:dyDescent="0.25">
      <c r="B102" t="s">
        <v>619</v>
      </c>
      <c r="C102" s="23"/>
      <c r="D102" s="23"/>
      <c r="E102" s="23"/>
      <c r="F102" s="23"/>
      <c r="G102" s="23"/>
      <c r="H102" s="23"/>
      <c r="I102" s="23"/>
      <c r="J102" s="23"/>
      <c r="K102" s="23"/>
      <c r="L102" s="23"/>
      <c r="M102" s="23"/>
      <c r="N102" s="23"/>
      <c r="O102" s="23"/>
      <c r="P102" s="23"/>
      <c r="Q102" s="23"/>
      <c r="R102" s="23"/>
    </row>
    <row r="103" spans="1:21" outlineLevel="1" x14ac:dyDescent="0.25">
      <c r="B103" t="s">
        <v>19</v>
      </c>
      <c r="C103" s="387">
        <f>C51</f>
        <v>2371</v>
      </c>
      <c r="D103" s="387">
        <f>D51</f>
        <v>3033</v>
      </c>
      <c r="E103" s="387">
        <f>E51</f>
        <v>10073</v>
      </c>
      <c r="F103" s="387">
        <f>F51</f>
        <v>11588</v>
      </c>
      <c r="G103" s="387">
        <f>G51</f>
        <v>21331</v>
      </c>
      <c r="H103" s="387">
        <f ca="1">+H51</f>
        <v>15971.634341949975</v>
      </c>
      <c r="I103" s="387">
        <f t="shared" ref="I103:R103" ca="1" si="64">+I51</f>
        <v>19829.125474541652</v>
      </c>
      <c r="J103" s="387">
        <f t="shared" ca="1" si="64"/>
        <v>24144.008065277267</v>
      </c>
      <c r="K103" s="387">
        <f t="shared" ca="1" si="64"/>
        <v>28514.286746040711</v>
      </c>
      <c r="L103" s="387">
        <f t="shared" ca="1" si="64"/>
        <v>32788.30168889997</v>
      </c>
      <c r="M103" s="387">
        <f t="shared" ca="1" si="64"/>
        <v>36930.058621146483</v>
      </c>
      <c r="N103" s="387">
        <f t="shared" ca="1" si="64"/>
        <v>40844.263538067127</v>
      </c>
      <c r="O103" s="387">
        <f t="shared" ca="1" si="64"/>
        <v>44465.748016040947</v>
      </c>
      <c r="P103" s="387">
        <f t="shared" ca="1" si="64"/>
        <v>47859.329993839317</v>
      </c>
      <c r="Q103" s="387">
        <f t="shared" ca="1" si="64"/>
        <v>51086.897686528631</v>
      </c>
      <c r="R103" s="387">
        <f t="shared" ca="1" si="64"/>
        <v>54179.892068825342</v>
      </c>
    </row>
    <row r="104" spans="1:21" outlineLevel="1" x14ac:dyDescent="0.25">
      <c r="B104" t="s">
        <v>59</v>
      </c>
      <c r="C104" s="23"/>
      <c r="D104" s="23"/>
      <c r="E104" s="23"/>
      <c r="F104" s="23"/>
      <c r="G104" s="23"/>
      <c r="H104" s="23"/>
      <c r="I104" s="23"/>
      <c r="J104" s="23"/>
      <c r="K104" s="23"/>
      <c r="L104" s="23"/>
      <c r="M104" s="23"/>
      <c r="N104" s="23"/>
      <c r="O104" s="23"/>
      <c r="P104" s="23"/>
      <c r="Q104" s="23"/>
      <c r="R104" s="23"/>
    </row>
    <row r="105" spans="1:21" outlineLevel="1" x14ac:dyDescent="0.25">
      <c r="B105" s="16" t="s">
        <v>225</v>
      </c>
      <c r="C105" s="430">
        <f>'Raw Data'!C90</f>
        <v>8116</v>
      </c>
      <c r="D105" s="430">
        <f>'Raw Data'!D90</f>
        <v>11478</v>
      </c>
      <c r="E105" s="430">
        <f>'Raw Data'!E90</f>
        <v>15341</v>
      </c>
      <c r="F105" s="430">
        <f>'Raw Data'!F90</f>
        <v>21789</v>
      </c>
      <c r="G105" s="430">
        <f>'Raw Data'!G90</f>
        <v>25251</v>
      </c>
      <c r="H105" s="387">
        <f>-H169-H196</f>
        <v>18379.616022124424</v>
      </c>
      <c r="I105" s="387">
        <f>-I169-I196</f>
        <v>24793.122361877118</v>
      </c>
      <c r="J105" s="387">
        <f t="shared" ref="J105:R105" si="65">-J169-J196</f>
        <v>32535.477370263463</v>
      </c>
      <c r="K105" s="387">
        <f t="shared" si="65"/>
        <v>41601.550505041698</v>
      </c>
      <c r="L105" s="387">
        <f t="shared" si="65"/>
        <v>51940.828201766009</v>
      </c>
      <c r="M105" s="387">
        <f t="shared" si="65"/>
        <v>63467.87978461614</v>
      </c>
      <c r="N105" s="387">
        <f t="shared" si="65"/>
        <v>71996.804083937939</v>
      </c>
      <c r="O105" s="387">
        <f t="shared" si="65"/>
        <v>84542.764349919162</v>
      </c>
      <c r="P105" s="387">
        <f t="shared" si="65"/>
        <v>98944.18090570459</v>
      </c>
      <c r="Q105" s="387">
        <f t="shared" si="65"/>
        <v>114063.13862016346</v>
      </c>
      <c r="R105" s="387">
        <f t="shared" si="65"/>
        <v>116507.0255415717</v>
      </c>
    </row>
    <row r="106" spans="1:21" outlineLevel="1" x14ac:dyDescent="0.25">
      <c r="B106" s="8" t="s">
        <v>61</v>
      </c>
      <c r="C106" s="430">
        <f>'Raw Data'!C91</f>
        <v>2975</v>
      </c>
      <c r="D106" s="430">
        <f>'Raw Data'!D91</f>
        <v>4215</v>
      </c>
      <c r="E106" s="430">
        <f>'Raw Data'!E91</f>
        <v>5418</v>
      </c>
      <c r="F106" s="430">
        <f>'Raw Data'!F91</f>
        <v>6864</v>
      </c>
      <c r="G106" s="430">
        <f>'Raw Data'!G91</f>
        <v>9208</v>
      </c>
      <c r="H106" s="387">
        <f>+SUM(H36:H41)*'Control Panel'!$O$22</f>
        <v>11759.596815421703</v>
      </c>
      <c r="I106" s="387">
        <f>+SUM(I36:I41)*'Control Panel'!$O$22</f>
        <v>14697.671969823663</v>
      </c>
      <c r="J106" s="387">
        <f>+SUM(J36:J41)*'Control Panel'!$O$22</f>
        <v>17742.961207016084</v>
      </c>
      <c r="K106" s="387">
        <f>+SUM(K36:K41)*'Control Panel'!$O$22</f>
        <v>20776.492908953689</v>
      </c>
      <c r="L106" s="387">
        <f>+SUM(L36:L41)*'Control Panel'!$O$22</f>
        <v>23694.263939439348</v>
      </c>
      <c r="M106" s="387">
        <f>+SUM(M36:M41)*'Control Panel'!$O$22</f>
        <v>26416.25562819677</v>
      </c>
      <c r="N106" s="387">
        <f>+SUM(N36:N41)*'Control Panel'!$O$22</f>
        <v>28889.642256884974</v>
      </c>
      <c r="O106" s="387">
        <f>+SUM(O36:O41)*'Control Panel'!$O$22</f>
        <v>31087.293130161477</v>
      </c>
      <c r="P106" s="387">
        <f>+SUM(P36:P41)*'Control Panel'!$O$22</f>
        <v>33003.365900763049</v>
      </c>
      <c r="Q106" s="387">
        <f>+SUM(Q36:Q41)*'Control Panel'!$O$22</f>
        <v>34647.737016397798</v>
      </c>
      <c r="R106" s="387">
        <f>+SUM(R36:R41)*'Control Panel'!$O$22</f>
        <v>36040.550687999566</v>
      </c>
    </row>
    <row r="107" spans="1:21" outlineLevel="1" x14ac:dyDescent="0.25">
      <c r="B107" s="8" t="s">
        <v>429</v>
      </c>
      <c r="C107" s="430">
        <f>SUM('Raw Data'!C92:C94)</f>
        <v>-106</v>
      </c>
      <c r="D107" s="430">
        <f>SUM('Raw Data'!D92:D94)</f>
        <v>-119</v>
      </c>
      <c r="E107" s="430">
        <f>SUM('Raw Data'!E92:E94)</f>
        <v>934</v>
      </c>
      <c r="F107" s="430">
        <f>SUM('Raw Data'!F92:F94)</f>
        <v>711</v>
      </c>
      <c r="G107" s="430">
        <f>SUM('Raw Data'!G92:G94)</f>
        <v>-3207</v>
      </c>
      <c r="H107" s="387">
        <f>-H46</f>
        <v>-1690.9599999999991</v>
      </c>
      <c r="I107" s="387">
        <f t="shared" ref="I107:R107" si="66">-I46</f>
        <v>-1758.5984000000026</v>
      </c>
      <c r="J107" s="387">
        <f t="shared" si="66"/>
        <v>-1828.9423360000001</v>
      </c>
      <c r="K107" s="387">
        <f t="shared" si="66"/>
        <v>-1902.1000294400001</v>
      </c>
      <c r="L107" s="387">
        <f t="shared" si="66"/>
        <v>-1978.1840306176018</v>
      </c>
      <c r="M107" s="387">
        <f t="shared" si="66"/>
        <v>-2057.3113918423041</v>
      </c>
      <c r="N107" s="387">
        <f t="shared" si="66"/>
        <v>-2139.6038475159949</v>
      </c>
      <c r="O107" s="387">
        <f t="shared" si="66"/>
        <v>-2225.1880014166381</v>
      </c>
      <c r="P107" s="387">
        <f t="shared" si="66"/>
        <v>-2314.1955214733025</v>
      </c>
      <c r="Q107" s="387">
        <f t="shared" si="66"/>
        <v>-2406.7633423322332</v>
      </c>
      <c r="R107" s="387">
        <f t="shared" si="66"/>
        <v>-2503.0338760255254</v>
      </c>
    </row>
    <row r="108" spans="1:21" outlineLevel="1" x14ac:dyDescent="0.25">
      <c r="B108" s="8"/>
      <c r="C108" s="82"/>
      <c r="D108" s="82"/>
      <c r="E108" s="82"/>
      <c r="F108" s="82"/>
      <c r="G108" s="82"/>
      <c r="H108" s="83"/>
      <c r="I108" s="83"/>
      <c r="J108" s="83"/>
      <c r="K108" s="83"/>
      <c r="L108" s="83"/>
      <c r="M108" s="83"/>
      <c r="N108" s="83"/>
      <c r="O108" s="83"/>
      <c r="P108" s="83"/>
      <c r="Q108" s="83"/>
      <c r="R108" s="83"/>
    </row>
    <row r="109" spans="1:21" outlineLevel="1" x14ac:dyDescent="0.25">
      <c r="B109" s="7" t="s">
        <v>64</v>
      </c>
      <c r="C109" s="40"/>
      <c r="D109" s="40"/>
      <c r="E109" s="40"/>
      <c r="F109" s="40"/>
      <c r="G109" s="40"/>
      <c r="H109" s="40"/>
      <c r="I109" s="40"/>
      <c r="J109" s="40"/>
      <c r="K109" s="40"/>
      <c r="L109" s="40"/>
      <c r="M109" s="40"/>
      <c r="N109" s="40"/>
      <c r="O109" s="40"/>
      <c r="P109" s="40"/>
      <c r="Q109" s="40"/>
      <c r="R109" s="40"/>
    </row>
    <row r="110" spans="1:21" outlineLevel="1" x14ac:dyDescent="0.25">
      <c r="B110" s="8" t="s">
        <v>29</v>
      </c>
      <c r="C110" s="430">
        <f>'Raw Data'!C96</f>
        <v>-1426</v>
      </c>
      <c r="D110" s="430">
        <f>'Raw Data'!D96</f>
        <v>-3583</v>
      </c>
      <c r="E110" s="430">
        <f>'Raw Data'!E96</f>
        <v>-1314</v>
      </c>
      <c r="F110" s="430">
        <f>'Raw Data'!F96</f>
        <v>-3278</v>
      </c>
      <c r="G110" s="430">
        <f>'Raw Data'!G96</f>
        <v>-2849</v>
      </c>
      <c r="H110" s="387">
        <f>-(H66-G66)</f>
        <v>-14560.288429974418</v>
      </c>
      <c r="I110" s="387">
        <f t="shared" ref="I110:R110" si="67">-(I66-H66)</f>
        <v>-9582.8727587194662</v>
      </c>
      <c r="J110" s="387">
        <f t="shared" si="67"/>
        <v>-9932.5639202217426</v>
      </c>
      <c r="K110" s="387">
        <f t="shared" si="67"/>
        <v>-9709.0652452513532</v>
      </c>
      <c r="L110" s="387">
        <f t="shared" si="67"/>
        <v>-9701.7986150504585</v>
      </c>
      <c r="M110" s="387">
        <f t="shared" si="67"/>
        <v>-8878.0914826406806</v>
      </c>
      <c r="N110" s="387">
        <f t="shared" si="67"/>
        <v>-8067.2372557677736</v>
      </c>
      <c r="O110" s="387">
        <f t="shared" si="67"/>
        <v>-6890.8581182195776</v>
      </c>
      <c r="P110" s="387">
        <f t="shared" si="67"/>
        <v>-6526.5284944940504</v>
      </c>
      <c r="Q110" s="387">
        <f t="shared" si="67"/>
        <v>-5363.3070432634413</v>
      </c>
      <c r="R110" s="387">
        <f t="shared" si="67"/>
        <v>-4542.8232737911312</v>
      </c>
    </row>
    <row r="111" spans="1:21" outlineLevel="1" x14ac:dyDescent="0.25">
      <c r="B111" s="8" t="s">
        <v>30</v>
      </c>
      <c r="C111" s="430">
        <f>'Raw Data'!C97</f>
        <v>-3367</v>
      </c>
      <c r="D111" s="430">
        <f>'Raw Data'!D97</f>
        <v>-4780</v>
      </c>
      <c r="E111" s="430">
        <f>'Raw Data'!E97</f>
        <v>-4615</v>
      </c>
      <c r="F111" s="430">
        <f>'Raw Data'!F97</f>
        <v>-7681</v>
      </c>
      <c r="G111" s="430">
        <f>'Raw Data'!G97</f>
        <v>-8169</v>
      </c>
      <c r="H111" s="387">
        <f>-(H67-G67)</f>
        <v>-10050.130302130376</v>
      </c>
      <c r="I111" s="387">
        <f t="shared" ref="I111:R111" si="68">-(I67-H67)</f>
        <v>-8642.6669361010645</v>
      </c>
      <c r="J111" s="387">
        <f t="shared" si="68"/>
        <v>-8958.048796578405</v>
      </c>
      <c r="K111" s="387">
        <f t="shared" si="68"/>
        <v>-8756.4782804018541</v>
      </c>
      <c r="L111" s="387">
        <f t="shared" si="68"/>
        <v>-8749.9246021724612</v>
      </c>
      <c r="M111" s="387">
        <f t="shared" si="68"/>
        <v>-8007.0339703594655</v>
      </c>
      <c r="N111" s="387">
        <f t="shared" si="68"/>
        <v>-7275.7352050476038</v>
      </c>
      <c r="O111" s="387">
        <f t="shared" si="68"/>
        <v>-6214.7743290768994</v>
      </c>
      <c r="P111" s="387">
        <f t="shared" si="68"/>
        <v>-5886.1902320012159</v>
      </c>
      <c r="Q111" s="387">
        <f t="shared" si="68"/>
        <v>-4837.0961003102129</v>
      </c>
      <c r="R111" s="387">
        <f t="shared" si="68"/>
        <v>-4097.112577146574</v>
      </c>
    </row>
    <row r="112" spans="1:21" outlineLevel="1" x14ac:dyDescent="0.25">
      <c r="B112" s="8" t="s">
        <v>38</v>
      </c>
      <c r="C112" s="430">
        <f>'Raw Data'!C98</f>
        <v>5030</v>
      </c>
      <c r="D112" s="430">
        <f>'Raw Data'!D98</f>
        <v>7100</v>
      </c>
      <c r="E112" s="430">
        <f>'Raw Data'!E98</f>
        <v>3263</v>
      </c>
      <c r="F112" s="430">
        <f>'Raw Data'!F98</f>
        <v>8193</v>
      </c>
      <c r="G112" s="430">
        <f>'Raw Data'!G98</f>
        <v>17480</v>
      </c>
      <c r="H112" s="387">
        <f>+H77-G77</f>
        <v>16612.795895527481</v>
      </c>
      <c r="I112" s="387">
        <f t="shared" ref="I112:R112" si="69">+I77-H77</f>
        <v>22151.891499121542</v>
      </c>
      <c r="J112" s="387">
        <f t="shared" si="69"/>
        <v>22888.093477133341</v>
      </c>
      <c r="K112" s="387">
        <f t="shared" si="69"/>
        <v>22282.809257057757</v>
      </c>
      <c r="L112" s="387">
        <f t="shared" si="69"/>
        <v>22169.239335185994</v>
      </c>
      <c r="M112" s="387">
        <f t="shared" si="69"/>
        <v>20162.121909107664</v>
      </c>
      <c r="N112" s="387">
        <f t="shared" si="69"/>
        <v>18186.933746153663</v>
      </c>
      <c r="O112" s="387">
        <f t="shared" si="69"/>
        <v>15376.668447926408</v>
      </c>
      <c r="P112" s="387">
        <f t="shared" si="69"/>
        <v>14441.580890048615</v>
      </c>
      <c r="Q112" s="387">
        <f t="shared" si="69"/>
        <v>11682.302508157591</v>
      </c>
      <c r="R112" s="387">
        <f t="shared" si="69"/>
        <v>9723.5133830534469</v>
      </c>
    </row>
    <row r="113" spans="2:18" outlineLevel="1" x14ac:dyDescent="0.25">
      <c r="B113" s="8" t="s">
        <v>39</v>
      </c>
      <c r="C113" s="430">
        <f>'Raw Data'!C99</f>
        <v>1724</v>
      </c>
      <c r="D113" s="430">
        <f>'Raw Data'!D99</f>
        <v>283</v>
      </c>
      <c r="E113" s="430">
        <f>'Raw Data'!E99</f>
        <v>472</v>
      </c>
      <c r="F113" s="430">
        <f>'Raw Data'!F99</f>
        <v>-1383</v>
      </c>
      <c r="G113" s="430">
        <f>'Raw Data'!G99</f>
        <v>5754</v>
      </c>
      <c r="H113" s="387">
        <f>+H78-G78</f>
        <v>9524.9010786732979</v>
      </c>
      <c r="I113" s="387">
        <f t="shared" ref="I113:R113" si="70">+I78-H78</f>
        <v>13407.401533155906</v>
      </c>
      <c r="J113" s="387">
        <f t="shared" si="70"/>
        <v>13896.654592536317</v>
      </c>
      <c r="K113" s="387">
        <f t="shared" si="70"/>
        <v>13843.001099035522</v>
      </c>
      <c r="L113" s="387">
        <f t="shared" si="70"/>
        <v>13314.747149650124</v>
      </c>
      <c r="M113" s="387">
        <f t="shared" si="70"/>
        <v>12421.341736750881</v>
      </c>
      <c r="N113" s="387">
        <f t="shared" si="70"/>
        <v>11286.875227775279</v>
      </c>
      <c r="O113" s="387">
        <f t="shared" si="70"/>
        <v>10028.602448634862</v>
      </c>
      <c r="P113" s="387">
        <f t="shared" si="70"/>
        <v>8743.6691208230623</v>
      </c>
      <c r="Q113" s="387">
        <f t="shared" si="70"/>
        <v>7503.8052664538263</v>
      </c>
      <c r="R113" s="387">
        <f t="shared" si="70"/>
        <v>6355.8660601502634</v>
      </c>
    </row>
    <row r="114" spans="2:18" outlineLevel="1" x14ac:dyDescent="0.25">
      <c r="B114" s="8" t="s">
        <v>40</v>
      </c>
      <c r="C114" s="430">
        <f>'Raw Data'!C100</f>
        <v>1955</v>
      </c>
      <c r="D114" s="430">
        <f>'Raw Data'!D100</f>
        <v>738</v>
      </c>
      <c r="E114" s="430">
        <f>'Raw Data'!E100</f>
        <v>1151</v>
      </c>
      <c r="F114" s="430">
        <f>'Raw Data'!F100</f>
        <v>1711</v>
      </c>
      <c r="G114" s="430">
        <f>'Raw Data'!G100</f>
        <v>1265</v>
      </c>
      <c r="H114" s="387">
        <f>+H79-G79</f>
        <v>4955.5883810226205</v>
      </c>
      <c r="I114" s="387">
        <f t="shared" ref="I114:R114" si="71">+I79-H79</f>
        <v>3663.6226031287533</v>
      </c>
      <c r="J114" s="387">
        <f t="shared" si="71"/>
        <v>3797.312831064668</v>
      </c>
      <c r="K114" s="387">
        <f t="shared" si="71"/>
        <v>3782.651813339482</v>
      </c>
      <c r="L114" s="387">
        <f t="shared" si="71"/>
        <v>3638.3044463739643</v>
      </c>
      <c r="M114" s="387">
        <f t="shared" si="71"/>
        <v>3394.1780765952353</v>
      </c>
      <c r="N114" s="387">
        <f t="shared" si="71"/>
        <v>3084.180860915716</v>
      </c>
      <c r="O114" s="387">
        <f t="shared" si="71"/>
        <v>2740.3531189658315</v>
      </c>
      <c r="P114" s="387">
        <f t="shared" si="71"/>
        <v>2389.2402823999</v>
      </c>
      <c r="Q114" s="387">
        <f t="shared" si="71"/>
        <v>2050.4428479800918</v>
      </c>
      <c r="R114" s="387">
        <f t="shared" si="71"/>
        <v>1736.7641673773542</v>
      </c>
    </row>
    <row r="115" spans="2:18" outlineLevel="1" x14ac:dyDescent="0.25">
      <c r="B115" s="11" t="s">
        <v>65</v>
      </c>
      <c r="C115" s="391">
        <f t="shared" ref="C115:R115" si="72">SUM(C103:C114)</f>
        <v>17272</v>
      </c>
      <c r="D115" s="391">
        <f t="shared" si="72"/>
        <v>18365</v>
      </c>
      <c r="E115" s="391">
        <f t="shared" si="72"/>
        <v>30723</v>
      </c>
      <c r="F115" s="391">
        <f t="shared" si="72"/>
        <v>38514</v>
      </c>
      <c r="G115" s="391">
        <f t="shared" si="72"/>
        <v>66064</v>
      </c>
      <c r="H115" s="391">
        <f ca="1">SUM(H103:H114)</f>
        <v>50902.753802614709</v>
      </c>
      <c r="I115" s="391">
        <f t="shared" ca="1" si="72"/>
        <v>78558.697346828092</v>
      </c>
      <c r="J115" s="391">
        <f t="shared" ca="1" si="72"/>
        <v>94284.952490490978</v>
      </c>
      <c r="K115" s="391">
        <f t="shared" ca="1" si="72"/>
        <v>110433.14877437566</v>
      </c>
      <c r="L115" s="391">
        <f t="shared" ca="1" si="72"/>
        <v>127115.77751347488</v>
      </c>
      <c r="M115" s="391">
        <f t="shared" ca="1" si="72"/>
        <v>143849.39891157072</v>
      </c>
      <c r="N115" s="391">
        <f t="shared" ca="1" si="72"/>
        <v>156806.12340540334</v>
      </c>
      <c r="O115" s="391">
        <f t="shared" ca="1" si="72"/>
        <v>172910.60906293557</v>
      </c>
      <c r="P115" s="391">
        <f t="shared" ca="1" si="72"/>
        <v>190654.45284560998</v>
      </c>
      <c r="Q115" s="391">
        <f t="shared" ca="1" si="72"/>
        <v>208427.15745977551</v>
      </c>
      <c r="R115" s="391">
        <f t="shared" ca="1" si="72"/>
        <v>213400.64218201448</v>
      </c>
    </row>
    <row r="116" spans="2:18" outlineLevel="1" x14ac:dyDescent="0.25">
      <c r="B116" t="s">
        <v>25</v>
      </c>
      <c r="C116" s="23"/>
      <c r="D116" s="23"/>
      <c r="E116" s="23"/>
      <c r="F116" s="23"/>
      <c r="G116" s="23"/>
      <c r="H116" s="23"/>
      <c r="I116" s="23"/>
      <c r="J116" s="23"/>
      <c r="K116" s="23"/>
      <c r="L116" s="23"/>
      <c r="M116" s="23"/>
      <c r="N116" s="23"/>
      <c r="O116" s="23"/>
      <c r="P116" s="23"/>
      <c r="Q116" s="23"/>
      <c r="R116" s="23"/>
    </row>
    <row r="117" spans="2:18" outlineLevel="1" x14ac:dyDescent="0.25">
      <c r="B117" t="s">
        <v>618</v>
      </c>
      <c r="C117" s="23"/>
      <c r="D117" s="23"/>
      <c r="E117" s="23"/>
      <c r="F117" s="23"/>
      <c r="G117" s="23"/>
      <c r="H117" s="23"/>
      <c r="I117" s="23"/>
      <c r="J117" s="23"/>
      <c r="K117" s="23"/>
      <c r="L117" s="23"/>
      <c r="M117" s="23"/>
      <c r="N117" s="23"/>
      <c r="O117" s="23"/>
      <c r="P117" s="23"/>
      <c r="Q117" s="23"/>
      <c r="R117" s="23"/>
    </row>
    <row r="118" spans="2:18" outlineLevel="1" x14ac:dyDescent="0.25">
      <c r="B118" t="s">
        <v>66</v>
      </c>
      <c r="C118" s="430">
        <f>'Raw Data'!C103</f>
        <v>-7804</v>
      </c>
      <c r="D118" s="430">
        <f>'Raw Data'!D103</f>
        <v>-11955</v>
      </c>
      <c r="E118" s="430">
        <f>'Raw Data'!E103</f>
        <v>-13427</v>
      </c>
      <c r="F118" s="430">
        <f>'Raw Data'!F103</f>
        <v>-16861</v>
      </c>
      <c r="G118" s="430">
        <f>'Raw Data'!G103</f>
        <v>-40140</v>
      </c>
      <c r="H118" s="387">
        <f>-H150</f>
        <v>-29173.157643537197</v>
      </c>
      <c r="I118" s="387">
        <f t="shared" ref="I118:R118" si="73">-I150</f>
        <v>-36461.921960314037</v>
      </c>
      <c r="J118" s="387">
        <f t="shared" si="73"/>
        <v>-44016.662516578246</v>
      </c>
      <c r="K118" s="387">
        <f t="shared" si="73"/>
        <v>-51542.235029509669</v>
      </c>
      <c r="L118" s="387">
        <f t="shared" si="73"/>
        <v>-58780.628962240065</v>
      </c>
      <c r="M118" s="387">
        <f t="shared" si="73"/>
        <v>-65533.334338701614</v>
      </c>
      <c r="N118" s="387">
        <f t="shared" si="73"/>
        <v>-71669.301342052524</v>
      </c>
      <c r="O118" s="387">
        <f t="shared" si="73"/>
        <v>-77121.224258956834</v>
      </c>
      <c r="P118" s="387">
        <f t="shared" si="73"/>
        <v>-81874.609419232365</v>
      </c>
      <c r="Q118" s="387">
        <f t="shared" si="73"/>
        <v>-85953.958272245858</v>
      </c>
      <c r="R118" s="387">
        <f t="shared" si="73"/>
        <v>-89409.244490598678</v>
      </c>
    </row>
    <row r="119" spans="2:18" outlineLevel="1" x14ac:dyDescent="0.25">
      <c r="B119" t="s">
        <v>67</v>
      </c>
      <c r="C119" s="430">
        <f>'Raw Data'!C104</f>
        <v>1067</v>
      </c>
      <c r="D119" s="430">
        <f>'Raw Data'!D104</f>
        <v>1897</v>
      </c>
      <c r="E119" s="430">
        <f>'Raw Data'!E104</f>
        <v>2104</v>
      </c>
      <c r="F119" s="430">
        <f>'Raw Data'!F104</f>
        <v>4172</v>
      </c>
      <c r="G119" s="430">
        <f>'Raw Data'!G104</f>
        <v>5096</v>
      </c>
      <c r="H119" s="482"/>
      <c r="I119" s="482"/>
      <c r="J119" s="482"/>
      <c r="K119" s="482"/>
      <c r="L119" s="482"/>
      <c r="M119" s="482"/>
      <c r="N119" s="482"/>
      <c r="O119" s="482"/>
      <c r="P119" s="482"/>
      <c r="Q119" s="482"/>
      <c r="R119" s="482"/>
    </row>
    <row r="120" spans="2:18" outlineLevel="1" x14ac:dyDescent="0.25">
      <c r="B120" t="s">
        <v>68</v>
      </c>
      <c r="C120" s="430">
        <f>'Raw Data'!C105</f>
        <v>-116</v>
      </c>
      <c r="D120" s="430">
        <f>'Raw Data'!D105</f>
        <v>-13972</v>
      </c>
      <c r="E120" s="430">
        <f>'Raw Data'!E105</f>
        <v>-2186</v>
      </c>
      <c r="F120" s="430">
        <f>'Raw Data'!F105</f>
        <v>-2461</v>
      </c>
      <c r="G120" s="430">
        <f>'Raw Data'!G105</f>
        <v>-2325</v>
      </c>
      <c r="H120" s="482"/>
      <c r="I120" s="482"/>
      <c r="J120" s="482"/>
      <c r="K120" s="482"/>
      <c r="L120" s="482"/>
      <c r="M120" s="482"/>
      <c r="N120" s="482"/>
      <c r="O120" s="482"/>
      <c r="P120" s="482"/>
      <c r="Q120" s="482"/>
      <c r="R120" s="482"/>
    </row>
    <row r="121" spans="2:18" outlineLevel="1" x14ac:dyDescent="0.25">
      <c r="B121" t="s">
        <v>111</v>
      </c>
      <c r="C121" s="430">
        <f>SUM('Raw Data'!C106:C107)</f>
        <v>-3023</v>
      </c>
      <c r="D121" s="430">
        <f>SUM('Raw Data'!D106:D107)</f>
        <v>-3054</v>
      </c>
      <c r="E121" s="430">
        <f>SUM('Raw Data'!E106:E107)</f>
        <v>1140</v>
      </c>
      <c r="F121" s="430">
        <f>SUM('Raw Data'!F106:F107)</f>
        <v>-9131</v>
      </c>
      <c r="G121" s="430">
        <f>SUM('Raw Data'!G106:G107)</f>
        <v>-22242</v>
      </c>
      <c r="H121" s="482"/>
      <c r="I121" s="482"/>
      <c r="J121" s="482"/>
      <c r="K121" s="482"/>
      <c r="L121" s="482"/>
      <c r="M121" s="482"/>
      <c r="N121" s="482"/>
      <c r="O121" s="482"/>
      <c r="P121" s="482"/>
      <c r="Q121" s="482"/>
      <c r="R121" s="482"/>
    </row>
    <row r="122" spans="2:18" outlineLevel="1" x14ac:dyDescent="0.25">
      <c r="B122" s="11" t="s">
        <v>71</v>
      </c>
      <c r="C122" s="391">
        <f t="shared" ref="C122:R122" si="74">SUM(C118:C121)</f>
        <v>-9876</v>
      </c>
      <c r="D122" s="391">
        <f t="shared" si="74"/>
        <v>-27084</v>
      </c>
      <c r="E122" s="391">
        <f t="shared" si="74"/>
        <v>-12369</v>
      </c>
      <c r="F122" s="391">
        <f t="shared" si="74"/>
        <v>-24281</v>
      </c>
      <c r="G122" s="391">
        <f>SUM(G118:G121)</f>
        <v>-59611</v>
      </c>
      <c r="H122" s="391">
        <f>SUM(H118:H121)</f>
        <v>-29173.157643537197</v>
      </c>
      <c r="I122" s="391">
        <f t="shared" si="74"/>
        <v>-36461.921960314037</v>
      </c>
      <c r="J122" s="391">
        <f t="shared" si="74"/>
        <v>-44016.662516578246</v>
      </c>
      <c r="K122" s="391">
        <f t="shared" si="74"/>
        <v>-51542.235029509669</v>
      </c>
      <c r="L122" s="391">
        <f t="shared" si="74"/>
        <v>-58780.628962240065</v>
      </c>
      <c r="M122" s="391">
        <f t="shared" si="74"/>
        <v>-65533.334338701614</v>
      </c>
      <c r="N122" s="391">
        <f t="shared" si="74"/>
        <v>-71669.301342052524</v>
      </c>
      <c r="O122" s="391">
        <f t="shared" si="74"/>
        <v>-77121.224258956834</v>
      </c>
      <c r="P122" s="391">
        <f t="shared" si="74"/>
        <v>-81874.609419232365</v>
      </c>
      <c r="Q122" s="391">
        <f t="shared" si="74"/>
        <v>-85953.958272245858</v>
      </c>
      <c r="R122" s="391">
        <f t="shared" si="74"/>
        <v>-89409.244490598678</v>
      </c>
    </row>
    <row r="123" spans="2:18" outlineLevel="1" x14ac:dyDescent="0.25">
      <c r="B123" t="s">
        <v>25</v>
      </c>
      <c r="C123" s="23"/>
      <c r="D123" s="23"/>
      <c r="E123" s="23"/>
      <c r="F123" s="23"/>
      <c r="G123" s="23"/>
      <c r="H123" s="359"/>
      <c r="I123" s="359"/>
      <c r="J123" s="359"/>
      <c r="K123" s="359"/>
      <c r="L123" s="359"/>
      <c r="M123" s="359"/>
      <c r="N123" s="359"/>
      <c r="O123" s="359"/>
      <c r="P123" s="359"/>
      <c r="Q123" s="359"/>
      <c r="R123" s="359"/>
    </row>
    <row r="124" spans="2:18" outlineLevel="1" x14ac:dyDescent="0.25">
      <c r="B124" t="s">
        <v>617</v>
      </c>
      <c r="C124" s="23"/>
      <c r="D124" s="23"/>
      <c r="E124" s="23"/>
      <c r="F124" s="23"/>
      <c r="G124" s="23"/>
      <c r="H124" s="23"/>
      <c r="I124" s="23"/>
      <c r="J124" s="23"/>
      <c r="K124" s="23"/>
      <c r="L124" s="23"/>
      <c r="M124" s="23"/>
      <c r="N124" s="23"/>
      <c r="O124" s="23"/>
      <c r="P124" s="23"/>
      <c r="Q124" s="23"/>
      <c r="R124" s="23"/>
    </row>
    <row r="125" spans="2:18" outlineLevel="1" x14ac:dyDescent="0.25">
      <c r="B125" t="s">
        <v>112</v>
      </c>
      <c r="C125" s="430">
        <f>SUM('Raw Data'!C110:C111)</f>
        <v>267</v>
      </c>
      <c r="D125" s="430">
        <f>SUM('Raw Data'!D110:D111)</f>
        <v>14927</v>
      </c>
      <c r="E125" s="430">
        <f>SUM('Raw Data'!E110:E111)</f>
        <v>100</v>
      </c>
      <c r="F125" s="430">
        <f>SUM('Raw Data'!F110:F111)</f>
        <v>-411</v>
      </c>
      <c r="G125" s="430">
        <f>SUM('Raw Data'!G110:G111)</f>
        <v>9591</v>
      </c>
      <c r="H125" s="387">
        <f ca="1">H317</f>
        <v>-1155</v>
      </c>
      <c r="I125" s="387">
        <f t="shared" ref="I125:R125" ca="1" si="75">I317</f>
        <v>-1629</v>
      </c>
      <c r="J125" s="387">
        <f t="shared" ca="1" si="75"/>
        <v>-2283</v>
      </c>
      <c r="K125" s="387">
        <f t="shared" ca="1" si="75"/>
        <v>-3355</v>
      </c>
      <c r="L125" s="387">
        <f t="shared" ca="1" si="75"/>
        <v>-2251</v>
      </c>
      <c r="M125" s="387">
        <f t="shared" ca="1" si="75"/>
        <v>-3750</v>
      </c>
      <c r="N125" s="387">
        <f t="shared" ca="1" si="75"/>
        <v>-3750</v>
      </c>
      <c r="O125" s="387">
        <f t="shared" ca="1" si="75"/>
        <v>-3750</v>
      </c>
      <c r="P125" s="387">
        <f t="shared" ca="1" si="75"/>
        <v>-3750</v>
      </c>
      <c r="Q125" s="387">
        <f t="shared" ca="1" si="75"/>
        <v>-3750</v>
      </c>
      <c r="R125" s="387">
        <f t="shared" ca="1" si="75"/>
        <v>-2393</v>
      </c>
    </row>
    <row r="126" spans="2:18" outlineLevel="1" x14ac:dyDescent="0.25">
      <c r="B126" t="s">
        <v>297</v>
      </c>
      <c r="C126" s="430">
        <f>SUM('Raw Data'!C112:C113)</f>
        <v>-4007</v>
      </c>
      <c r="D126" s="430">
        <f>SUM('Raw Data'!D112:D113)</f>
        <v>-4799</v>
      </c>
      <c r="E126" s="430">
        <f>SUM('Raw Data'!E112:E113)</f>
        <v>-7449</v>
      </c>
      <c r="F126" s="430">
        <f>SUM('Raw Data'!F112:F113)</f>
        <v>-9628</v>
      </c>
      <c r="G126" s="430">
        <f>SUM('Raw Data'!G112:G113)</f>
        <v>-10642</v>
      </c>
      <c r="H126" s="387">
        <f>-H236</f>
        <v>-5127.0292900287686</v>
      </c>
      <c r="I126" s="387">
        <f>-I236</f>
        <v>-7894.3434337500603</v>
      </c>
      <c r="J126" s="387">
        <f t="shared" ref="J126:R126" si="76">-J236</f>
        <v>-11235.032190478578</v>
      </c>
      <c r="K126" s="387">
        <f t="shared" si="76"/>
        <v>-15146.881822305848</v>
      </c>
      <c r="L126" s="387">
        <f t="shared" si="76"/>
        <v>-19608.096622806159</v>
      </c>
      <c r="M126" s="387">
        <f t="shared" si="76"/>
        <v>-24581.814771786125</v>
      </c>
      <c r="N126" s="387">
        <f t="shared" si="76"/>
        <v>-27690.905711096209</v>
      </c>
      <c r="O126" s="387">
        <f t="shared" si="76"/>
        <v>-32961.517744730139</v>
      </c>
      <c r="P126" s="387">
        <f t="shared" si="76"/>
        <v>-39175.473358592324</v>
      </c>
      <c r="Q126" s="387">
        <f t="shared" si="76"/>
        <v>-45699.035245826613</v>
      </c>
      <c r="R126" s="387">
        <f t="shared" si="76"/>
        <v>-50270.713482528699</v>
      </c>
    </row>
    <row r="127" spans="2:18" outlineLevel="1" x14ac:dyDescent="0.25">
      <c r="B127" t="s">
        <v>227</v>
      </c>
      <c r="C127" s="430">
        <f>'Raw Data'!C114</f>
        <v>0</v>
      </c>
      <c r="D127" s="430">
        <f>'Raw Data'!D114</f>
        <v>-200</v>
      </c>
      <c r="E127" s="430">
        <f>'Raw Data'!E114</f>
        <v>-337</v>
      </c>
      <c r="F127" s="430">
        <f>'Raw Data'!F114</f>
        <v>-27</v>
      </c>
      <c r="G127" s="430">
        <f>'Raw Data'!G114</f>
        <v>-53</v>
      </c>
      <c r="H127" s="482"/>
      <c r="I127" s="482"/>
      <c r="J127" s="482"/>
      <c r="K127" s="482"/>
      <c r="L127" s="482"/>
      <c r="M127" s="482"/>
      <c r="N127" s="482"/>
      <c r="O127" s="482"/>
      <c r="P127" s="482"/>
      <c r="Q127" s="482"/>
      <c r="R127" s="482"/>
    </row>
    <row r="128" spans="2:18" outlineLevel="1" x14ac:dyDescent="0.25">
      <c r="B128" t="s">
        <v>113</v>
      </c>
      <c r="C128" s="430">
        <v>0</v>
      </c>
      <c r="D128" s="430">
        <v>0</v>
      </c>
      <c r="E128" s="430">
        <v>0</v>
      </c>
      <c r="F128" s="430">
        <v>0</v>
      </c>
      <c r="G128" s="430">
        <v>0</v>
      </c>
      <c r="H128" s="248">
        <f t="shared" ref="H128:R128" ca="1" si="77">H295</f>
        <v>0</v>
      </c>
      <c r="I128" s="248">
        <f t="shared" ca="1" si="77"/>
        <v>0</v>
      </c>
      <c r="J128" s="248">
        <f t="shared" ca="1" si="77"/>
        <v>0</v>
      </c>
      <c r="K128" s="248">
        <f t="shared" ca="1" si="77"/>
        <v>0</v>
      </c>
      <c r="L128" s="248">
        <f t="shared" ca="1" si="77"/>
        <v>0</v>
      </c>
      <c r="M128" s="248">
        <f t="shared" ca="1" si="77"/>
        <v>0</v>
      </c>
      <c r="N128" s="248">
        <f t="shared" ca="1" si="77"/>
        <v>0</v>
      </c>
      <c r="O128" s="248">
        <f t="shared" ca="1" si="77"/>
        <v>0</v>
      </c>
      <c r="P128" s="248">
        <f t="shared" ca="1" si="77"/>
        <v>0</v>
      </c>
      <c r="Q128" s="248">
        <f t="shared" ca="1" si="77"/>
        <v>0</v>
      </c>
      <c r="R128" s="248">
        <f t="shared" ca="1" si="77"/>
        <v>0</v>
      </c>
    </row>
    <row r="129" spans="2:18" outlineLevel="1" x14ac:dyDescent="0.25">
      <c r="B129" t="s">
        <v>114</v>
      </c>
      <c r="C129" s="430">
        <v>0</v>
      </c>
      <c r="D129" s="430">
        <v>0</v>
      </c>
      <c r="E129" s="430">
        <v>0</v>
      </c>
      <c r="F129" s="430">
        <v>0</v>
      </c>
      <c r="G129" s="430">
        <v>0</v>
      </c>
      <c r="H129" s="484"/>
      <c r="I129" s="484"/>
      <c r="J129" s="484"/>
      <c r="K129" s="484"/>
      <c r="L129" s="484"/>
      <c r="M129" s="484"/>
      <c r="N129" s="484"/>
      <c r="O129" s="484"/>
      <c r="P129" s="484"/>
      <c r="Q129" s="484"/>
      <c r="R129" s="484"/>
    </row>
    <row r="130" spans="2:18" outlineLevel="1" x14ac:dyDescent="0.25">
      <c r="B130" s="11" t="s">
        <v>74</v>
      </c>
      <c r="C130" s="391">
        <f t="shared" ref="C130:R130" si="78">SUM(C125:C129)</f>
        <v>-3740</v>
      </c>
      <c r="D130" s="391">
        <f t="shared" si="78"/>
        <v>9928</v>
      </c>
      <c r="E130" s="391">
        <f t="shared" si="78"/>
        <v>-7686</v>
      </c>
      <c r="F130" s="391">
        <f t="shared" si="78"/>
        <v>-10066</v>
      </c>
      <c r="G130" s="391">
        <f t="shared" si="78"/>
        <v>-1104</v>
      </c>
      <c r="H130" s="391">
        <f t="shared" ca="1" si="78"/>
        <v>-6282.0292900287686</v>
      </c>
      <c r="I130" s="391">
        <f t="shared" ca="1" si="78"/>
        <v>-9523.3434337500603</v>
      </c>
      <c r="J130" s="391">
        <f t="shared" ca="1" si="78"/>
        <v>-13518.032190478578</v>
      </c>
      <c r="K130" s="391">
        <f t="shared" ca="1" si="78"/>
        <v>-18501.881822305848</v>
      </c>
      <c r="L130" s="391">
        <f t="shared" ca="1" si="78"/>
        <v>-21859.096622806159</v>
      </c>
      <c r="M130" s="391">
        <f t="shared" ca="1" si="78"/>
        <v>-28331.814771786125</v>
      </c>
      <c r="N130" s="391">
        <f t="shared" ca="1" si="78"/>
        <v>-31440.905711096209</v>
      </c>
      <c r="O130" s="391">
        <f t="shared" ca="1" si="78"/>
        <v>-36711.517744730139</v>
      </c>
      <c r="P130" s="391">
        <f t="shared" ca="1" si="78"/>
        <v>-42925.473358592324</v>
      </c>
      <c r="Q130" s="391">
        <f t="shared" ca="1" si="78"/>
        <v>-49449.035245826613</v>
      </c>
      <c r="R130" s="391">
        <f t="shared" ca="1" si="78"/>
        <v>-52663.713482528699</v>
      </c>
    </row>
    <row r="131" spans="2:18" outlineLevel="1" x14ac:dyDescent="0.25">
      <c r="B131" t="s">
        <v>25</v>
      </c>
      <c r="C131" s="23"/>
      <c r="D131" s="5"/>
      <c r="E131" s="5"/>
      <c r="F131" s="5"/>
      <c r="G131" s="5"/>
      <c r="H131" s="23"/>
      <c r="I131" s="23"/>
      <c r="J131" s="23"/>
      <c r="K131" s="23"/>
      <c r="L131" s="23"/>
      <c r="M131" s="23"/>
      <c r="N131" s="23"/>
      <c r="O131" s="23"/>
      <c r="P131" s="23"/>
      <c r="Q131" s="23"/>
      <c r="R131" s="23"/>
    </row>
    <row r="132" spans="2:18" outlineLevel="1" x14ac:dyDescent="0.25">
      <c r="B132" t="s">
        <v>210</v>
      </c>
      <c r="C132" s="430">
        <f>'Raw Data'!C116</f>
        <v>-212</v>
      </c>
      <c r="D132" s="430">
        <f>'Raw Data'!D116</f>
        <v>713</v>
      </c>
      <c r="E132" s="430">
        <f>'Raw Data'!E116</f>
        <v>-351</v>
      </c>
      <c r="F132" s="430">
        <f>'Raw Data'!F116</f>
        <v>70</v>
      </c>
      <c r="G132" s="430">
        <f>'Raw Data'!G116</f>
        <v>618</v>
      </c>
      <c r="H132" s="482"/>
      <c r="I132" s="482"/>
      <c r="J132" s="482"/>
      <c r="K132" s="482"/>
      <c r="L132" s="482"/>
      <c r="M132" s="482"/>
      <c r="N132" s="482"/>
      <c r="O132" s="482"/>
      <c r="P132" s="482"/>
      <c r="Q132" s="482"/>
      <c r="R132" s="482"/>
    </row>
    <row r="133" spans="2:18" outlineLevel="1" x14ac:dyDescent="0.25">
      <c r="B133" s="13" t="s">
        <v>75</v>
      </c>
      <c r="C133" s="388">
        <f>+C115+C122+C130+C132</f>
        <v>3444</v>
      </c>
      <c r="D133" s="388">
        <f>+D115+D122+D130+D132</f>
        <v>1922</v>
      </c>
      <c r="E133" s="388">
        <f>+E115+E122+E130+E132</f>
        <v>10317</v>
      </c>
      <c r="F133" s="388">
        <f>+F115+F122+F130+F132</f>
        <v>4237</v>
      </c>
      <c r="G133" s="388">
        <f>+G115+G122+G130+G132</f>
        <v>5967</v>
      </c>
      <c r="H133" s="388">
        <f t="shared" ref="H133:R133" ca="1" si="79">+H115+H122+H130</f>
        <v>15447.566869048744</v>
      </c>
      <c r="I133" s="388">
        <f t="shared" ca="1" si="79"/>
        <v>32573.431952763996</v>
      </c>
      <c r="J133" s="388">
        <f t="shared" ca="1" si="79"/>
        <v>36750.25778343415</v>
      </c>
      <c r="K133" s="388">
        <f t="shared" ca="1" si="79"/>
        <v>40389.031922560142</v>
      </c>
      <c r="L133" s="388">
        <f t="shared" ca="1" si="79"/>
        <v>46476.051928428657</v>
      </c>
      <c r="M133" s="388">
        <f t="shared" ca="1" si="79"/>
        <v>49984.249801082973</v>
      </c>
      <c r="N133" s="388">
        <f t="shared" ca="1" si="79"/>
        <v>53695.916352254608</v>
      </c>
      <c r="O133" s="388">
        <f t="shared" ca="1" si="79"/>
        <v>59077.867059248601</v>
      </c>
      <c r="P133" s="388">
        <f t="shared" ca="1" si="79"/>
        <v>65854.37006778529</v>
      </c>
      <c r="Q133" s="388">
        <f t="shared" ca="1" si="79"/>
        <v>73024.163941703038</v>
      </c>
      <c r="R133" s="388">
        <f t="shared" ca="1" si="79"/>
        <v>71327.684208887105</v>
      </c>
    </row>
    <row r="134" spans="2:18" outlineLevel="1" x14ac:dyDescent="0.25">
      <c r="B134" t="s">
        <v>25</v>
      </c>
      <c r="C134" s="23"/>
      <c r="D134" s="23"/>
      <c r="E134" s="23"/>
      <c r="F134" s="23"/>
      <c r="G134" s="23"/>
      <c r="H134" s="23"/>
      <c r="I134" s="23"/>
      <c r="J134" s="23"/>
      <c r="K134" s="23"/>
      <c r="L134" s="23"/>
      <c r="M134" s="23"/>
      <c r="N134" s="23"/>
      <c r="O134" s="23"/>
      <c r="P134" s="23"/>
      <c r="Q134" s="23"/>
      <c r="R134" s="23"/>
    </row>
    <row r="135" spans="2:18" ht="14.4" outlineLevel="1" thickBot="1" x14ac:dyDescent="0.3">
      <c r="B135" s="14" t="s">
        <v>616</v>
      </c>
      <c r="C135" s="393">
        <f t="shared" ref="C135:R135" si="80">C100+C133</f>
        <v>19334</v>
      </c>
      <c r="D135" s="393">
        <f t="shared" si="80"/>
        <v>21856</v>
      </c>
      <c r="E135" s="393">
        <f t="shared" si="80"/>
        <v>32173</v>
      </c>
      <c r="F135" s="393">
        <f t="shared" si="80"/>
        <v>36410</v>
      </c>
      <c r="G135" s="393">
        <f t="shared" si="80"/>
        <v>42377</v>
      </c>
      <c r="H135" s="393">
        <f t="shared" ca="1" si="80"/>
        <v>57824.566869048744</v>
      </c>
      <c r="I135" s="393">
        <f ca="1">I100+I133</f>
        <v>90397.99882181274</v>
      </c>
      <c r="J135" s="393">
        <f t="shared" ca="1" si="80"/>
        <v>127148.25660524689</v>
      </c>
      <c r="K135" s="393">
        <f t="shared" ca="1" si="80"/>
        <v>167537.28852780705</v>
      </c>
      <c r="L135" s="393">
        <f t="shared" ca="1" si="80"/>
        <v>214013.34045623569</v>
      </c>
      <c r="M135" s="393">
        <f t="shared" ca="1" si="80"/>
        <v>263997.59025731869</v>
      </c>
      <c r="N135" s="393">
        <f t="shared" ca="1" si="80"/>
        <v>317693.50660957332</v>
      </c>
      <c r="O135" s="393">
        <f t="shared" ca="1" si="80"/>
        <v>376771.37366882194</v>
      </c>
      <c r="P135" s="393">
        <f t="shared" ca="1" si="80"/>
        <v>442625.74373660726</v>
      </c>
      <c r="Q135" s="393">
        <f t="shared" ca="1" si="80"/>
        <v>515649.90767831029</v>
      </c>
      <c r="R135" s="393">
        <f t="shared" ca="1" si="80"/>
        <v>586977.59188719746</v>
      </c>
    </row>
    <row r="136" spans="2:18" ht="14.4" outlineLevel="1" thickTop="1" x14ac:dyDescent="0.25">
      <c r="B136" s="1"/>
      <c r="C136" s="390"/>
      <c r="D136" s="390"/>
      <c r="E136" s="390"/>
      <c r="F136" s="390"/>
      <c r="G136" s="390"/>
      <c r="H136" s="390"/>
      <c r="I136" s="390"/>
      <c r="J136" s="390"/>
      <c r="K136" s="390"/>
      <c r="L136" s="390"/>
      <c r="M136" s="390"/>
      <c r="N136" s="390"/>
      <c r="O136" s="390"/>
      <c r="P136" s="390"/>
      <c r="Q136" s="390"/>
      <c r="R136" s="390"/>
    </row>
    <row r="137" spans="2:18" outlineLevel="1" x14ac:dyDescent="0.25">
      <c r="B137" s="1"/>
      <c r="C137" s="41"/>
      <c r="D137" s="41"/>
      <c r="E137" s="41"/>
      <c r="F137" s="41"/>
      <c r="G137" s="41"/>
      <c r="H137" s="41"/>
      <c r="I137" s="41"/>
      <c r="J137" s="41"/>
      <c r="K137" s="41"/>
      <c r="L137" s="41"/>
      <c r="M137" s="41"/>
      <c r="N137" s="41"/>
      <c r="O137" s="41"/>
      <c r="P137" s="41"/>
      <c r="Q137" s="41"/>
      <c r="R137" s="41"/>
    </row>
    <row r="138" spans="2:18" outlineLevel="1" x14ac:dyDescent="0.25">
      <c r="B138" s="219" t="s">
        <v>93</v>
      </c>
      <c r="C138" s="219"/>
      <c r="D138" s="219"/>
      <c r="E138" s="219"/>
      <c r="F138" s="219"/>
      <c r="G138" s="219"/>
      <c r="H138" s="219"/>
      <c r="I138" s="219"/>
      <c r="J138" s="219"/>
      <c r="K138" s="219"/>
      <c r="L138" s="219"/>
      <c r="M138" s="219"/>
      <c r="N138" s="219"/>
      <c r="O138" s="219"/>
      <c r="P138" s="219"/>
      <c r="Q138" s="219"/>
      <c r="R138" s="219"/>
    </row>
    <row r="139" spans="2:18" outlineLevel="1" x14ac:dyDescent="0.25">
      <c r="B139" s="76"/>
      <c r="C139" s="78">
        <f>C$5</f>
        <v>2016</v>
      </c>
      <c r="D139" s="78">
        <f t="shared" ref="D139:R139" si="81">D$5</f>
        <v>2017</v>
      </c>
      <c r="E139" s="78">
        <f t="shared" si="81"/>
        <v>2018</v>
      </c>
      <c r="F139" s="78">
        <f t="shared" si="81"/>
        <v>2019</v>
      </c>
      <c r="G139" s="78">
        <f t="shared" si="81"/>
        <v>2020</v>
      </c>
      <c r="H139" s="79">
        <f>H$5</f>
        <v>2021</v>
      </c>
      <c r="I139" s="79">
        <f t="shared" si="81"/>
        <v>2022</v>
      </c>
      <c r="J139" s="79">
        <f t="shared" si="81"/>
        <v>2023</v>
      </c>
      <c r="K139" s="79">
        <f t="shared" si="81"/>
        <v>2024</v>
      </c>
      <c r="L139" s="79">
        <f t="shared" si="81"/>
        <v>2025</v>
      </c>
      <c r="M139" s="79">
        <f t="shared" si="81"/>
        <v>2026</v>
      </c>
      <c r="N139" s="79">
        <f t="shared" si="81"/>
        <v>2027</v>
      </c>
      <c r="O139" s="79">
        <f t="shared" si="81"/>
        <v>2028</v>
      </c>
      <c r="P139" s="79">
        <f t="shared" si="81"/>
        <v>2029</v>
      </c>
      <c r="Q139" s="79">
        <f t="shared" si="81"/>
        <v>2030</v>
      </c>
      <c r="R139" s="79">
        <f t="shared" si="81"/>
        <v>2031</v>
      </c>
    </row>
    <row r="140" spans="2:18" ht="5.4" customHeight="1" outlineLevel="1" x14ac:dyDescent="0.25">
      <c r="C140" s="23"/>
      <c r="D140" s="23"/>
      <c r="E140" s="23"/>
      <c r="F140" s="23"/>
      <c r="G140" s="23"/>
      <c r="H140" s="23"/>
      <c r="I140" s="23"/>
      <c r="J140" s="23"/>
      <c r="K140" s="23"/>
      <c r="L140" s="23"/>
      <c r="M140" s="23"/>
      <c r="N140" s="23"/>
      <c r="O140" s="23"/>
      <c r="P140" s="23"/>
      <c r="Q140" s="23"/>
      <c r="R140" s="23"/>
    </row>
    <row r="141" spans="2:18" outlineLevel="1" x14ac:dyDescent="0.25">
      <c r="B141" s="350" t="s">
        <v>498</v>
      </c>
      <c r="C141" s="351"/>
      <c r="D141" s="351"/>
      <c r="E141" s="351"/>
      <c r="F141" s="351"/>
      <c r="G141" s="351"/>
      <c r="H141" s="351"/>
      <c r="I141" s="351"/>
      <c r="J141" s="351"/>
      <c r="K141" s="351"/>
      <c r="L141" s="351"/>
      <c r="M141" s="351"/>
      <c r="N141" s="351"/>
      <c r="O141" s="351"/>
      <c r="P141" s="351"/>
      <c r="Q141" s="351"/>
      <c r="R141" s="351"/>
    </row>
    <row r="142" spans="2:18" outlineLevel="1" x14ac:dyDescent="0.25">
      <c r="B142" t="s">
        <v>27</v>
      </c>
      <c r="C142" s="430">
        <f>'Raw Data'!C122</f>
        <v>19334</v>
      </c>
      <c r="D142" s="430">
        <f>'Raw Data'!D122</f>
        <v>20522</v>
      </c>
      <c r="E142" s="430">
        <f>'Raw Data'!E122</f>
        <v>31750</v>
      </c>
      <c r="F142" s="430">
        <f>'Raw Data'!F122</f>
        <v>36092</v>
      </c>
      <c r="G142" s="430">
        <f>'Raw Data'!G122</f>
        <v>42122</v>
      </c>
      <c r="H142" s="387">
        <f ca="1">H63</f>
        <v>57569.566869048744</v>
      </c>
      <c r="I142" s="387">
        <f t="shared" ref="I142:R142" ca="1" si="82">I63</f>
        <v>90142.99882181274</v>
      </c>
      <c r="J142" s="387">
        <f t="shared" ca="1" si="82"/>
        <v>126893.25660524689</v>
      </c>
      <c r="K142" s="387">
        <f t="shared" ca="1" si="82"/>
        <v>167282.28852780705</v>
      </c>
      <c r="L142" s="387">
        <f t="shared" ca="1" si="82"/>
        <v>213758.34045623569</v>
      </c>
      <c r="M142" s="387">
        <f t="shared" ca="1" si="82"/>
        <v>263742.59025731869</v>
      </c>
      <c r="N142" s="387">
        <f t="shared" ca="1" si="82"/>
        <v>317438.50660957332</v>
      </c>
      <c r="O142" s="387">
        <f t="shared" ca="1" si="82"/>
        <v>376516.37366882194</v>
      </c>
      <c r="P142" s="387">
        <f t="shared" ca="1" si="82"/>
        <v>442370.74373660726</v>
      </c>
      <c r="Q142" s="387">
        <f t="shared" ca="1" si="82"/>
        <v>515394.90767831029</v>
      </c>
      <c r="R142" s="387">
        <f t="shared" ca="1" si="82"/>
        <v>586722.59188718977</v>
      </c>
    </row>
    <row r="143" spans="2:18" outlineLevel="1" x14ac:dyDescent="0.25">
      <c r="B143" t="s">
        <v>531</v>
      </c>
      <c r="C143" s="430">
        <f>'Raw Data'!C123</f>
        <v>265</v>
      </c>
      <c r="D143" s="430">
        <f>'Raw Data'!D123</f>
        <v>1329</v>
      </c>
      <c r="E143" s="430">
        <f>'Raw Data'!E123</f>
        <v>418</v>
      </c>
      <c r="F143" s="430">
        <f>'Raw Data'!F123</f>
        <v>276</v>
      </c>
      <c r="G143" s="430">
        <f>'Raw Data'!G123</f>
        <v>233</v>
      </c>
      <c r="H143" s="387">
        <f>G143</f>
        <v>233</v>
      </c>
      <c r="I143" s="387">
        <f t="shared" ref="I143:R143" si="83">H143</f>
        <v>233</v>
      </c>
      <c r="J143" s="387">
        <f>I143</f>
        <v>233</v>
      </c>
      <c r="K143" s="387">
        <f t="shared" si="83"/>
        <v>233</v>
      </c>
      <c r="L143" s="387">
        <f t="shared" si="83"/>
        <v>233</v>
      </c>
      <c r="M143" s="387">
        <f t="shared" si="83"/>
        <v>233</v>
      </c>
      <c r="N143" s="387">
        <f t="shared" si="83"/>
        <v>233</v>
      </c>
      <c r="O143" s="387">
        <f t="shared" si="83"/>
        <v>233</v>
      </c>
      <c r="P143" s="387">
        <f t="shared" si="83"/>
        <v>233</v>
      </c>
      <c r="Q143" s="387">
        <f t="shared" si="83"/>
        <v>233</v>
      </c>
      <c r="R143" s="387">
        <f t="shared" si="83"/>
        <v>233</v>
      </c>
    </row>
    <row r="144" spans="2:18" outlineLevel="1" x14ac:dyDescent="0.25">
      <c r="B144" t="s">
        <v>532</v>
      </c>
      <c r="C144" s="430">
        <f>'Raw Data'!C124</f>
        <v>0</v>
      </c>
      <c r="D144" s="430">
        <f>'Raw Data'!D124</f>
        <v>5</v>
      </c>
      <c r="E144" s="430">
        <f>'Raw Data'!E124</f>
        <v>5</v>
      </c>
      <c r="F144" s="430">
        <f>'Raw Data'!F124</f>
        <v>42</v>
      </c>
      <c r="G144" s="430">
        <f>'Raw Data'!G124</f>
        <v>22</v>
      </c>
      <c r="H144" s="387">
        <f>G144</f>
        <v>22</v>
      </c>
      <c r="I144" s="387">
        <f t="shared" ref="I144:R144" si="84">H144</f>
        <v>22</v>
      </c>
      <c r="J144" s="387">
        <f>I144</f>
        <v>22</v>
      </c>
      <c r="K144" s="387">
        <f t="shared" si="84"/>
        <v>22</v>
      </c>
      <c r="L144" s="387">
        <f t="shared" si="84"/>
        <v>22</v>
      </c>
      <c r="M144" s="387">
        <f t="shared" si="84"/>
        <v>22</v>
      </c>
      <c r="N144" s="387">
        <f t="shared" si="84"/>
        <v>22</v>
      </c>
      <c r="O144" s="387">
        <f t="shared" si="84"/>
        <v>22</v>
      </c>
      <c r="P144" s="387">
        <f t="shared" si="84"/>
        <v>22</v>
      </c>
      <c r="Q144" s="387">
        <f t="shared" si="84"/>
        <v>22</v>
      </c>
      <c r="R144" s="387">
        <f t="shared" si="84"/>
        <v>22</v>
      </c>
    </row>
    <row r="145" spans="2:19" outlineLevel="1" x14ac:dyDescent="0.25">
      <c r="B145" s="11" t="s">
        <v>215</v>
      </c>
      <c r="C145" s="391">
        <f t="shared" ref="C145:R145" si="85">SUM(C142:C144)</f>
        <v>19599</v>
      </c>
      <c r="D145" s="391">
        <f>SUM(D142:D144)</f>
        <v>21856</v>
      </c>
      <c r="E145" s="391">
        <f t="shared" si="85"/>
        <v>32173</v>
      </c>
      <c r="F145" s="391">
        <f t="shared" si="85"/>
        <v>36410</v>
      </c>
      <c r="G145" s="391">
        <f t="shared" si="85"/>
        <v>42377</v>
      </c>
      <c r="H145" s="391">
        <f ca="1">SUM(H142:H144)</f>
        <v>57824.566869048744</v>
      </c>
      <c r="I145" s="391">
        <f t="shared" ca="1" si="85"/>
        <v>90397.99882181274</v>
      </c>
      <c r="J145" s="391">
        <f t="shared" ca="1" si="85"/>
        <v>127148.25660524689</v>
      </c>
      <c r="K145" s="391">
        <f t="shared" ca="1" si="85"/>
        <v>167537.28852780705</v>
      </c>
      <c r="L145" s="391">
        <f t="shared" ca="1" si="85"/>
        <v>214013.34045623569</v>
      </c>
      <c r="M145" s="391">
        <f t="shared" ca="1" si="85"/>
        <v>263997.59025731869</v>
      </c>
      <c r="N145" s="391">
        <f t="shared" ca="1" si="85"/>
        <v>317693.50660957332</v>
      </c>
      <c r="O145" s="391">
        <f t="shared" ca="1" si="85"/>
        <v>376771.37366882194</v>
      </c>
      <c r="P145" s="391">
        <f t="shared" ca="1" si="85"/>
        <v>442625.74373660726</v>
      </c>
      <c r="Q145" s="391">
        <f t="shared" ca="1" si="85"/>
        <v>515649.90767831029</v>
      </c>
      <c r="R145" s="391">
        <f t="shared" ca="1" si="85"/>
        <v>586977.59188718977</v>
      </c>
    </row>
    <row r="146" spans="2:19" outlineLevel="1" x14ac:dyDescent="0.25">
      <c r="B146" s="1"/>
      <c r="C146" s="23"/>
      <c r="D146" s="23"/>
      <c r="E146" s="23"/>
      <c r="F146" s="23"/>
      <c r="G146" s="23"/>
      <c r="H146" s="23"/>
      <c r="I146" s="23"/>
      <c r="J146" s="23"/>
      <c r="K146" s="23"/>
      <c r="L146" s="23"/>
      <c r="M146" s="23"/>
      <c r="N146" s="23"/>
      <c r="O146" s="23"/>
      <c r="P146" s="23"/>
      <c r="Q146" s="23"/>
      <c r="R146" s="23"/>
    </row>
    <row r="147" spans="2:19" outlineLevel="1" x14ac:dyDescent="0.25">
      <c r="B147" s="350" t="s">
        <v>94</v>
      </c>
      <c r="C147" s="351"/>
      <c r="D147" s="351"/>
      <c r="E147" s="351"/>
      <c r="F147" s="351"/>
      <c r="G147" s="351"/>
      <c r="H147" s="351"/>
      <c r="I147" s="351"/>
      <c r="J147" s="351"/>
      <c r="K147" s="351"/>
      <c r="L147" s="351"/>
      <c r="M147" s="351"/>
      <c r="N147" s="351"/>
      <c r="O147" s="351"/>
      <c r="P147" s="351"/>
      <c r="Q147" s="351"/>
      <c r="R147" s="351"/>
    </row>
    <row r="148" spans="2:19" outlineLevel="1" x14ac:dyDescent="0.25">
      <c r="B148" s="1"/>
      <c r="C148" s="23"/>
      <c r="D148" s="23"/>
      <c r="E148" s="23"/>
      <c r="F148" s="23"/>
      <c r="G148" s="23"/>
      <c r="H148" s="23"/>
      <c r="I148" s="23"/>
      <c r="J148" s="23"/>
      <c r="K148" s="23"/>
      <c r="L148" s="23"/>
      <c r="M148" s="23"/>
      <c r="N148" s="23"/>
      <c r="O148" s="23"/>
      <c r="P148" s="23"/>
      <c r="Q148" s="23"/>
      <c r="R148" s="23"/>
    </row>
    <row r="149" spans="2:19" outlineLevel="1" x14ac:dyDescent="0.25">
      <c r="B149" s="203" t="s">
        <v>542</v>
      </c>
      <c r="C149" s="430">
        <f>'Raw Data'!$C$82</f>
        <v>13437</v>
      </c>
      <c r="D149" s="430">
        <f>+C171</f>
        <v>18075</v>
      </c>
      <c r="E149" s="430">
        <f t="shared" ref="E149:R149" si="86">+D171</f>
        <v>31101</v>
      </c>
      <c r="F149" s="430">
        <f t="shared" si="86"/>
        <v>39097</v>
      </c>
      <c r="G149" s="430">
        <f t="shared" si="86"/>
        <v>45305</v>
      </c>
      <c r="H149" s="387">
        <f>+G171</f>
        <v>81514</v>
      </c>
      <c r="I149" s="387">
        <f>+H171</f>
        <v>99618.441879183476</v>
      </c>
      <c r="J149" s="387">
        <f>+I171</f>
        <v>121365.45587911237</v>
      </c>
      <c r="K149" s="387">
        <f>+J171</f>
        <v>146265.54418364767</v>
      </c>
      <c r="L149" s="387">
        <f>+K171</f>
        <v>173536.98149816343</v>
      </c>
      <c r="M149" s="387">
        <f t="shared" si="86"/>
        <v>202168.74984918558</v>
      </c>
      <c r="N149" s="387">
        <f t="shared" si="86"/>
        <v>230999.89014279912</v>
      </c>
      <c r="O149" s="387">
        <f t="shared" si="86"/>
        <v>258800.0673055583</v>
      </c>
      <c r="P149" s="387">
        <f t="shared" si="86"/>
        <v>284340.04495932616</v>
      </c>
      <c r="Q149" s="387">
        <f t="shared" si="86"/>
        <v>306445.94683144626</v>
      </c>
      <c r="R149" s="387">
        <f t="shared" si="86"/>
        <v>324035.80172935524</v>
      </c>
    </row>
    <row r="150" spans="2:19" outlineLevel="1" x14ac:dyDescent="0.25">
      <c r="B150" s="203" t="s">
        <v>96</v>
      </c>
      <c r="C150" s="387">
        <f>-C118-C119</f>
        <v>6737</v>
      </c>
      <c r="D150" s="387">
        <f>-D118-D119</f>
        <v>10058</v>
      </c>
      <c r="E150" s="387">
        <f>-E118-E119</f>
        <v>11323</v>
      </c>
      <c r="F150" s="387">
        <f>-F118-F119</f>
        <v>12689</v>
      </c>
      <c r="G150" s="387">
        <f>-G118-G119</f>
        <v>35044</v>
      </c>
      <c r="H150" s="387">
        <f>H32*'Control Panel'!$O$38</f>
        <v>29173.157643537197</v>
      </c>
      <c r="I150" s="387">
        <f>I32*'Control Panel'!$O$38</f>
        <v>36461.921960314037</v>
      </c>
      <c r="J150" s="387">
        <f>J32*'Control Panel'!$O$38</f>
        <v>44016.662516578246</v>
      </c>
      <c r="K150" s="387">
        <f>K32*'Control Panel'!$O$38</f>
        <v>51542.235029509669</v>
      </c>
      <c r="L150" s="387">
        <f>L32*'Control Panel'!$O$38</f>
        <v>58780.628962240065</v>
      </c>
      <c r="M150" s="387">
        <f>M32*'Control Panel'!$O$38</f>
        <v>65533.334338701614</v>
      </c>
      <c r="N150" s="387">
        <f>N32*'Control Panel'!$O$38</f>
        <v>71669.301342052524</v>
      </c>
      <c r="O150" s="387">
        <f>O32*'Control Panel'!$O$38</f>
        <v>77121.224258956834</v>
      </c>
      <c r="P150" s="387">
        <f>P32*'Control Panel'!$O$38</f>
        <v>81874.609419232365</v>
      </c>
      <c r="Q150" s="387">
        <f>Q32*'Control Panel'!$O$38</f>
        <v>85953.958272245858</v>
      </c>
      <c r="R150" s="387">
        <f>R32*'Control Panel'!$O$38</f>
        <v>89409.244490598678</v>
      </c>
    </row>
    <row r="151" spans="2:19" outlineLevel="1" x14ac:dyDescent="0.25">
      <c r="B151" s="203" t="s">
        <v>97</v>
      </c>
      <c r="C151" s="387">
        <f>C171-SUM(C149:C150,C169)</f>
        <v>2217</v>
      </c>
      <c r="D151" s="387">
        <f t="shared" ref="D151:F151" si="87">D171-SUM(D149:D150,D169)</f>
        <v>9046</v>
      </c>
      <c r="E151" s="387">
        <f>E171-SUM(E149:E150,E169)</f>
        <v>4714</v>
      </c>
      <c r="F151" s="387">
        <f t="shared" si="87"/>
        <v>5208</v>
      </c>
      <c r="G151" s="387">
        <f>G171-SUM(G149:G150,G169)</f>
        <v>17916</v>
      </c>
      <c r="H151" s="485"/>
      <c r="I151" s="485"/>
      <c r="J151" s="485"/>
      <c r="K151" s="485"/>
      <c r="L151" s="485"/>
      <c r="M151" s="485"/>
      <c r="N151" s="485"/>
      <c r="O151" s="485"/>
      <c r="P151" s="485"/>
      <c r="Q151" s="485"/>
      <c r="R151" s="485"/>
    </row>
    <row r="152" spans="2:19" outlineLevel="1" x14ac:dyDescent="0.25">
      <c r="B152" s="203"/>
      <c r="C152" s="23"/>
      <c r="D152" s="23"/>
      <c r="E152" s="23"/>
      <c r="F152" s="23"/>
      <c r="G152" s="23"/>
      <c r="H152" s="23"/>
      <c r="I152" s="23"/>
      <c r="J152" s="23"/>
      <c r="K152" s="23"/>
      <c r="L152" s="23"/>
      <c r="M152" s="23"/>
      <c r="N152" s="23"/>
      <c r="O152" s="23"/>
      <c r="P152" s="23"/>
      <c r="Q152" s="23"/>
      <c r="R152" s="23"/>
    </row>
    <row r="153" spans="2:19" outlineLevel="1" x14ac:dyDescent="0.25">
      <c r="B153" s="203" t="s">
        <v>543</v>
      </c>
      <c r="C153" s="482"/>
      <c r="D153" s="482"/>
      <c r="E153" s="482"/>
      <c r="F153" s="482"/>
      <c r="G153" s="482"/>
      <c r="H153" s="387">
        <f>-H149/'Control Panel'!$O$39</f>
        <v>-8151.4</v>
      </c>
      <c r="I153" s="387">
        <f>IF(I$139&gt;$H$139+'Control Panel'!$O$39-1,0,H153)</f>
        <v>-8151.4</v>
      </c>
      <c r="J153" s="387">
        <f>IF(J$139&gt;$H$139+'Control Panel'!$O$39-1,0,I153)</f>
        <v>-8151.4</v>
      </c>
      <c r="K153" s="387">
        <f>IF(K$139&gt;$H$139+'Control Panel'!$O$39-1,0,J153)</f>
        <v>-8151.4</v>
      </c>
      <c r="L153" s="387">
        <f>IF(L$139&gt;$H$139+'Control Panel'!$O$39-1,0,K153)</f>
        <v>-8151.4</v>
      </c>
      <c r="M153" s="387">
        <f>IF(M$139&gt;$H$139+'Control Panel'!$O$39-1,0,L153)</f>
        <v>-8151.4</v>
      </c>
      <c r="N153" s="387">
        <f>IF(N$139&gt;$H$139+'Control Panel'!$O$39-1,0,M153)</f>
        <v>-8151.4</v>
      </c>
      <c r="O153" s="387">
        <f>IF(O$139&gt;$H$139+'Control Panel'!$O$39-1,0,N153)</f>
        <v>-8151.4</v>
      </c>
      <c r="P153" s="387">
        <f>IF(P$139&gt;$H$139+'Control Panel'!$O$39-1,0,O153)</f>
        <v>-8151.4</v>
      </c>
      <c r="Q153" s="387">
        <f>IF(Q$139&gt;$H$139+'Control Panel'!$O$39-1,0,P153)</f>
        <v>-8151.4</v>
      </c>
      <c r="R153" s="387">
        <f>IF(R$139&gt;$H$139+'Control Panel'!$O$39-1,0,Q153)</f>
        <v>0</v>
      </c>
    </row>
    <row r="154" spans="2:19" outlineLevel="1" x14ac:dyDescent="0.25">
      <c r="B154" s="203"/>
      <c r="C154" s="23"/>
      <c r="D154" s="23"/>
      <c r="E154" s="23"/>
      <c r="F154" s="23"/>
      <c r="G154" s="23"/>
      <c r="H154" s="23"/>
      <c r="I154" s="23"/>
      <c r="J154" s="23"/>
      <c r="K154" s="23"/>
      <c r="L154" s="23"/>
      <c r="M154" s="23"/>
      <c r="N154" s="23"/>
      <c r="O154" s="23"/>
      <c r="P154" s="23"/>
      <c r="Q154" s="23"/>
      <c r="R154" s="23"/>
    </row>
    <row r="155" spans="2:19" outlineLevel="1" x14ac:dyDescent="0.25">
      <c r="B155" s="352" t="s">
        <v>544</v>
      </c>
      <c r="C155" s="23"/>
      <c r="D155" s="23"/>
      <c r="E155" s="23"/>
      <c r="F155" s="23"/>
      <c r="G155" s="23"/>
      <c r="H155" s="23"/>
      <c r="I155" s="23"/>
      <c r="J155" s="23"/>
      <c r="K155" s="23"/>
      <c r="L155" s="23"/>
      <c r="M155" s="23"/>
      <c r="N155" s="23"/>
      <c r="O155" s="23"/>
      <c r="P155" s="23"/>
      <c r="Q155" s="23"/>
      <c r="R155" s="23"/>
    </row>
    <row r="156" spans="2:19" outlineLevel="1" x14ac:dyDescent="0.25">
      <c r="B156" s="353">
        <f>$H$139</f>
        <v>2021</v>
      </c>
      <c r="C156" s="482"/>
      <c r="D156" s="482"/>
      <c r="E156" s="482"/>
      <c r="F156" s="482"/>
      <c r="G156" s="482"/>
      <c r="H156" s="387">
        <f>-H$150/'Control Panel'!$O$39</f>
        <v>-2917.3157643537197</v>
      </c>
      <c r="I156" s="387">
        <f>IF(I$5&gt;$B156+'Control Panel'!$O$39-1,0,'Financial Statements'!H156)</f>
        <v>-2917.3157643537197</v>
      </c>
      <c r="J156" s="387">
        <f>IF(J$5&gt;$B156+'Control Panel'!$O$39-1,0,'Financial Statements'!I156)</f>
        <v>-2917.3157643537197</v>
      </c>
      <c r="K156" s="387">
        <f>IF(K$5&gt;$B156+'Control Panel'!$O$39-1,0,'Financial Statements'!J156)</f>
        <v>-2917.3157643537197</v>
      </c>
      <c r="L156" s="387">
        <f>IF(L$5&gt;$B156+'Control Panel'!$O$39-1,0,'Financial Statements'!K156)</f>
        <v>-2917.3157643537197</v>
      </c>
      <c r="M156" s="387">
        <f>IF(M$5&gt;$B156+'Control Panel'!$O$39-1,0,'Financial Statements'!L156)</f>
        <v>-2917.3157643537197</v>
      </c>
      <c r="N156" s="387">
        <f>IF(N$5&gt;$B156+'Control Panel'!$O$39-1,0,'Financial Statements'!M156)</f>
        <v>-2917.3157643537197</v>
      </c>
      <c r="O156" s="387">
        <f>IF(O$5&gt;$B156+'Control Panel'!$O$39-1,0,'Financial Statements'!N156)</f>
        <v>-2917.3157643537197</v>
      </c>
      <c r="P156" s="387">
        <f>IF(P$5&gt;$B156+'Control Panel'!$O$39-1,0,'Financial Statements'!O156)</f>
        <v>-2917.3157643537197</v>
      </c>
      <c r="Q156" s="387">
        <f>IF(Q$5&gt;$B156+'Control Panel'!$O$39-1,0,'Financial Statements'!P156)</f>
        <v>-2917.3157643537197</v>
      </c>
      <c r="R156" s="387">
        <f>IF(R$5&gt;$B156+'Control Panel'!$O$39-1,0,'Financial Statements'!Q156)</f>
        <v>0</v>
      </c>
    </row>
    <row r="157" spans="2:19" outlineLevel="1" x14ac:dyDescent="0.25">
      <c r="B157" s="353">
        <f>+B156+1</f>
        <v>2022</v>
      </c>
      <c r="C157" s="482"/>
      <c r="D157" s="482"/>
      <c r="E157" s="482"/>
      <c r="F157" s="482"/>
      <c r="G157" s="482"/>
      <c r="H157" s="486"/>
      <c r="I157" s="387">
        <f>-I$150/'Control Panel'!$O$39</f>
        <v>-3646.1921960314039</v>
      </c>
      <c r="J157" s="387">
        <f>IF(J$5&gt;$B157+'Control Panel'!$O$39-1,0,'Financial Statements'!I157)</f>
        <v>-3646.1921960314039</v>
      </c>
      <c r="K157" s="387">
        <f>IF(K$5&gt;$B157+'Control Panel'!$O$39-1,0,'Financial Statements'!J157)</f>
        <v>-3646.1921960314039</v>
      </c>
      <c r="L157" s="387">
        <f>IF(L$5&gt;$B157+'Control Panel'!$O$39-1,0,'Financial Statements'!K157)</f>
        <v>-3646.1921960314039</v>
      </c>
      <c r="M157" s="387">
        <f>IF(M$5&gt;$B157+'Control Panel'!$O$39-1,0,'Financial Statements'!L157)</f>
        <v>-3646.1921960314039</v>
      </c>
      <c r="N157" s="387">
        <f>IF(N$5&gt;$B157+'Control Panel'!$O$39-1,0,'Financial Statements'!M157)</f>
        <v>-3646.1921960314039</v>
      </c>
      <c r="O157" s="387">
        <f>IF(O$5&gt;$B157+'Control Panel'!$O$39-1,0,'Financial Statements'!N157)</f>
        <v>-3646.1921960314039</v>
      </c>
      <c r="P157" s="387">
        <f>IF(P$5&gt;$B157+'Control Panel'!$O$39-1,0,'Financial Statements'!O157)</f>
        <v>-3646.1921960314039</v>
      </c>
      <c r="Q157" s="387">
        <f>IF(Q$5&gt;$B157+'Control Panel'!$O$39-1,0,'Financial Statements'!P157)</f>
        <v>-3646.1921960314039</v>
      </c>
      <c r="R157" s="387">
        <f>IF(R$5&gt;$B157+'Control Panel'!$O$39-1,0,'Financial Statements'!Q157)</f>
        <v>-3646.1921960314039</v>
      </c>
    </row>
    <row r="158" spans="2:19" outlineLevel="1" x14ac:dyDescent="0.25">
      <c r="B158" s="353">
        <f t="shared" ref="B158:B166" si="88">+B157+1</f>
        <v>2023</v>
      </c>
      <c r="C158" s="482"/>
      <c r="D158" s="482"/>
      <c r="E158" s="482"/>
      <c r="F158" s="482"/>
      <c r="G158" s="482"/>
      <c r="H158" s="486"/>
      <c r="I158" s="486"/>
      <c r="J158" s="387">
        <f>-J$150/'Control Panel'!$O$39</f>
        <v>-4401.6662516578244</v>
      </c>
      <c r="K158" s="387">
        <f>IF(K$5&gt;$B158+'Control Panel'!$O$39-1,0,'Financial Statements'!J158)</f>
        <v>-4401.6662516578244</v>
      </c>
      <c r="L158" s="387">
        <f>IF(L$5&gt;$B158+'Control Panel'!$O$39-1,0,'Financial Statements'!K158)</f>
        <v>-4401.6662516578244</v>
      </c>
      <c r="M158" s="387">
        <f>IF(M$5&gt;$B158+'Control Panel'!$O$39-1,0,'Financial Statements'!L158)</f>
        <v>-4401.6662516578244</v>
      </c>
      <c r="N158" s="387">
        <f>IF(N$5&gt;$B158+'Control Panel'!$O$39-1,0,'Financial Statements'!M158)</f>
        <v>-4401.6662516578244</v>
      </c>
      <c r="O158" s="387">
        <f>IF(O$5&gt;$B158+'Control Panel'!$O$39-1,0,'Financial Statements'!N158)</f>
        <v>-4401.6662516578244</v>
      </c>
      <c r="P158" s="387">
        <f>IF(P$5&gt;$B158+'Control Panel'!$O$39-1,0,'Financial Statements'!O158)</f>
        <v>-4401.6662516578244</v>
      </c>
      <c r="Q158" s="387">
        <f>IF(Q$5&gt;$B158+'Control Panel'!$O$39-1,0,'Financial Statements'!P158)</f>
        <v>-4401.6662516578244</v>
      </c>
      <c r="R158" s="387">
        <f>IF(R$5&gt;$B158+'Control Panel'!$O$39-1,0,'Financial Statements'!Q158)</f>
        <v>-4401.6662516578244</v>
      </c>
      <c r="S158" s="23"/>
    </row>
    <row r="159" spans="2:19" outlineLevel="1" x14ac:dyDescent="0.25">
      <c r="B159" s="353">
        <f t="shared" si="88"/>
        <v>2024</v>
      </c>
      <c r="C159" s="482"/>
      <c r="D159" s="482"/>
      <c r="E159" s="482"/>
      <c r="F159" s="482"/>
      <c r="G159" s="482"/>
      <c r="H159" s="486"/>
      <c r="I159" s="486"/>
      <c r="J159" s="486"/>
      <c r="K159" s="387">
        <f>-K$150/'Control Panel'!$O$39</f>
        <v>-5154.2235029509666</v>
      </c>
      <c r="L159" s="387">
        <f>IF(L$5&gt;$B159+'Control Panel'!$O$39-1,0,'Financial Statements'!K159)</f>
        <v>-5154.2235029509666</v>
      </c>
      <c r="M159" s="387">
        <f>IF(M$5&gt;$B159+'Control Panel'!$O$39-1,0,'Financial Statements'!L159)</f>
        <v>-5154.2235029509666</v>
      </c>
      <c r="N159" s="387">
        <f>IF(N$5&gt;$B159+'Control Panel'!$O$39-1,0,'Financial Statements'!M159)</f>
        <v>-5154.2235029509666</v>
      </c>
      <c r="O159" s="387">
        <f>IF(O$5&gt;$B159+'Control Panel'!$O$39-1,0,'Financial Statements'!N159)</f>
        <v>-5154.2235029509666</v>
      </c>
      <c r="P159" s="387">
        <f>IF(P$5&gt;$B159+'Control Panel'!$O$39-1,0,'Financial Statements'!O159)</f>
        <v>-5154.2235029509666</v>
      </c>
      <c r="Q159" s="387">
        <f>IF(Q$5&gt;$B159+'Control Panel'!$O$39-1,0,'Financial Statements'!P159)</f>
        <v>-5154.2235029509666</v>
      </c>
      <c r="R159" s="387">
        <f>IF(R$5&gt;$B159+'Control Panel'!$O$39-1,0,'Financial Statements'!Q159)</f>
        <v>-5154.2235029509666</v>
      </c>
    </row>
    <row r="160" spans="2:19" outlineLevel="1" x14ac:dyDescent="0.25">
      <c r="B160" s="353">
        <f t="shared" si="88"/>
        <v>2025</v>
      </c>
      <c r="C160" s="482"/>
      <c r="D160" s="482"/>
      <c r="E160" s="482"/>
      <c r="F160" s="482"/>
      <c r="G160" s="482"/>
      <c r="H160" s="486"/>
      <c r="I160" s="486"/>
      <c r="J160" s="486"/>
      <c r="K160" s="486"/>
      <c r="L160" s="387">
        <f>-L$150/'Control Panel'!$O$39</f>
        <v>-5878.0628962240062</v>
      </c>
      <c r="M160" s="387">
        <f>IF(M$5&gt;$B160+'Control Panel'!$O$39-1,0,'Financial Statements'!L160)</f>
        <v>-5878.0628962240062</v>
      </c>
      <c r="N160" s="387">
        <f>IF(N$5&gt;$B160+'Control Panel'!$O$39-1,0,'Financial Statements'!M160)</f>
        <v>-5878.0628962240062</v>
      </c>
      <c r="O160" s="387">
        <f>IF(O$5&gt;$B160+'Control Panel'!$O$39-1,0,'Financial Statements'!N160)</f>
        <v>-5878.0628962240062</v>
      </c>
      <c r="P160" s="387">
        <f>IF(P$5&gt;$B160+'Control Panel'!$O$39-1,0,'Financial Statements'!O160)</f>
        <v>-5878.0628962240062</v>
      </c>
      <c r="Q160" s="387">
        <f>IF(Q$5&gt;$B160+'Control Panel'!$O$39-1,0,'Financial Statements'!P160)</f>
        <v>-5878.0628962240062</v>
      </c>
      <c r="R160" s="387">
        <f>IF(R$5&gt;$B160+'Control Panel'!$O$39-1,0,'Financial Statements'!Q160)</f>
        <v>-5878.0628962240062</v>
      </c>
      <c r="S160" s="23"/>
    </row>
    <row r="161" spans="2:21" outlineLevel="1" x14ac:dyDescent="0.25">
      <c r="B161" s="353">
        <f t="shared" si="88"/>
        <v>2026</v>
      </c>
      <c r="C161" s="482"/>
      <c r="D161" s="482"/>
      <c r="E161" s="482"/>
      <c r="F161" s="482"/>
      <c r="G161" s="482"/>
      <c r="H161" s="486"/>
      <c r="I161" s="486"/>
      <c r="J161" s="486"/>
      <c r="K161" s="486"/>
      <c r="L161" s="486"/>
      <c r="M161" s="387">
        <f>-M$150/'Control Panel'!$O$39</f>
        <v>-6553.3334338701616</v>
      </c>
      <c r="N161" s="387">
        <f>IF(N$5&gt;$B161+'Control Panel'!$O$39-1,0,'Financial Statements'!M161)</f>
        <v>-6553.3334338701616</v>
      </c>
      <c r="O161" s="387">
        <f>IF(O$5&gt;$B161+'Control Panel'!$O$39-1,0,'Financial Statements'!N161)</f>
        <v>-6553.3334338701616</v>
      </c>
      <c r="P161" s="387">
        <f>IF(P$5&gt;$B161+'Control Panel'!$O$39-1,0,'Financial Statements'!O161)</f>
        <v>-6553.3334338701616</v>
      </c>
      <c r="Q161" s="387">
        <f>IF(Q$5&gt;$B161+'Control Panel'!$O$39-1,0,'Financial Statements'!P161)</f>
        <v>-6553.3334338701616</v>
      </c>
      <c r="R161" s="387">
        <f>IF(R$5&gt;$B161+'Control Panel'!$O$39-1,0,'Financial Statements'!Q161)</f>
        <v>-6553.3334338701616</v>
      </c>
      <c r="S161" s="23"/>
    </row>
    <row r="162" spans="2:21" outlineLevel="1" x14ac:dyDescent="0.25">
      <c r="B162" s="353">
        <f t="shared" si="88"/>
        <v>2027</v>
      </c>
      <c r="C162" s="482"/>
      <c r="D162" s="482"/>
      <c r="E162" s="482"/>
      <c r="F162" s="482"/>
      <c r="G162" s="482"/>
      <c r="H162" s="486"/>
      <c r="I162" s="486"/>
      <c r="J162" s="486"/>
      <c r="K162" s="486"/>
      <c r="L162" s="486"/>
      <c r="M162" s="486"/>
      <c r="N162" s="387">
        <f>-N$150/'Control Panel'!$O$39</f>
        <v>-7166.9301342052522</v>
      </c>
      <c r="O162" s="387">
        <f>IF(O$5&gt;$B162+'Control Panel'!$O$39-1,0,'Financial Statements'!N162)</f>
        <v>-7166.9301342052522</v>
      </c>
      <c r="P162" s="387">
        <f>IF(P$5&gt;$B162+'Control Panel'!$O$39-1,0,'Financial Statements'!O162)</f>
        <v>-7166.9301342052522</v>
      </c>
      <c r="Q162" s="387">
        <f>IF(Q$5&gt;$B162+'Control Panel'!$O$39-1,0,'Financial Statements'!P162)</f>
        <v>-7166.9301342052522</v>
      </c>
      <c r="R162" s="387">
        <f>IF(R$5&gt;$B162+'Control Panel'!$O$39-1,0,'Financial Statements'!Q162)</f>
        <v>-7166.9301342052522</v>
      </c>
    </row>
    <row r="163" spans="2:21" outlineLevel="1" x14ac:dyDescent="0.25">
      <c r="B163" s="353">
        <f t="shared" si="88"/>
        <v>2028</v>
      </c>
      <c r="C163" s="482"/>
      <c r="D163" s="482"/>
      <c r="E163" s="482"/>
      <c r="F163" s="482"/>
      <c r="G163" s="482"/>
      <c r="H163" s="486"/>
      <c r="I163" s="486"/>
      <c r="J163" s="486"/>
      <c r="K163" s="486"/>
      <c r="L163" s="486"/>
      <c r="M163" s="486"/>
      <c r="N163" s="486"/>
      <c r="O163" s="387">
        <f>-O$150/'Control Panel'!$O$39</f>
        <v>-7712.1224258956836</v>
      </c>
      <c r="P163" s="387">
        <f>IF(P$5&gt;$B163+'Control Panel'!$O$39-1,0,'Financial Statements'!O163)</f>
        <v>-7712.1224258956836</v>
      </c>
      <c r="Q163" s="387">
        <f>IF(Q$5&gt;$B163+'Control Panel'!$O$39-1,0,'Financial Statements'!P163)</f>
        <v>-7712.1224258956836</v>
      </c>
      <c r="R163" s="387">
        <f>IF(R$5&gt;$B163+'Control Panel'!$O$39-1,0,'Financial Statements'!Q163)</f>
        <v>-7712.1224258956836</v>
      </c>
    </row>
    <row r="164" spans="2:21" outlineLevel="1" x14ac:dyDescent="0.25">
      <c r="B164" s="353">
        <f t="shared" si="88"/>
        <v>2029</v>
      </c>
      <c r="C164" s="482"/>
      <c r="D164" s="482"/>
      <c r="E164" s="482"/>
      <c r="F164" s="482"/>
      <c r="G164" s="482"/>
      <c r="H164" s="486"/>
      <c r="I164" s="486"/>
      <c r="J164" s="486"/>
      <c r="K164" s="486"/>
      <c r="L164" s="486"/>
      <c r="M164" s="486"/>
      <c r="N164" s="486"/>
      <c r="O164" s="486"/>
      <c r="P164" s="387">
        <f>-P$150/'Control Panel'!$O$39</f>
        <v>-8187.4609419232365</v>
      </c>
      <c r="Q164" s="387">
        <f>IF(Q$5&gt;$B164+'Control Panel'!$O$39-1,0,'Financial Statements'!P164)</f>
        <v>-8187.4609419232365</v>
      </c>
      <c r="R164" s="387">
        <f>IF(R$5&gt;$B164+'Control Panel'!$O$39-1,0,'Financial Statements'!Q164)</f>
        <v>-8187.4609419232365</v>
      </c>
    </row>
    <row r="165" spans="2:21" outlineLevel="1" x14ac:dyDescent="0.25">
      <c r="B165" s="353">
        <f t="shared" si="88"/>
        <v>2030</v>
      </c>
      <c r="C165" s="482"/>
      <c r="D165" s="482"/>
      <c r="E165" s="482"/>
      <c r="F165" s="482"/>
      <c r="G165" s="482"/>
      <c r="H165" s="486"/>
      <c r="I165" s="486"/>
      <c r="J165" s="486"/>
      <c r="K165" s="486"/>
      <c r="L165" s="486"/>
      <c r="M165" s="486"/>
      <c r="N165" s="486"/>
      <c r="O165" s="486"/>
      <c r="P165" s="486"/>
      <c r="Q165" s="387">
        <f>-Q$150/'Control Panel'!$O$39</f>
        <v>-8595.3958272245854</v>
      </c>
      <c r="R165" s="387">
        <f>IF(R$5&gt;$B165+'Control Panel'!$O$39-1,0,'Financial Statements'!Q165)</f>
        <v>-8595.3958272245854</v>
      </c>
    </row>
    <row r="166" spans="2:21" outlineLevel="1" x14ac:dyDescent="0.25">
      <c r="B166" s="353">
        <f t="shared" si="88"/>
        <v>2031</v>
      </c>
      <c r="C166" s="482"/>
      <c r="D166" s="482"/>
      <c r="E166" s="482"/>
      <c r="F166" s="482"/>
      <c r="G166" s="482"/>
      <c r="H166" s="486"/>
      <c r="I166" s="486"/>
      <c r="J166" s="486"/>
      <c r="K166" s="486"/>
      <c r="L166" s="486"/>
      <c r="M166" s="486"/>
      <c r="N166" s="486"/>
      <c r="O166" s="486"/>
      <c r="P166" s="486"/>
      <c r="Q166" s="486"/>
      <c r="R166" s="387">
        <f>-R$150/'Control Panel'!$O$39</f>
        <v>-8940.9244490598685</v>
      </c>
      <c r="S166" s="387"/>
      <c r="T166" s="387"/>
      <c r="U166" s="387"/>
    </row>
    <row r="167" spans="2:21" outlineLevel="1" x14ac:dyDescent="0.25">
      <c r="B167" s="354" t="s">
        <v>544</v>
      </c>
      <c r="C167" s="388">
        <f t="shared" ref="C167:G167" si="89">SUM(C156:C166)</f>
        <v>0</v>
      </c>
      <c r="D167" s="388">
        <f t="shared" si="89"/>
        <v>0</v>
      </c>
      <c r="E167" s="388">
        <f t="shared" si="89"/>
        <v>0</v>
      </c>
      <c r="F167" s="388">
        <f t="shared" si="89"/>
        <v>0</v>
      </c>
      <c r="G167" s="388">
        <f t="shared" si="89"/>
        <v>0</v>
      </c>
      <c r="H167" s="388">
        <f>SUM(H156:H166)</f>
        <v>-2917.3157643537197</v>
      </c>
      <c r="I167" s="388">
        <f>SUM(I156:I166)</f>
        <v>-6563.5079603851236</v>
      </c>
      <c r="J167" s="388">
        <f t="shared" ref="J167:R167" si="90">SUM(J156:J166)</f>
        <v>-10965.174212042948</v>
      </c>
      <c r="K167" s="388">
        <f t="shared" si="90"/>
        <v>-16119.397714993915</v>
      </c>
      <c r="L167" s="388">
        <f t="shared" si="90"/>
        <v>-21997.460611217921</v>
      </c>
      <c r="M167" s="388">
        <f t="shared" si="90"/>
        <v>-28550.794045088081</v>
      </c>
      <c r="N167" s="388">
        <f t="shared" si="90"/>
        <v>-35717.724179293335</v>
      </c>
      <c r="O167" s="388">
        <f t="shared" si="90"/>
        <v>-43429.846605189021</v>
      </c>
      <c r="P167" s="388">
        <f t="shared" si="90"/>
        <v>-51617.307547112257</v>
      </c>
      <c r="Q167" s="388">
        <f t="shared" si="90"/>
        <v>-60212.703374336845</v>
      </c>
      <c r="R167" s="388">
        <f t="shared" si="90"/>
        <v>-66236.31205904299</v>
      </c>
    </row>
    <row r="168" spans="2:21" outlineLevel="1" x14ac:dyDescent="0.25">
      <c r="B168" s="203"/>
      <c r="C168" s="23"/>
      <c r="D168" s="23"/>
      <c r="E168" s="23"/>
      <c r="F168" s="23"/>
      <c r="G168" s="23"/>
      <c r="H168" s="23"/>
      <c r="I168" s="23"/>
      <c r="J168" s="23"/>
      <c r="K168" s="23"/>
      <c r="L168" s="23"/>
      <c r="M168" s="23"/>
      <c r="N168" s="23"/>
      <c r="O168" s="23"/>
      <c r="P168" s="23"/>
      <c r="Q168" s="23"/>
      <c r="R168" s="23"/>
    </row>
    <row r="169" spans="2:21" outlineLevel="1" x14ac:dyDescent="0.25">
      <c r="B169" s="203" t="s">
        <v>545</v>
      </c>
      <c r="C169" s="387">
        <f>-C105-C196</f>
        <v>-4316</v>
      </c>
      <c r="D169" s="387">
        <f>-D105-D196</f>
        <v>-6078</v>
      </c>
      <c r="E169" s="387">
        <f>-E105-E196</f>
        <v>-8041</v>
      </c>
      <c r="F169" s="387">
        <f>-F105-F196</f>
        <v>-11689</v>
      </c>
      <c r="G169" s="387">
        <f>-G105-G196</f>
        <v>-16751</v>
      </c>
      <c r="H169" s="387">
        <f>H167+H153</f>
        <v>-11068.715764353719</v>
      </c>
      <c r="I169" s="387">
        <f>I167+I153</f>
        <v>-14714.907960385124</v>
      </c>
      <c r="J169" s="387">
        <f>J167+J153</f>
        <v>-19116.57421204295</v>
      </c>
      <c r="K169" s="387">
        <f t="shared" ref="K169:R169" si="91">K167+K153</f>
        <v>-24270.797714993914</v>
      </c>
      <c r="L169" s="387">
        <f>L167+L153</f>
        <v>-30148.860611217919</v>
      </c>
      <c r="M169" s="387">
        <f t="shared" si="91"/>
        <v>-36702.194045088079</v>
      </c>
      <c r="N169" s="387">
        <f t="shared" si="91"/>
        <v>-43869.124179293336</v>
      </c>
      <c r="O169" s="387">
        <f t="shared" si="91"/>
        <v>-51581.246605189022</v>
      </c>
      <c r="P169" s="387">
        <f t="shared" si="91"/>
        <v>-59768.707547112259</v>
      </c>
      <c r="Q169" s="387">
        <f t="shared" si="91"/>
        <v>-68364.103374336846</v>
      </c>
      <c r="R169" s="387">
        <f t="shared" si="91"/>
        <v>-66236.31205904299</v>
      </c>
    </row>
    <row r="170" spans="2:21" outlineLevel="1" x14ac:dyDescent="0.25">
      <c r="B170" s="203"/>
      <c r="C170" s="23"/>
      <c r="D170" s="23"/>
      <c r="E170" s="23"/>
      <c r="F170" s="23"/>
      <c r="G170" s="23"/>
      <c r="H170" s="23"/>
      <c r="I170" s="23"/>
      <c r="J170" s="23"/>
      <c r="K170" s="23"/>
      <c r="L170" s="23"/>
      <c r="M170" s="23"/>
      <c r="N170" s="23"/>
      <c r="O170" s="23"/>
      <c r="P170" s="23"/>
      <c r="Q170" s="23"/>
      <c r="R170" s="23"/>
    </row>
    <row r="171" spans="2:21" outlineLevel="1" x14ac:dyDescent="0.25">
      <c r="B171" s="372" t="s">
        <v>546</v>
      </c>
      <c r="C171" s="391">
        <f>+C69-C198</f>
        <v>18075</v>
      </c>
      <c r="D171" s="391">
        <f>+D69-D198</f>
        <v>31101</v>
      </c>
      <c r="E171" s="391">
        <f>+E69-E198</f>
        <v>39097</v>
      </c>
      <c r="F171" s="391">
        <f>+F69-F198</f>
        <v>45305</v>
      </c>
      <c r="G171" s="391">
        <f>+G69-G198</f>
        <v>81514</v>
      </c>
      <c r="H171" s="391">
        <f>H149+H150+H169</f>
        <v>99618.441879183476</v>
      </c>
      <c r="I171" s="391">
        <f>I149+I150+I169</f>
        <v>121365.45587911237</v>
      </c>
      <c r="J171" s="391">
        <f t="shared" ref="J171:R171" si="92">J149+J150+J169</f>
        <v>146265.54418364767</v>
      </c>
      <c r="K171" s="391">
        <f t="shared" si="92"/>
        <v>173536.98149816343</v>
      </c>
      <c r="L171" s="391">
        <f>L149+L150+L169</f>
        <v>202168.74984918558</v>
      </c>
      <c r="M171" s="391">
        <f>M149+M150+M169</f>
        <v>230999.89014279912</v>
      </c>
      <c r="N171" s="391">
        <f t="shared" si="92"/>
        <v>258800.0673055583</v>
      </c>
      <c r="O171" s="391">
        <f t="shared" si="92"/>
        <v>284340.04495932616</v>
      </c>
      <c r="P171" s="391">
        <f t="shared" si="92"/>
        <v>306445.94683144626</v>
      </c>
      <c r="Q171" s="391">
        <f t="shared" si="92"/>
        <v>324035.80172935524</v>
      </c>
      <c r="R171" s="391">
        <f t="shared" si="92"/>
        <v>347208.73416091094</v>
      </c>
    </row>
    <row r="172" spans="2:21" outlineLevel="1" x14ac:dyDescent="0.25">
      <c r="B172" s="24"/>
      <c r="C172" s="25"/>
      <c r="D172" s="25"/>
      <c r="E172" s="25"/>
      <c r="F172" s="25"/>
      <c r="G172" s="25"/>
      <c r="H172" s="25"/>
      <c r="I172" s="25"/>
      <c r="J172" s="25"/>
      <c r="K172" s="25"/>
      <c r="L172" s="25"/>
      <c r="M172" s="25"/>
      <c r="N172" s="25"/>
      <c r="O172" s="25"/>
      <c r="P172" s="25"/>
      <c r="Q172" s="25"/>
      <c r="R172" s="25"/>
    </row>
    <row r="173" spans="2:21" outlineLevel="1" x14ac:dyDescent="0.25">
      <c r="B173" s="24"/>
      <c r="C173" s="25"/>
      <c r="D173" s="25"/>
      <c r="E173" s="25"/>
      <c r="F173" s="25"/>
      <c r="G173" s="25"/>
      <c r="H173" s="25"/>
      <c r="I173" s="25"/>
      <c r="J173" s="25"/>
      <c r="K173" s="25"/>
      <c r="L173" s="25"/>
      <c r="M173" s="25"/>
      <c r="N173" s="25"/>
      <c r="O173" s="25"/>
      <c r="P173" s="25"/>
      <c r="Q173" s="25"/>
      <c r="R173" s="25"/>
    </row>
    <row r="174" spans="2:21" outlineLevel="1" x14ac:dyDescent="0.25">
      <c r="B174" s="370" t="s">
        <v>562</v>
      </c>
      <c r="C174" s="351"/>
      <c r="D174" s="351"/>
      <c r="E174" s="351"/>
      <c r="F174" s="351"/>
      <c r="G174" s="351"/>
      <c r="H174" s="351"/>
      <c r="I174" s="351"/>
      <c r="J174" s="351"/>
      <c r="K174" s="351"/>
      <c r="L174" s="351"/>
      <c r="M174" s="351"/>
      <c r="N174" s="351"/>
      <c r="O174" s="351"/>
      <c r="P174" s="351"/>
      <c r="Q174" s="351"/>
      <c r="R174" s="351"/>
    </row>
    <row r="175" spans="2:21" ht="5.4" customHeight="1" outlineLevel="1" x14ac:dyDescent="0.25">
      <c r="B175" s="41"/>
      <c r="C175" s="23"/>
      <c r="D175" s="23"/>
      <c r="E175" s="23"/>
      <c r="F175" s="23"/>
      <c r="G175" s="23"/>
      <c r="H175" s="23"/>
      <c r="I175" s="23"/>
      <c r="J175" s="23"/>
      <c r="K175" s="23"/>
      <c r="L175" s="23"/>
      <c r="M175" s="23"/>
      <c r="N175" s="23"/>
      <c r="O175" s="23"/>
      <c r="P175" s="23"/>
      <c r="Q175" s="23"/>
      <c r="R175" s="23"/>
    </row>
    <row r="176" spans="2:21" outlineLevel="1" x14ac:dyDescent="0.25">
      <c r="B176" s="361" t="s">
        <v>549</v>
      </c>
      <c r="C176" s="362"/>
      <c r="D176" s="362"/>
      <c r="E176" s="362"/>
      <c r="F176" s="362"/>
      <c r="G176" s="362"/>
      <c r="H176" s="362"/>
      <c r="I176" s="362"/>
      <c r="J176" s="362"/>
      <c r="K176" s="362"/>
      <c r="L176" s="362"/>
      <c r="M176" s="362"/>
      <c r="N176" s="362"/>
      <c r="O176" s="362"/>
      <c r="P176" s="362"/>
      <c r="Q176" s="362"/>
      <c r="R176" s="363"/>
    </row>
    <row r="177" spans="2:21" outlineLevel="1" x14ac:dyDescent="0.25">
      <c r="B177" s="358" t="s">
        <v>418</v>
      </c>
      <c r="C177" s="430">
        <f>'Raw Data'!C141</f>
        <v>8401</v>
      </c>
      <c r="D177" s="430">
        <f>'Raw Data'!D141</f>
        <v>11039</v>
      </c>
      <c r="E177" s="430">
        <f>'Raw Data'!E141</f>
        <v>17765</v>
      </c>
      <c r="F177" s="430">
        <f>'Raw Data'!F141</f>
        <v>22700</v>
      </c>
      <c r="G177" s="430">
        <f>'Raw Data'!G141</f>
        <v>27400</v>
      </c>
      <c r="H177" s="387">
        <f>G198</f>
        <v>31600</v>
      </c>
      <c r="I177" s="387">
        <f>H198</f>
        <v>46430.360384452462</v>
      </c>
      <c r="J177" s="387">
        <f>I198</f>
        <v>64025.287420173387</v>
      </c>
      <c r="K177" s="387">
        <f t="shared" ref="K177" si="93">J198</f>
        <v>84013.271829238074</v>
      </c>
      <c r="L177" s="387">
        <f t="shared" ref="L177" si="94">K198</f>
        <v>105801.01535746298</v>
      </c>
      <c r="M177" s="387">
        <f t="shared" ref="M177" si="95">L198</f>
        <v>128621.19577191799</v>
      </c>
      <c r="N177" s="387">
        <f t="shared" ref="N177" si="96">M198</f>
        <v>151592.69152218962</v>
      </c>
      <c r="O177" s="387">
        <f t="shared" ref="O177" si="97">N198</f>
        <v>177859.14681709747</v>
      </c>
      <c r="P177" s="387">
        <f t="shared" ref="P177" si="98">O198</f>
        <v>203429.55586031955</v>
      </c>
      <c r="Q177" s="387">
        <f t="shared" ref="Q177" si="99">P198</f>
        <v>226393.63864034909</v>
      </c>
      <c r="R177" s="387">
        <f t="shared" ref="R177" si="100">Q198</f>
        <v>245930.2222668654</v>
      </c>
    </row>
    <row r="178" spans="2:21" outlineLevel="1" x14ac:dyDescent="0.25">
      <c r="B178" s="371" t="s">
        <v>101</v>
      </c>
      <c r="C178" s="387">
        <f>C198-SUM(C177,C196)</f>
        <v>6438</v>
      </c>
      <c r="D178" s="387">
        <f t="shared" ref="D178:F178" si="101">D198-SUM(D177,D196)</f>
        <v>12126</v>
      </c>
      <c r="E178" s="387">
        <f t="shared" si="101"/>
        <v>12235</v>
      </c>
      <c r="F178" s="387">
        <f t="shared" si="101"/>
        <v>14800</v>
      </c>
      <c r="G178" s="387">
        <f>G198-SUM(G177,G196)</f>
        <v>12700</v>
      </c>
      <c r="H178" s="387">
        <f>H32*'Control Panel'!$O$44</f>
        <v>22141.260642223169</v>
      </c>
      <c r="I178" s="387">
        <f>I32*'Control Panel'!$O$44</f>
        <v>27673.141437212918</v>
      </c>
      <c r="J178" s="387">
        <f>J32*'Control Panel'!$O$44</f>
        <v>33406.887567285194</v>
      </c>
      <c r="K178" s="387">
        <f>K32*'Control Panel'!$O$44</f>
        <v>39118.496318272693</v>
      </c>
      <c r="L178" s="387">
        <f>L32*'Control Panel'!$O$44</f>
        <v>44612.148005003117</v>
      </c>
      <c r="M178" s="387">
        <f>M32*'Control Panel'!$O$44</f>
        <v>49737.181489799681</v>
      </c>
      <c r="N178" s="387">
        <f>N32*'Control Panel'!$O$44</f>
        <v>54394.135199552467</v>
      </c>
      <c r="O178" s="387">
        <f>O32*'Control Panel'!$O$44</f>
        <v>58531.926787952216</v>
      </c>
      <c r="P178" s="387">
        <f>P32*'Control Panel'!$O$44</f>
        <v>62139.556138621825</v>
      </c>
      <c r="Q178" s="387">
        <f>Q32*'Control Panel'!$O$44</f>
        <v>65235.6188723429</v>
      </c>
      <c r="R178" s="387">
        <f>R32*'Control Panel'!$O$44</f>
        <v>67858.043009243964</v>
      </c>
    </row>
    <row r="179" spans="2:21" outlineLevel="1" x14ac:dyDescent="0.25">
      <c r="B179" s="203"/>
      <c r="C179" s="23"/>
      <c r="D179" s="23"/>
      <c r="E179" s="23"/>
      <c r="F179" s="23"/>
      <c r="G179" s="23"/>
      <c r="H179" s="23"/>
      <c r="I179" s="23"/>
      <c r="J179" s="23"/>
      <c r="K179" s="23"/>
      <c r="L179" s="23"/>
      <c r="M179" s="23"/>
      <c r="N179" s="23"/>
      <c r="O179" s="23"/>
      <c r="P179" s="23"/>
      <c r="Q179" s="23"/>
      <c r="R179" s="23"/>
    </row>
    <row r="180" spans="2:21" outlineLevel="1" x14ac:dyDescent="0.25">
      <c r="B180" s="358" t="s">
        <v>721</v>
      </c>
      <c r="C180" s="482"/>
      <c r="D180" s="482"/>
      <c r="E180" s="482"/>
      <c r="F180" s="482"/>
      <c r="G180" s="482"/>
      <c r="H180" s="387">
        <f>-H177/'Control Panel'!$O$46</f>
        <v>-5096.7741935483873</v>
      </c>
      <c r="I180" s="387">
        <f>IF($H$177+SUM($H$180:H180)&gt;-H180,H180,-$H$177-SUM($H$180:H180))</f>
        <v>-5096.7741935483873</v>
      </c>
      <c r="J180" s="387">
        <f>IF($H$177+SUM($H$180:I180)&gt;-I180,I180,-$H$177-SUM($H$180:I180))</f>
        <v>-5096.7741935483873</v>
      </c>
      <c r="K180" s="387">
        <f>IF($H$177+SUM($H$180:J180)&gt;-J180,J180,-$H$177-SUM($H$180:J180))</f>
        <v>-5096.7741935483873</v>
      </c>
      <c r="L180" s="387">
        <f>IF($H$177+SUM($H$180:K180)&gt;-K180,K180,-$H$177-SUM($H$180:K180))</f>
        <v>-5096.7741935483873</v>
      </c>
      <c r="M180" s="387">
        <f>IF($H$177+SUM($H$180:L180)&gt;-L180,L180,-$H$177-SUM($H$180:L180))</f>
        <v>-5096.7741935483873</v>
      </c>
      <c r="N180" s="387">
        <f>IF($H$177+SUM($H$180:M180)&gt;-M180,M180,-$H$177-SUM($H$180:M180))</f>
        <v>-1019.354838709678</v>
      </c>
      <c r="O180" s="387">
        <f>IF($H$177+SUM($H$180:N180)&gt;-N180,N180,-$H$177-SUM($H$180:N180))</f>
        <v>0</v>
      </c>
      <c r="P180" s="387">
        <f>IF($H$177+SUM($H$180:O180)&gt;-O180,O180,-$H$177-SUM($H$180:O180))</f>
        <v>0</v>
      </c>
      <c r="Q180" s="387">
        <f>IF($H$177+SUM($H$180:P180)&gt;-P180,P180,-$H$177-SUM($H$180:P180))</f>
        <v>0</v>
      </c>
      <c r="R180" s="387">
        <f>IF($H$177+SUM($H$180:Q180)&gt;-Q180,Q180,-$H$177-SUM($H$180:Q180))</f>
        <v>0</v>
      </c>
      <c r="S180" s="359"/>
      <c r="T180" s="359"/>
      <c r="U180" s="359"/>
    </row>
    <row r="181" spans="2:21" outlineLevel="1" x14ac:dyDescent="0.25">
      <c r="B181" s="203"/>
      <c r="C181" s="23"/>
      <c r="D181" s="23"/>
      <c r="E181" s="23"/>
      <c r="F181" s="23"/>
      <c r="G181" s="23"/>
      <c r="H181" s="23"/>
      <c r="I181" s="23"/>
      <c r="J181" s="23"/>
      <c r="K181" s="23"/>
      <c r="L181" s="23"/>
      <c r="M181" s="23"/>
      <c r="N181" s="23"/>
      <c r="O181" s="23"/>
      <c r="P181" s="23"/>
      <c r="Q181" s="23"/>
      <c r="R181" s="23"/>
    </row>
    <row r="182" spans="2:21" outlineLevel="1" x14ac:dyDescent="0.25">
      <c r="B182" s="352" t="s">
        <v>548</v>
      </c>
      <c r="C182" s="23"/>
      <c r="D182" s="23"/>
      <c r="E182" s="23"/>
      <c r="F182" s="23"/>
      <c r="G182" s="23"/>
      <c r="H182" s="23"/>
      <c r="I182" s="23"/>
      <c r="J182" s="23"/>
      <c r="K182" s="23"/>
      <c r="L182" s="23"/>
      <c r="M182" s="23"/>
      <c r="N182" s="23"/>
      <c r="O182" s="23"/>
      <c r="P182" s="23"/>
      <c r="Q182" s="23"/>
      <c r="R182" s="23"/>
    </row>
    <row r="183" spans="2:21" outlineLevel="1" x14ac:dyDescent="0.25">
      <c r="B183" s="353">
        <f>$H$139</f>
        <v>2021</v>
      </c>
      <c r="C183" s="482"/>
      <c r="D183" s="482"/>
      <c r="E183" s="482"/>
      <c r="F183" s="482"/>
      <c r="G183" s="482"/>
      <c r="H183" s="387">
        <f>-H$178/'Control Panel'!$O$47</f>
        <v>-2214.1260642223169</v>
      </c>
      <c r="I183" s="387">
        <f>IF(I$139&gt;$B183+'Control Panel'!$O$47-1,0,'Financial Statements'!H183)</f>
        <v>-2214.1260642223169</v>
      </c>
      <c r="J183" s="387">
        <f>IF(J$139&gt;$B183+'Control Panel'!$O$47-1,0,'Financial Statements'!I183)</f>
        <v>-2214.1260642223169</v>
      </c>
      <c r="K183" s="387">
        <f>IF(K$139&gt;$B183+'Control Panel'!$O$47-1,0,'Financial Statements'!J183)</f>
        <v>-2214.1260642223169</v>
      </c>
      <c r="L183" s="387">
        <f>IF(L$139&gt;$B183+'Control Panel'!$O$47-1,0,'Financial Statements'!K183)</f>
        <v>-2214.1260642223169</v>
      </c>
      <c r="M183" s="387">
        <f>IF(M$139&gt;$B183+'Control Panel'!$O$47-1,0,'Financial Statements'!L183)</f>
        <v>-2214.1260642223169</v>
      </c>
      <c r="N183" s="387">
        <f>IF(N$139&gt;$B183+'Control Panel'!$O$47-1,0,'Financial Statements'!M183)</f>
        <v>-2214.1260642223169</v>
      </c>
      <c r="O183" s="387">
        <f>IF(O$139&gt;$B183+'Control Panel'!$O$47-1,0,'Financial Statements'!N183)</f>
        <v>-2214.1260642223169</v>
      </c>
      <c r="P183" s="387">
        <f>IF(P$139&gt;$B183+'Control Panel'!$O$47-1,0,'Financial Statements'!O183)</f>
        <v>-2214.1260642223169</v>
      </c>
      <c r="Q183" s="387">
        <f>IF(Q$139&gt;$B183+'Control Panel'!$O$47-1,0,'Financial Statements'!P183)</f>
        <v>-2214.1260642223169</v>
      </c>
      <c r="R183" s="387">
        <f>IF(R$139&gt;$B183+'Control Panel'!$O$47-1,0,'Financial Statements'!Q183)</f>
        <v>0</v>
      </c>
    </row>
    <row r="184" spans="2:21" outlineLevel="1" x14ac:dyDescent="0.25">
      <c r="B184" s="353">
        <f>+B183+1</f>
        <v>2022</v>
      </c>
      <c r="C184" s="482"/>
      <c r="D184" s="482"/>
      <c r="E184" s="482"/>
      <c r="F184" s="482"/>
      <c r="G184" s="482"/>
      <c r="H184" s="486"/>
      <c r="I184" s="387">
        <f>-I$178/'Control Panel'!$O$47</f>
        <v>-2767.3141437212917</v>
      </c>
      <c r="J184" s="387">
        <f>IF(J$139&gt;$B184+'Control Panel'!$O$47-1,0,'Financial Statements'!I184)</f>
        <v>-2767.3141437212917</v>
      </c>
      <c r="K184" s="387">
        <f>IF(K$139&gt;$B184+'Control Panel'!$O$47-1,0,'Financial Statements'!J184)</f>
        <v>-2767.3141437212917</v>
      </c>
      <c r="L184" s="387">
        <f>IF(L$139&gt;$B184+'Control Panel'!$O$47-1,0,'Financial Statements'!K184)</f>
        <v>-2767.3141437212917</v>
      </c>
      <c r="M184" s="387">
        <f>IF(M$139&gt;$B184+'Control Panel'!$O$47-1,0,'Financial Statements'!L184)</f>
        <v>-2767.3141437212917</v>
      </c>
      <c r="N184" s="387">
        <f>IF(N$139&gt;$B184+'Control Panel'!$O$47-1,0,'Financial Statements'!M184)</f>
        <v>-2767.3141437212917</v>
      </c>
      <c r="O184" s="387">
        <f>IF(O$139&gt;$B184+'Control Panel'!$O$47-1,0,'Financial Statements'!N184)</f>
        <v>-2767.3141437212917</v>
      </c>
      <c r="P184" s="387">
        <f>IF(P$139&gt;$B184+'Control Panel'!$O$47-1,0,'Financial Statements'!O184)</f>
        <v>-2767.3141437212917</v>
      </c>
      <c r="Q184" s="387">
        <f>IF(Q$139&gt;$B184+'Control Panel'!$O$47-1,0,'Financial Statements'!P184)</f>
        <v>-2767.3141437212917</v>
      </c>
      <c r="R184" s="387">
        <f>IF(R$139&gt;$B184+'Control Panel'!$O$47-1,0,'Financial Statements'!Q184)</f>
        <v>-2767.3141437212917</v>
      </c>
    </row>
    <row r="185" spans="2:21" outlineLevel="1" x14ac:dyDescent="0.25">
      <c r="B185" s="353">
        <f t="shared" ref="B185:B193" si="102">+B184+1</f>
        <v>2023</v>
      </c>
      <c r="C185" s="482"/>
      <c r="D185" s="482"/>
      <c r="E185" s="482"/>
      <c r="F185" s="482"/>
      <c r="G185" s="482"/>
      <c r="H185" s="486"/>
      <c r="I185" s="486"/>
      <c r="J185" s="387">
        <f>-J$178/'Control Panel'!$O$47</f>
        <v>-3340.6887567285194</v>
      </c>
      <c r="K185" s="387">
        <f>IF(K$139&gt;$B185+'Control Panel'!$O$47-1,0,'Financial Statements'!J185)</f>
        <v>-3340.6887567285194</v>
      </c>
      <c r="L185" s="387">
        <f>IF(L$139&gt;$B185+'Control Panel'!$O$47-1,0,'Financial Statements'!K185)</f>
        <v>-3340.6887567285194</v>
      </c>
      <c r="M185" s="387">
        <f>IF(M$139&gt;$B185+'Control Panel'!$O$47-1,0,'Financial Statements'!L185)</f>
        <v>-3340.6887567285194</v>
      </c>
      <c r="N185" s="387">
        <f>IF(N$139&gt;$B185+'Control Panel'!$O$47-1,0,'Financial Statements'!M185)</f>
        <v>-3340.6887567285194</v>
      </c>
      <c r="O185" s="387">
        <f>IF(O$139&gt;$B185+'Control Panel'!$O$47-1,0,'Financial Statements'!N185)</f>
        <v>-3340.6887567285194</v>
      </c>
      <c r="P185" s="387">
        <f>IF(P$139&gt;$B185+'Control Panel'!$O$47-1,0,'Financial Statements'!O185)</f>
        <v>-3340.6887567285194</v>
      </c>
      <c r="Q185" s="387">
        <f>IF(Q$139&gt;$B185+'Control Panel'!$O$47-1,0,'Financial Statements'!P185)</f>
        <v>-3340.6887567285194</v>
      </c>
      <c r="R185" s="387">
        <f>IF(R$139&gt;$B185+'Control Panel'!$O$47-1,0,'Financial Statements'!Q185)</f>
        <v>-3340.6887567285194</v>
      </c>
    </row>
    <row r="186" spans="2:21" outlineLevel="1" x14ac:dyDescent="0.25">
      <c r="B186" s="353">
        <f t="shared" si="102"/>
        <v>2024</v>
      </c>
      <c r="C186" s="482"/>
      <c r="D186" s="482"/>
      <c r="E186" s="482"/>
      <c r="F186" s="482"/>
      <c r="G186" s="482"/>
      <c r="H186" s="486"/>
      <c r="I186" s="486"/>
      <c r="J186" s="486"/>
      <c r="K186" s="387">
        <f>-K$178/'Control Panel'!$O$47</f>
        <v>-3911.8496318272691</v>
      </c>
      <c r="L186" s="387">
        <f>IF(L$139&gt;$B186+'Control Panel'!$O$47-1,0,'Financial Statements'!K186)</f>
        <v>-3911.8496318272691</v>
      </c>
      <c r="M186" s="387">
        <f>IF(M$139&gt;$B186+'Control Panel'!$O$47-1,0,'Financial Statements'!L186)</f>
        <v>-3911.8496318272691</v>
      </c>
      <c r="N186" s="387">
        <f>IF(N$139&gt;$B186+'Control Panel'!$O$47-1,0,'Financial Statements'!M186)</f>
        <v>-3911.8496318272691</v>
      </c>
      <c r="O186" s="387">
        <f>IF(O$139&gt;$B186+'Control Panel'!$O$47-1,0,'Financial Statements'!N186)</f>
        <v>-3911.8496318272691</v>
      </c>
      <c r="P186" s="387">
        <f>IF(P$139&gt;$B186+'Control Panel'!$O$47-1,0,'Financial Statements'!O186)</f>
        <v>-3911.8496318272691</v>
      </c>
      <c r="Q186" s="387">
        <f>IF(Q$139&gt;$B186+'Control Panel'!$O$47-1,0,'Financial Statements'!P186)</f>
        <v>-3911.8496318272691</v>
      </c>
      <c r="R186" s="387">
        <f>IF(R$139&gt;$B186+'Control Panel'!$O$47-1,0,'Financial Statements'!Q186)</f>
        <v>-3911.8496318272691</v>
      </c>
    </row>
    <row r="187" spans="2:21" outlineLevel="1" x14ac:dyDescent="0.25">
      <c r="B187" s="353">
        <f t="shared" si="102"/>
        <v>2025</v>
      </c>
      <c r="C187" s="482"/>
      <c r="D187" s="482"/>
      <c r="E187" s="482"/>
      <c r="F187" s="482"/>
      <c r="G187" s="482"/>
      <c r="H187" s="486"/>
      <c r="I187" s="486"/>
      <c r="J187" s="486"/>
      <c r="K187" s="486"/>
      <c r="L187" s="387">
        <f>-L$178/'Control Panel'!$O$47</f>
        <v>-4461.2148005003119</v>
      </c>
      <c r="M187" s="387">
        <f>IF(M$139&gt;$B187+'Control Panel'!$O$47-1,0,'Financial Statements'!L187)</f>
        <v>-4461.2148005003119</v>
      </c>
      <c r="N187" s="387">
        <f>IF(N$139&gt;$B187+'Control Panel'!$O$47-1,0,'Financial Statements'!M187)</f>
        <v>-4461.2148005003119</v>
      </c>
      <c r="O187" s="387">
        <f>IF(O$139&gt;$B187+'Control Panel'!$O$47-1,0,'Financial Statements'!N187)</f>
        <v>-4461.2148005003119</v>
      </c>
      <c r="P187" s="387">
        <f>IF(P$139&gt;$B187+'Control Panel'!$O$47-1,0,'Financial Statements'!O187)</f>
        <v>-4461.2148005003119</v>
      </c>
      <c r="Q187" s="387">
        <f>IF(Q$139&gt;$B187+'Control Panel'!$O$47-1,0,'Financial Statements'!P187)</f>
        <v>-4461.2148005003119</v>
      </c>
      <c r="R187" s="387">
        <f>IF(R$139&gt;$B187+'Control Panel'!$O$47-1,0,'Financial Statements'!Q187)</f>
        <v>-4461.2148005003119</v>
      </c>
    </row>
    <row r="188" spans="2:21" outlineLevel="1" x14ac:dyDescent="0.25">
      <c r="B188" s="353">
        <f t="shared" si="102"/>
        <v>2026</v>
      </c>
      <c r="C188" s="482"/>
      <c r="D188" s="482"/>
      <c r="E188" s="482"/>
      <c r="F188" s="482"/>
      <c r="G188" s="482"/>
      <c r="H188" s="486"/>
      <c r="I188" s="486"/>
      <c r="J188" s="486"/>
      <c r="K188" s="486"/>
      <c r="L188" s="486"/>
      <c r="M188" s="387">
        <f>-M$178/'Control Panel'!$O$47</f>
        <v>-4973.7181489799677</v>
      </c>
      <c r="N188" s="387">
        <f>IF(N$139&gt;$B188+'Control Panel'!$O$47-1,0,'Financial Statements'!M188)</f>
        <v>-4973.7181489799677</v>
      </c>
      <c r="O188" s="387">
        <f>IF(O$139&gt;$B188+'Control Panel'!$O$47-1,0,'Financial Statements'!N188)</f>
        <v>-4973.7181489799677</v>
      </c>
      <c r="P188" s="387">
        <f>IF(P$139&gt;$B188+'Control Panel'!$O$47-1,0,'Financial Statements'!O188)</f>
        <v>-4973.7181489799677</v>
      </c>
      <c r="Q188" s="387">
        <f>IF(Q$139&gt;$B188+'Control Panel'!$O$47-1,0,'Financial Statements'!P188)</f>
        <v>-4973.7181489799677</v>
      </c>
      <c r="R188" s="387">
        <f>IF(R$139&gt;$B188+'Control Panel'!$O$47-1,0,'Financial Statements'!Q188)</f>
        <v>-4973.7181489799677</v>
      </c>
    </row>
    <row r="189" spans="2:21" outlineLevel="1" x14ac:dyDescent="0.25">
      <c r="B189" s="353">
        <f t="shared" si="102"/>
        <v>2027</v>
      </c>
      <c r="C189" s="482"/>
      <c r="D189" s="482"/>
      <c r="E189" s="482"/>
      <c r="F189" s="482"/>
      <c r="G189" s="482"/>
      <c r="H189" s="486"/>
      <c r="I189" s="486"/>
      <c r="J189" s="486"/>
      <c r="K189" s="486"/>
      <c r="L189" s="486"/>
      <c r="M189" s="486"/>
      <c r="N189" s="387">
        <f>-N$178/'Control Panel'!$O$47</f>
        <v>-5439.4135199552466</v>
      </c>
      <c r="O189" s="387">
        <f>IF(O$139&gt;$B189+'Control Panel'!$O$47-1,0,'Financial Statements'!N189)</f>
        <v>-5439.4135199552466</v>
      </c>
      <c r="P189" s="387">
        <f>IF(P$139&gt;$B189+'Control Panel'!$O$47-1,0,'Financial Statements'!O189)</f>
        <v>-5439.4135199552466</v>
      </c>
      <c r="Q189" s="387">
        <f>IF(Q$139&gt;$B189+'Control Panel'!$O$47-1,0,'Financial Statements'!P189)</f>
        <v>-5439.4135199552466</v>
      </c>
      <c r="R189" s="387">
        <f>IF(R$139&gt;$B189+'Control Panel'!$O$47-1,0,'Financial Statements'!Q189)</f>
        <v>-5439.4135199552466</v>
      </c>
      <c r="S189" s="359"/>
    </row>
    <row r="190" spans="2:21" outlineLevel="1" x14ac:dyDescent="0.25">
      <c r="B190" s="353">
        <f t="shared" si="102"/>
        <v>2028</v>
      </c>
      <c r="C190" s="482"/>
      <c r="D190" s="482"/>
      <c r="E190" s="482"/>
      <c r="F190" s="482"/>
      <c r="G190" s="482"/>
      <c r="H190" s="486"/>
      <c r="I190" s="486"/>
      <c r="J190" s="486"/>
      <c r="K190" s="486"/>
      <c r="L190" s="486"/>
      <c r="M190" s="486"/>
      <c r="N190" s="486"/>
      <c r="O190" s="387">
        <f>-O$178/'Control Panel'!$O$47</f>
        <v>-5853.1926787952216</v>
      </c>
      <c r="P190" s="387">
        <f>IF(P$139&gt;$B190+'Control Panel'!$O$47-1,0,'Financial Statements'!O190)</f>
        <v>-5853.1926787952216</v>
      </c>
      <c r="Q190" s="387">
        <f>IF(Q$139&gt;$B190+'Control Panel'!$O$47-1,0,'Financial Statements'!P190)</f>
        <v>-5853.1926787952216</v>
      </c>
      <c r="R190" s="387">
        <f>IF(R$139&gt;$B190+'Control Panel'!$O$47-1,0,'Financial Statements'!Q190)</f>
        <v>-5853.1926787952216</v>
      </c>
    </row>
    <row r="191" spans="2:21" outlineLevel="1" x14ac:dyDescent="0.25">
      <c r="B191" s="353">
        <f t="shared" si="102"/>
        <v>2029</v>
      </c>
      <c r="C191" s="482"/>
      <c r="D191" s="482"/>
      <c r="E191" s="482"/>
      <c r="F191" s="482"/>
      <c r="G191" s="482"/>
      <c r="H191" s="486"/>
      <c r="I191" s="486"/>
      <c r="J191" s="486"/>
      <c r="K191" s="486"/>
      <c r="L191" s="486"/>
      <c r="M191" s="486"/>
      <c r="N191" s="486"/>
      <c r="O191" s="486"/>
      <c r="P191" s="387">
        <f>-P$178/'Control Panel'!$O$47</f>
        <v>-6213.9556138621829</v>
      </c>
      <c r="Q191" s="387">
        <f>IF(Q$139&gt;$B191+'Control Panel'!$O$47-1,0,'Financial Statements'!P191)</f>
        <v>-6213.9556138621829</v>
      </c>
      <c r="R191" s="387">
        <f>IF(R$139&gt;$B191+'Control Panel'!$O$47-1,0,'Financial Statements'!Q191)</f>
        <v>-6213.9556138621829</v>
      </c>
    </row>
    <row r="192" spans="2:21" outlineLevel="1" x14ac:dyDescent="0.25">
      <c r="B192" s="353">
        <f t="shared" si="102"/>
        <v>2030</v>
      </c>
      <c r="C192" s="482"/>
      <c r="D192" s="482"/>
      <c r="E192" s="482"/>
      <c r="F192" s="482"/>
      <c r="G192" s="482"/>
      <c r="H192" s="486"/>
      <c r="I192" s="486"/>
      <c r="J192" s="486"/>
      <c r="K192" s="486"/>
      <c r="L192" s="486"/>
      <c r="M192" s="486"/>
      <c r="N192" s="486"/>
      <c r="O192" s="486"/>
      <c r="P192" s="486"/>
      <c r="Q192" s="387">
        <f>-Q$178/'Control Panel'!$O$47</f>
        <v>-6523.5618872342902</v>
      </c>
      <c r="R192" s="387">
        <f>IF(R$139&gt;$B192+'Control Panel'!$O$47-1,0,'Financial Statements'!Q192)</f>
        <v>-6523.5618872342902</v>
      </c>
    </row>
    <row r="193" spans="2:21" outlineLevel="1" x14ac:dyDescent="0.25">
      <c r="B193" s="353">
        <f t="shared" si="102"/>
        <v>2031</v>
      </c>
      <c r="C193" s="482"/>
      <c r="D193" s="482"/>
      <c r="E193" s="482"/>
      <c r="F193" s="482"/>
      <c r="G193" s="482"/>
      <c r="H193" s="486"/>
      <c r="I193" s="486"/>
      <c r="J193" s="486"/>
      <c r="K193" s="486"/>
      <c r="L193" s="486"/>
      <c r="M193" s="486"/>
      <c r="N193" s="486"/>
      <c r="O193" s="486"/>
      <c r="P193" s="486"/>
      <c r="Q193" s="486"/>
      <c r="R193" s="387">
        <f>-R$178/'Control Panel'!$O$47</f>
        <v>-6785.8043009243966</v>
      </c>
      <c r="S193" s="387"/>
      <c r="T193" s="387"/>
      <c r="U193" s="387"/>
    </row>
    <row r="194" spans="2:21" outlineLevel="1" x14ac:dyDescent="0.25">
      <c r="B194" s="354" t="s">
        <v>544</v>
      </c>
      <c r="C194" s="388">
        <f t="shared" ref="C194:G194" si="103">SUM(C183:C193)</f>
        <v>0</v>
      </c>
      <c r="D194" s="388">
        <f t="shared" si="103"/>
        <v>0</v>
      </c>
      <c r="E194" s="388">
        <f t="shared" si="103"/>
        <v>0</v>
      </c>
      <c r="F194" s="388">
        <f t="shared" si="103"/>
        <v>0</v>
      </c>
      <c r="G194" s="388">
        <f t="shared" si="103"/>
        <v>0</v>
      </c>
      <c r="H194" s="388">
        <f>SUM(H183:H193)</f>
        <v>-2214.1260642223169</v>
      </c>
      <c r="I194" s="388">
        <f>SUM(I183:I193)</f>
        <v>-4981.4402079436086</v>
      </c>
      <c r="J194" s="388">
        <f t="shared" ref="J194:R194" si="104">SUM(J183:J193)</f>
        <v>-8322.128964672127</v>
      </c>
      <c r="K194" s="388">
        <f t="shared" si="104"/>
        <v>-12233.978596499397</v>
      </c>
      <c r="L194" s="388">
        <f>SUM(L183:L193)</f>
        <v>-16695.193396999708</v>
      </c>
      <c r="M194" s="388">
        <f t="shared" si="104"/>
        <v>-21668.911545979674</v>
      </c>
      <c r="N194" s="388">
        <f>SUM(N183:N193)</f>
        <v>-27108.325065934921</v>
      </c>
      <c r="O194" s="388">
        <f t="shared" si="104"/>
        <v>-32961.517744730139</v>
      </c>
      <c r="P194" s="388">
        <f t="shared" si="104"/>
        <v>-39175.473358592324</v>
      </c>
      <c r="Q194" s="388">
        <f t="shared" si="104"/>
        <v>-45699.035245826613</v>
      </c>
      <c r="R194" s="388">
        <f t="shared" si="104"/>
        <v>-50270.713482528699</v>
      </c>
    </row>
    <row r="195" spans="2:21" outlineLevel="1" x14ac:dyDescent="0.25">
      <c r="B195" s="203"/>
      <c r="C195" s="23"/>
      <c r="D195" s="23"/>
      <c r="E195" s="23"/>
      <c r="F195" s="23"/>
      <c r="G195" s="23"/>
      <c r="H195" s="23"/>
      <c r="I195" s="23"/>
      <c r="J195" s="23"/>
      <c r="K195" s="23"/>
      <c r="L195" s="23"/>
      <c r="M195" s="23"/>
      <c r="N195" s="23"/>
      <c r="O195" s="23"/>
      <c r="P195" s="23"/>
      <c r="Q195" s="23"/>
      <c r="R195" s="23"/>
    </row>
    <row r="196" spans="2:21" outlineLevel="1" x14ac:dyDescent="0.25">
      <c r="B196" s="203" t="s">
        <v>545</v>
      </c>
      <c r="C196" s="387">
        <f>-'Raw Data'!C139</f>
        <v>-3800</v>
      </c>
      <c r="D196" s="387">
        <f>-'Raw Data'!D139</f>
        <v>-5400</v>
      </c>
      <c r="E196" s="387">
        <f>-'Raw Data'!E139</f>
        <v>-7300</v>
      </c>
      <c r="F196" s="387">
        <f>-'Raw Data'!F139</f>
        <v>-10100</v>
      </c>
      <c r="G196" s="387">
        <f>-'Raw Data'!G139</f>
        <v>-8500</v>
      </c>
      <c r="H196" s="387">
        <f>H194+H180</f>
        <v>-7310.9002577707042</v>
      </c>
      <c r="I196" s="387">
        <f>I194+I180</f>
        <v>-10078.214401491996</v>
      </c>
      <c r="J196" s="387">
        <f>J194+J180</f>
        <v>-13418.903158220513</v>
      </c>
      <c r="K196" s="387">
        <f t="shared" ref="K196:R196" si="105">K194+K180</f>
        <v>-17330.752790047783</v>
      </c>
      <c r="L196" s="387">
        <f>L194+L180</f>
        <v>-21791.967590548094</v>
      </c>
      <c r="M196" s="387">
        <f>M194+M180</f>
        <v>-26765.68573952806</v>
      </c>
      <c r="N196" s="387">
        <f>N194+N180</f>
        <v>-28127.679904644599</v>
      </c>
      <c r="O196" s="387">
        <f t="shared" si="105"/>
        <v>-32961.517744730139</v>
      </c>
      <c r="P196" s="387">
        <f t="shared" si="105"/>
        <v>-39175.473358592324</v>
      </c>
      <c r="Q196" s="387">
        <f t="shared" si="105"/>
        <v>-45699.035245826613</v>
      </c>
      <c r="R196" s="387">
        <f t="shared" si="105"/>
        <v>-50270.713482528699</v>
      </c>
    </row>
    <row r="197" spans="2:21" outlineLevel="1" x14ac:dyDescent="0.25">
      <c r="B197" s="203"/>
      <c r="C197" s="23"/>
      <c r="D197" s="23"/>
      <c r="E197" s="23"/>
      <c r="F197" s="23"/>
      <c r="G197" s="23"/>
      <c r="H197" s="23"/>
      <c r="I197" s="23"/>
      <c r="J197" s="23"/>
      <c r="K197" s="23"/>
      <c r="L197" s="23"/>
      <c r="M197" s="23"/>
      <c r="N197" s="23"/>
      <c r="O197" s="23"/>
      <c r="P197" s="23"/>
      <c r="Q197" s="23"/>
      <c r="R197" s="23"/>
    </row>
    <row r="198" spans="2:21" outlineLevel="1" x14ac:dyDescent="0.25">
      <c r="B198" s="365" t="s">
        <v>550</v>
      </c>
      <c r="C198" s="432">
        <f>'Raw Data'!C140</f>
        <v>11039</v>
      </c>
      <c r="D198" s="432">
        <f>'Raw Data'!D140</f>
        <v>17765</v>
      </c>
      <c r="E198" s="432">
        <f>'Raw Data'!E140</f>
        <v>22700</v>
      </c>
      <c r="F198" s="432">
        <f>'Raw Data'!F140</f>
        <v>27400</v>
      </c>
      <c r="G198" s="432">
        <f>'Raw Data'!G140</f>
        <v>31600</v>
      </c>
      <c r="H198" s="391">
        <f>H177+H178+H196</f>
        <v>46430.360384452462</v>
      </c>
      <c r="I198" s="391">
        <f>I177+I178+I196</f>
        <v>64025.287420173387</v>
      </c>
      <c r="J198" s="391">
        <f t="shared" ref="J198:R198" si="106">J177+J178+J196</f>
        <v>84013.271829238074</v>
      </c>
      <c r="K198" s="391">
        <f t="shared" si="106"/>
        <v>105801.01535746298</v>
      </c>
      <c r="L198" s="391">
        <f>L177+L178+L196</f>
        <v>128621.19577191799</v>
      </c>
      <c r="M198" s="391">
        <f t="shared" si="106"/>
        <v>151592.69152218962</v>
      </c>
      <c r="N198" s="391">
        <f>N177+N178+N196</f>
        <v>177859.14681709747</v>
      </c>
      <c r="O198" s="391">
        <f t="shared" si="106"/>
        <v>203429.55586031955</v>
      </c>
      <c r="P198" s="391">
        <f t="shared" si="106"/>
        <v>226393.63864034909</v>
      </c>
      <c r="Q198" s="391">
        <f t="shared" si="106"/>
        <v>245930.2222668654</v>
      </c>
      <c r="R198" s="391">
        <f t="shared" si="106"/>
        <v>263517.55179358064</v>
      </c>
    </row>
    <row r="199" spans="2:21" outlineLevel="1" x14ac:dyDescent="0.25">
      <c r="B199" s="1" t="s">
        <v>496</v>
      </c>
      <c r="C199" s="390">
        <f t="shared" ref="C199:R199" si="107">C171+C198</f>
        <v>29114</v>
      </c>
      <c r="D199" s="390">
        <f t="shared" si="107"/>
        <v>48866</v>
      </c>
      <c r="E199" s="390">
        <f t="shared" si="107"/>
        <v>61797</v>
      </c>
      <c r="F199" s="390">
        <f t="shared" si="107"/>
        <v>72705</v>
      </c>
      <c r="G199" s="390">
        <f t="shared" si="107"/>
        <v>113114</v>
      </c>
      <c r="H199" s="390">
        <f>H171+H198</f>
        <v>146048.80226363594</v>
      </c>
      <c r="I199" s="390">
        <f t="shared" si="107"/>
        <v>185390.74329928576</v>
      </c>
      <c r="J199" s="390">
        <f t="shared" si="107"/>
        <v>230278.81601288574</v>
      </c>
      <c r="K199" s="390">
        <f t="shared" si="107"/>
        <v>279337.99685562641</v>
      </c>
      <c r="L199" s="390">
        <f t="shared" si="107"/>
        <v>330789.94562110357</v>
      </c>
      <c r="M199" s="390">
        <f t="shared" si="107"/>
        <v>382592.58166498877</v>
      </c>
      <c r="N199" s="390">
        <f t="shared" si="107"/>
        <v>436659.2141226558</v>
      </c>
      <c r="O199" s="390">
        <f t="shared" si="107"/>
        <v>487769.60081964568</v>
      </c>
      <c r="P199" s="390">
        <f t="shared" si="107"/>
        <v>532839.58547179541</v>
      </c>
      <c r="Q199" s="390">
        <f t="shared" si="107"/>
        <v>569966.02399622067</v>
      </c>
      <c r="R199" s="390">
        <f t="shared" si="107"/>
        <v>610726.28595449158</v>
      </c>
    </row>
    <row r="200" spans="2:21" outlineLevel="1" x14ac:dyDescent="0.25">
      <c r="B200" s="1"/>
      <c r="C200" s="390"/>
      <c r="D200" s="390"/>
      <c r="E200" s="390"/>
      <c r="F200" s="390"/>
      <c r="G200" s="390"/>
      <c r="H200" s="390"/>
      <c r="I200" s="390"/>
      <c r="J200" s="390"/>
      <c r="K200" s="390"/>
      <c r="L200" s="390"/>
      <c r="M200" s="390"/>
      <c r="N200" s="390"/>
      <c r="O200" s="390"/>
      <c r="P200" s="390"/>
      <c r="Q200" s="390"/>
      <c r="R200" s="390"/>
    </row>
    <row r="201" spans="2:21" outlineLevel="1" x14ac:dyDescent="0.25">
      <c r="B201" s="1"/>
      <c r="C201" s="23"/>
      <c r="D201" s="23"/>
      <c r="E201" s="23"/>
      <c r="F201" s="23"/>
      <c r="G201" s="23"/>
      <c r="H201" s="23"/>
      <c r="I201" s="23"/>
      <c r="J201" s="23"/>
      <c r="K201" s="23"/>
      <c r="L201" s="23"/>
      <c r="M201" s="23"/>
      <c r="N201" s="23"/>
      <c r="O201" s="23"/>
      <c r="P201" s="23"/>
      <c r="Q201" s="23"/>
      <c r="R201" s="23"/>
    </row>
    <row r="202" spans="2:21" outlineLevel="1" x14ac:dyDescent="0.25">
      <c r="B202" s="361" t="s">
        <v>563</v>
      </c>
      <c r="C202" s="362"/>
      <c r="D202" s="362"/>
      <c r="E202" s="362"/>
      <c r="F202" s="362"/>
      <c r="G202" s="362"/>
      <c r="H202" s="362"/>
      <c r="I202" s="362"/>
      <c r="J202" s="362"/>
      <c r="K202" s="362"/>
      <c r="L202" s="362"/>
      <c r="M202" s="362"/>
      <c r="N202" s="362"/>
      <c r="O202" s="362"/>
      <c r="P202" s="362"/>
      <c r="Q202" s="362"/>
      <c r="R202" s="363"/>
    </row>
    <row r="203" spans="2:21" ht="5.4" customHeight="1" outlineLevel="1" x14ac:dyDescent="0.25">
      <c r="B203" s="1"/>
      <c r="C203" s="23"/>
      <c r="D203" s="23"/>
      <c r="E203" s="23"/>
      <c r="F203" s="23"/>
      <c r="G203" s="23"/>
      <c r="H203" s="23"/>
      <c r="I203" s="23"/>
      <c r="J203" s="23"/>
      <c r="K203" s="23"/>
      <c r="L203" s="23"/>
      <c r="M203" s="23"/>
      <c r="N203" s="23"/>
      <c r="O203" s="23"/>
      <c r="P203" s="23"/>
      <c r="Q203" s="23"/>
      <c r="R203" s="23"/>
    </row>
    <row r="204" spans="2:21" outlineLevel="1" x14ac:dyDescent="0.25">
      <c r="B204" s="366" t="s">
        <v>551</v>
      </c>
      <c r="C204" s="243"/>
      <c r="D204" s="243"/>
      <c r="E204" s="243"/>
      <c r="F204" s="243"/>
      <c r="G204" s="243"/>
      <c r="H204" s="243"/>
      <c r="I204" s="243"/>
      <c r="J204" s="243"/>
      <c r="K204" s="243"/>
      <c r="L204" s="243"/>
      <c r="M204" s="243"/>
      <c r="N204" s="243"/>
      <c r="O204" s="243"/>
      <c r="P204" s="243"/>
      <c r="Q204" s="243"/>
      <c r="R204" s="243"/>
    </row>
    <row r="205" spans="2:21" outlineLevel="1" x14ac:dyDescent="0.25">
      <c r="B205" s="358" t="s">
        <v>552</v>
      </c>
      <c r="C205" s="433">
        <f>'Raw Data'!C145</f>
        <v>9074</v>
      </c>
      <c r="D205" s="433">
        <f>'Raw Data'!D145</f>
        <v>11660</v>
      </c>
      <c r="E205" s="433">
        <f>'Raw Data'!E145</f>
        <v>19304</v>
      </c>
      <c r="F205" s="433">
        <f>'Raw Data'!F145</f>
        <v>24423</v>
      </c>
      <c r="G205" s="433">
        <f>'Raw Data'!G145</f>
        <v>26979</v>
      </c>
      <c r="H205" s="388">
        <f>G233</f>
        <v>18060</v>
      </c>
      <c r="I205" s="388">
        <f>H208</f>
        <v>15147.096774193546</v>
      </c>
      <c r="J205" s="388">
        <f>I208</f>
        <v>12234.193548387095</v>
      </c>
      <c r="K205" s="388">
        <f t="shared" ref="K205:Q205" si="108">J208</f>
        <v>9321.2903225806422</v>
      </c>
      <c r="L205" s="388">
        <f t="shared" si="108"/>
        <v>6408.3870967741914</v>
      </c>
      <c r="M205" s="388">
        <f t="shared" si="108"/>
        <v>3495.4838709677397</v>
      </c>
      <c r="N205" s="388">
        <f>M208</f>
        <v>582.58064516128798</v>
      </c>
      <c r="O205" s="388">
        <f t="shared" si="108"/>
        <v>0</v>
      </c>
      <c r="P205" s="388">
        <f t="shared" si="108"/>
        <v>0</v>
      </c>
      <c r="Q205" s="388">
        <f t="shared" si="108"/>
        <v>0</v>
      </c>
      <c r="R205" s="388">
        <f t="shared" ref="R205" si="109">Q208</f>
        <v>0</v>
      </c>
    </row>
    <row r="206" spans="2:21" outlineLevel="1" x14ac:dyDescent="0.25">
      <c r="B206" s="358" t="s">
        <v>420</v>
      </c>
      <c r="C206" s="482"/>
      <c r="D206" s="482"/>
      <c r="E206" s="482"/>
      <c r="F206" s="482"/>
      <c r="G206" s="482"/>
      <c r="H206" s="387">
        <f>+(H205*'Control Panel'!$O$45)</f>
        <v>379.26000000000005</v>
      </c>
      <c r="I206" s="387">
        <f>+(I205*'Control Panel'!$O$45)</f>
        <v>318.08903225806449</v>
      </c>
      <c r="J206" s="387">
        <f>+(J205*'Control Panel'!$O$45)</f>
        <v>256.91806451612899</v>
      </c>
      <c r="K206" s="387">
        <f>+(K205*'Control Panel'!$O$45)</f>
        <v>195.74709677419349</v>
      </c>
      <c r="L206" s="387">
        <f>+(L205*'Control Panel'!$O$45)</f>
        <v>134.57612903225802</v>
      </c>
      <c r="M206" s="387">
        <f>+(M205*'Control Panel'!$O$45)</f>
        <v>73.405161290322539</v>
      </c>
      <c r="N206" s="387">
        <f>+(N205*'Control Panel'!$O$45)</f>
        <v>12.234193548387049</v>
      </c>
      <c r="O206" s="387">
        <f>+(O205*'Control Panel'!$O$45)</f>
        <v>0</v>
      </c>
      <c r="P206" s="387">
        <f>+(P205*'Control Panel'!$O$45)</f>
        <v>0</v>
      </c>
      <c r="Q206" s="387">
        <f>+(Q205*'Control Panel'!$O$45)</f>
        <v>0</v>
      </c>
      <c r="R206" s="387">
        <f>+(R205*'Control Panel'!$O$45)</f>
        <v>0</v>
      </c>
    </row>
    <row r="207" spans="2:21" outlineLevel="1" x14ac:dyDescent="0.25">
      <c r="B207" s="367" t="s">
        <v>553</v>
      </c>
      <c r="C207" s="489"/>
      <c r="D207" s="489"/>
      <c r="E207" s="489"/>
      <c r="F207" s="489"/>
      <c r="G207" s="489"/>
      <c r="H207" s="387">
        <f>IF($H$205/'Control Panel'!$O$46&lt;H205,-$H$205/'Control Panel'!$O$46-H206,-H205-H206)</f>
        <v>-3292.1632258064519</v>
      </c>
      <c r="I207" s="387">
        <f>IF($H$205/'Control Panel'!$O$46&lt;I205,-$H$205/'Control Panel'!$O$46-I206,-I205-I206)</f>
        <v>-3230.9922580645161</v>
      </c>
      <c r="J207" s="387">
        <f>IF($H$205/'Control Panel'!$O$46&lt;J205,-$H$205/'Control Panel'!$O$46-J206,-J205-J206)</f>
        <v>-3169.8212903225808</v>
      </c>
      <c r="K207" s="387">
        <f>IF($H$205/'Control Panel'!$O$46&lt;K205,-$H$205/'Control Panel'!$O$46-K206,-K205-K206)</f>
        <v>-3108.650322580645</v>
      </c>
      <c r="L207" s="387">
        <f>IF($H$205/'Control Panel'!$O$46&lt;L205,-$H$205/'Control Panel'!$O$46-L206,-L205-L206)</f>
        <v>-3047.4793548387097</v>
      </c>
      <c r="M207" s="387">
        <f>IF($H$205/'Control Panel'!$O$46&lt;M205,-$H$205/'Control Panel'!$O$46-M206,-M205-M206)</f>
        <v>-2986.3083870967744</v>
      </c>
      <c r="N207" s="387">
        <f>IF($H$205/'Control Panel'!$O$46&lt;N205,-$H$205/'Control Panel'!$O$46-N206,-N205-N206)</f>
        <v>-594.81483870967497</v>
      </c>
      <c r="O207" s="387">
        <f>IF($H$205/'Control Panel'!$O$46&lt;O205,-$H$205/'Control Panel'!$O$46-O206,-O205-O206)</f>
        <v>0</v>
      </c>
      <c r="P207" s="387">
        <f>IF($H$205/'Control Panel'!$O$46&lt;P205,-$H$205/'Control Panel'!$O$46-P206,-P205-P206)</f>
        <v>0</v>
      </c>
      <c r="Q207" s="387">
        <f>IF($H$205/'Control Panel'!$O$46&lt;Q205,-$H$205/'Control Panel'!$O$46-Q206,-Q205-Q206)</f>
        <v>0</v>
      </c>
      <c r="R207" s="387">
        <f>IF($H$205/'Control Panel'!$O$46&lt;R205,-$H$205/'Control Panel'!$O$46-R206,-R205-R206)</f>
        <v>0</v>
      </c>
    </row>
    <row r="208" spans="2:21" outlineLevel="1" x14ac:dyDescent="0.25">
      <c r="B208" s="358" t="s">
        <v>554</v>
      </c>
      <c r="C208" s="80"/>
      <c r="D208" s="80"/>
      <c r="E208" s="80"/>
      <c r="F208" s="80"/>
      <c r="G208" s="80"/>
      <c r="H208" s="388">
        <f>SUM(H205:H207)</f>
        <v>15147.096774193546</v>
      </c>
      <c r="I208" s="388">
        <f t="shared" ref="I208:L208" si="110">SUM(I205:I207)</f>
        <v>12234.193548387095</v>
      </c>
      <c r="J208" s="388">
        <f>SUM(J205:J207)</f>
        <v>9321.2903225806422</v>
      </c>
      <c r="K208" s="388">
        <f t="shared" si="110"/>
        <v>6408.3870967741914</v>
      </c>
      <c r="L208" s="388">
        <f t="shared" si="110"/>
        <v>3495.4838709677397</v>
      </c>
      <c r="M208" s="388">
        <f>SUM(M205:M207)</f>
        <v>582.58064516128798</v>
      </c>
      <c r="N208" s="388">
        <f>SUM(N205:N207)</f>
        <v>0</v>
      </c>
      <c r="O208" s="388">
        <f>SUM(O205:O207)</f>
        <v>0</v>
      </c>
      <c r="P208" s="388">
        <f t="shared" ref="P208:R208" si="111">SUM(P205:P207)</f>
        <v>0</v>
      </c>
      <c r="Q208" s="388">
        <f t="shared" si="111"/>
        <v>0</v>
      </c>
      <c r="R208" s="388">
        <f t="shared" si="111"/>
        <v>0</v>
      </c>
    </row>
    <row r="209" spans="2:21" outlineLevel="1" x14ac:dyDescent="0.25">
      <c r="B209" s="358"/>
      <c r="C209" s="80"/>
      <c r="D209" s="80"/>
      <c r="E209" s="80"/>
      <c r="F209" s="80"/>
      <c r="G209" s="80"/>
      <c r="H209" s="80"/>
      <c r="I209" s="80"/>
      <c r="J209" s="80"/>
      <c r="K209" s="80"/>
      <c r="L209" s="80"/>
      <c r="M209" s="80"/>
      <c r="N209" s="80"/>
      <c r="O209" s="80"/>
      <c r="P209" s="80"/>
      <c r="Q209" s="80"/>
      <c r="R209" s="80"/>
    </row>
    <row r="210" spans="2:21" outlineLevel="1" x14ac:dyDescent="0.25">
      <c r="B210" s="366" t="s">
        <v>555</v>
      </c>
      <c r="C210" s="80"/>
      <c r="D210" s="80"/>
      <c r="E210" s="80"/>
      <c r="F210" s="80"/>
      <c r="G210" s="80"/>
      <c r="H210" s="80"/>
      <c r="I210" s="80"/>
      <c r="J210" s="80"/>
      <c r="K210" s="80"/>
      <c r="L210" s="80"/>
      <c r="M210" s="80"/>
      <c r="N210" s="80"/>
      <c r="O210" s="80"/>
      <c r="P210" s="80"/>
      <c r="Q210" s="80"/>
      <c r="R210" s="80"/>
    </row>
    <row r="211" spans="2:21" outlineLevel="1" x14ac:dyDescent="0.25">
      <c r="B211" s="358" t="s">
        <v>556</v>
      </c>
      <c r="C211" s="487"/>
      <c r="D211" s="487"/>
      <c r="E211" s="487"/>
      <c r="F211" s="487"/>
      <c r="G211" s="487"/>
      <c r="H211" s="388">
        <v>0</v>
      </c>
      <c r="I211" s="388">
        <f>H229</f>
        <v>19927.134578000852</v>
      </c>
      <c r="J211" s="388">
        <f>I229</f>
        <v>42618.835807270159</v>
      </c>
      <c r="K211" s="388">
        <f>J229</f>
        <v>67703.594409883226</v>
      </c>
      <c r="L211" s="388">
        <f t="shared" ref="L211" si="112">K229</f>
        <v>94588.112131656526</v>
      </c>
      <c r="M211" s="388">
        <f t="shared" ref="M211" si="113">L229</f>
        <v>122505.06673965993</v>
      </c>
      <c r="N211" s="388">
        <f t="shared" ref="N211" si="114">M229</f>
        <v>150573.33668347995</v>
      </c>
      <c r="O211" s="388">
        <f t="shared" ref="O211" si="115">N229</f>
        <v>177859.1468170975</v>
      </c>
      <c r="P211" s="388">
        <f t="shared" ref="P211" si="116">O229</f>
        <v>203429.55586031958</v>
      </c>
      <c r="Q211" s="388">
        <f t="shared" ref="Q211" si="117">P229</f>
        <v>226393.63864034909</v>
      </c>
      <c r="R211" s="388">
        <f t="shared" ref="R211" si="118">Q229</f>
        <v>245930.22226686537</v>
      </c>
    </row>
    <row r="212" spans="2:21" outlineLevel="1" x14ac:dyDescent="0.25">
      <c r="B212" s="358" t="s">
        <v>302</v>
      </c>
      <c r="C212" s="482"/>
      <c r="D212" s="482"/>
      <c r="E212" s="482"/>
      <c r="F212" s="482"/>
      <c r="G212" s="482"/>
      <c r="H212" s="387">
        <f>H178</f>
        <v>22141.260642223169</v>
      </c>
      <c r="I212" s="387">
        <f>I178</f>
        <v>27673.141437212918</v>
      </c>
      <c r="J212" s="387">
        <f t="shared" ref="J212:R212" si="119">J178</f>
        <v>33406.887567285194</v>
      </c>
      <c r="K212" s="387">
        <f>K178</f>
        <v>39118.496318272693</v>
      </c>
      <c r="L212" s="387">
        <f>L178</f>
        <v>44612.148005003117</v>
      </c>
      <c r="M212" s="387">
        <f>M178</f>
        <v>49737.181489799681</v>
      </c>
      <c r="N212" s="387">
        <f t="shared" si="119"/>
        <v>54394.135199552467</v>
      </c>
      <c r="O212" s="387">
        <f t="shared" si="119"/>
        <v>58531.926787952216</v>
      </c>
      <c r="P212" s="387">
        <f t="shared" si="119"/>
        <v>62139.556138621825</v>
      </c>
      <c r="Q212" s="387">
        <f t="shared" si="119"/>
        <v>65235.6188723429</v>
      </c>
      <c r="R212" s="387">
        <f t="shared" si="119"/>
        <v>67858.043009243964</v>
      </c>
    </row>
    <row r="213" spans="2:21" outlineLevel="1" x14ac:dyDescent="0.25">
      <c r="B213" s="358" t="s">
        <v>420</v>
      </c>
      <c r="C213" s="482"/>
      <c r="D213" s="482"/>
      <c r="E213" s="482"/>
      <c r="F213" s="482"/>
      <c r="G213" s="482"/>
      <c r="H213" s="387">
        <f>+(H211*'Control Panel'!$O$45)</f>
        <v>0</v>
      </c>
      <c r="I213" s="387">
        <f>+(I211*'Control Panel'!$O$45)</f>
        <v>418.46982613801794</v>
      </c>
      <c r="J213" s="387">
        <f>+(J211*'Control Panel'!$O$45)</f>
        <v>894.9955519526734</v>
      </c>
      <c r="K213" s="387">
        <f>+(K211*'Control Panel'!$O$45)</f>
        <v>1421.7754826075479</v>
      </c>
      <c r="L213" s="387">
        <f>+(L211*'Control Panel'!$O$45)</f>
        <v>1986.3503547647872</v>
      </c>
      <c r="M213" s="387">
        <f>+(M211*'Control Panel'!$O$45)</f>
        <v>2572.6064015328589</v>
      </c>
      <c r="N213" s="387">
        <f>+(N211*'Control Panel'!$O$45)</f>
        <v>3162.040070353079</v>
      </c>
      <c r="O213" s="387">
        <f>+(O211*'Control Panel'!$O$45)</f>
        <v>3735.0420831590477</v>
      </c>
      <c r="P213" s="387">
        <f>+(P211*'Control Panel'!$O$45)</f>
        <v>4272.0206730667114</v>
      </c>
      <c r="Q213" s="387">
        <f>+(Q211*'Control Panel'!$O$45)</f>
        <v>4754.2664114473309</v>
      </c>
      <c r="R213" s="387">
        <f>+(R211*'Control Panel'!$O$45)</f>
        <v>5164.5346676041727</v>
      </c>
    </row>
    <row r="214" spans="2:21" outlineLevel="1" x14ac:dyDescent="0.25">
      <c r="B214" s="364" t="s">
        <v>560</v>
      </c>
      <c r="C214" s="80"/>
      <c r="D214" s="80"/>
      <c r="E214" s="80"/>
      <c r="F214" s="80"/>
      <c r="G214" s="80"/>
      <c r="H214" s="80"/>
      <c r="I214" s="80"/>
      <c r="J214" s="80"/>
      <c r="K214" s="80"/>
      <c r="L214" s="80"/>
      <c r="M214" s="80"/>
      <c r="N214" s="80"/>
      <c r="O214" s="80"/>
      <c r="P214" s="80"/>
      <c r="Q214" s="80"/>
      <c r="R214" s="80"/>
    </row>
    <row r="215" spans="2:21" outlineLevel="1" x14ac:dyDescent="0.25">
      <c r="B215" s="353">
        <f>$H$139</f>
        <v>2021</v>
      </c>
      <c r="C215" s="482"/>
      <c r="D215" s="482"/>
      <c r="E215" s="482"/>
      <c r="F215" s="482"/>
      <c r="G215" s="482"/>
      <c r="H215" s="387">
        <f>-H$212/'Control Panel'!$O$47</f>
        <v>-2214.1260642223169</v>
      </c>
      <c r="I215" s="387">
        <f>IF(I$139&gt;$B215+'Control Panel'!$O$47-1,0,H215)</f>
        <v>-2214.1260642223169</v>
      </c>
      <c r="J215" s="387">
        <f>IF(J$139&gt;$B215+'Control Panel'!$O$47-1,0,I215)</f>
        <v>-2214.1260642223169</v>
      </c>
      <c r="K215" s="387">
        <f>IF(K$139&gt;$B215+'Control Panel'!$O$47-1,0,J215)</f>
        <v>-2214.1260642223169</v>
      </c>
      <c r="L215" s="387">
        <f>IF(L$139&gt;$B215+'Control Panel'!$O$47-1,0,K215)</f>
        <v>-2214.1260642223169</v>
      </c>
      <c r="M215" s="387">
        <f>IF(M$139&gt;$B215+'Control Panel'!$O$47-1,0,L215)</f>
        <v>-2214.1260642223169</v>
      </c>
      <c r="N215" s="387">
        <f>IF(N$139&gt;$B215+'Control Panel'!$O$47-1,0,M215)</f>
        <v>-2214.1260642223169</v>
      </c>
      <c r="O215" s="387">
        <f>IF(O$139&gt;$B215+'Control Panel'!$O$47-1,0,N215)</f>
        <v>-2214.1260642223169</v>
      </c>
      <c r="P215" s="387">
        <f>IF(P$139&gt;$B215+'Control Panel'!$O$47-1,0,O215)</f>
        <v>-2214.1260642223169</v>
      </c>
      <c r="Q215" s="387">
        <f>IF(Q$139&gt;$B215+'Control Panel'!$O$47-1,0,P215)</f>
        <v>-2214.1260642223169</v>
      </c>
      <c r="R215" s="387">
        <f>IF(R$139&gt;$B215+'Control Panel'!$O$47-1,0,Q215)</f>
        <v>0</v>
      </c>
    </row>
    <row r="216" spans="2:21" outlineLevel="1" x14ac:dyDescent="0.25">
      <c r="B216" s="353">
        <f>+B215+1</f>
        <v>2022</v>
      </c>
      <c r="C216" s="482"/>
      <c r="D216" s="482"/>
      <c r="E216" s="482"/>
      <c r="F216" s="482"/>
      <c r="G216" s="482"/>
      <c r="H216" s="486"/>
      <c r="I216" s="387">
        <f>-I$212/'Control Panel'!$O$47</f>
        <v>-2767.3141437212917</v>
      </c>
      <c r="J216" s="387">
        <f>IF(J$139&gt;$B216+'Control Panel'!$O$47-1,0,I216)</f>
        <v>-2767.3141437212917</v>
      </c>
      <c r="K216" s="387">
        <f>IF(K$139&gt;$B216+'Control Panel'!$O$47-1,0,J216)</f>
        <v>-2767.3141437212917</v>
      </c>
      <c r="L216" s="387">
        <f>IF(L$139&gt;$B216+'Control Panel'!$O$47-1,0,K216)</f>
        <v>-2767.3141437212917</v>
      </c>
      <c r="M216" s="387">
        <f>IF(M$139&gt;$B216+'Control Panel'!$O$47-1,0,L216)</f>
        <v>-2767.3141437212917</v>
      </c>
      <c r="N216" s="387">
        <f>IF(N$139&gt;$B216+'Control Panel'!$O$47-1,0,M216)</f>
        <v>-2767.3141437212917</v>
      </c>
      <c r="O216" s="387">
        <f>IF(O$139&gt;$B216+'Control Panel'!$O$47-1,0,N216)</f>
        <v>-2767.3141437212917</v>
      </c>
      <c r="P216" s="387">
        <f>IF(P$139&gt;$B216+'Control Panel'!$O$47-1,0,O216)</f>
        <v>-2767.3141437212917</v>
      </c>
      <c r="Q216" s="387">
        <f>IF(Q$139&gt;$B216+'Control Panel'!$O$47-1,0,P216)</f>
        <v>-2767.3141437212917</v>
      </c>
      <c r="R216" s="387">
        <f>IF(R$139&gt;$B216+'Control Panel'!$O$47-1,0,Q216)</f>
        <v>-2767.3141437212917</v>
      </c>
    </row>
    <row r="217" spans="2:21" outlineLevel="1" x14ac:dyDescent="0.25">
      <c r="B217" s="353">
        <f t="shared" ref="B217:B225" si="120">+B216+1</f>
        <v>2023</v>
      </c>
      <c r="C217" s="482"/>
      <c r="D217" s="482"/>
      <c r="E217" s="482"/>
      <c r="F217" s="482"/>
      <c r="G217" s="482"/>
      <c r="H217" s="486"/>
      <c r="I217" s="486"/>
      <c r="J217" s="387">
        <f>-J$212/'Control Panel'!$O$47</f>
        <v>-3340.6887567285194</v>
      </c>
      <c r="K217" s="387">
        <f>IF(K$139&gt;$B217+'Control Panel'!$O$47-1,0,J217)</f>
        <v>-3340.6887567285194</v>
      </c>
      <c r="L217" s="387">
        <f>IF(L$139&gt;$B217+'Control Panel'!$O$47-1,0,K217)</f>
        <v>-3340.6887567285194</v>
      </c>
      <c r="M217" s="387">
        <f>IF(M$139&gt;$B217+'Control Panel'!$O$47-1,0,L217)</f>
        <v>-3340.6887567285194</v>
      </c>
      <c r="N217" s="387">
        <f>IF(N$139&gt;$B217+'Control Panel'!$O$47-1,0,M217)</f>
        <v>-3340.6887567285194</v>
      </c>
      <c r="O217" s="387">
        <f>IF(O$139&gt;$B217+'Control Panel'!$O$47-1,0,N217)</f>
        <v>-3340.6887567285194</v>
      </c>
      <c r="P217" s="387">
        <f>IF(P$139&gt;$B217+'Control Panel'!$O$47-1,0,O217)</f>
        <v>-3340.6887567285194</v>
      </c>
      <c r="Q217" s="387">
        <f>IF(Q$139&gt;$B217+'Control Panel'!$O$47-1,0,P217)</f>
        <v>-3340.6887567285194</v>
      </c>
      <c r="R217" s="387">
        <f>IF(R$139&gt;$B217+'Control Panel'!$O$47-1,0,Q217)</f>
        <v>-3340.6887567285194</v>
      </c>
    </row>
    <row r="218" spans="2:21" outlineLevel="1" x14ac:dyDescent="0.25">
      <c r="B218" s="353">
        <f t="shared" si="120"/>
        <v>2024</v>
      </c>
      <c r="C218" s="482"/>
      <c r="D218" s="482"/>
      <c r="E218" s="482"/>
      <c r="F218" s="482"/>
      <c r="G218" s="482"/>
      <c r="H218" s="486"/>
      <c r="I218" s="486"/>
      <c r="J218" s="486"/>
      <c r="K218" s="387">
        <f>-K$212/'Control Panel'!$O$47</f>
        <v>-3911.8496318272691</v>
      </c>
      <c r="L218" s="387">
        <f>IF(L$139&gt;$B218+'Control Panel'!$O$47-1,0,K218)</f>
        <v>-3911.8496318272691</v>
      </c>
      <c r="M218" s="387">
        <f>IF(M$139&gt;$B218+'Control Panel'!$O$47-1,0,L218)</f>
        <v>-3911.8496318272691</v>
      </c>
      <c r="N218" s="387">
        <f>IF(N$139&gt;$B218+'Control Panel'!$O$47-1,0,M218)</f>
        <v>-3911.8496318272691</v>
      </c>
      <c r="O218" s="387">
        <f>IF(O$139&gt;$B218+'Control Panel'!$O$47-1,0,N218)</f>
        <v>-3911.8496318272691</v>
      </c>
      <c r="P218" s="387">
        <f>IF(P$139&gt;$B218+'Control Panel'!$O$47-1,0,O218)</f>
        <v>-3911.8496318272691</v>
      </c>
      <c r="Q218" s="387">
        <f>IF(Q$139&gt;$B218+'Control Panel'!$O$47-1,0,P218)</f>
        <v>-3911.8496318272691</v>
      </c>
      <c r="R218" s="387">
        <f>IF(R$139&gt;$B218+'Control Panel'!$O$47-1,0,Q218)</f>
        <v>-3911.8496318272691</v>
      </c>
    </row>
    <row r="219" spans="2:21" outlineLevel="1" x14ac:dyDescent="0.25">
      <c r="B219" s="353">
        <f t="shared" si="120"/>
        <v>2025</v>
      </c>
      <c r="C219" s="482"/>
      <c r="D219" s="482"/>
      <c r="E219" s="482"/>
      <c r="F219" s="482"/>
      <c r="G219" s="482"/>
      <c r="H219" s="486"/>
      <c r="I219" s="486"/>
      <c r="J219" s="486"/>
      <c r="K219" s="486"/>
      <c r="L219" s="387">
        <f>-L$212/'Control Panel'!$O$47</f>
        <v>-4461.2148005003119</v>
      </c>
      <c r="M219" s="387">
        <f>IF(M$139&gt;$B219+'Control Panel'!$O$47-1,0,L219)</f>
        <v>-4461.2148005003119</v>
      </c>
      <c r="N219" s="387">
        <f>IF(N$139&gt;$B219+'Control Panel'!$O$47-1,0,M219)</f>
        <v>-4461.2148005003119</v>
      </c>
      <c r="O219" s="387">
        <f>IF(O$139&gt;$B219+'Control Panel'!$O$47-1,0,N219)</f>
        <v>-4461.2148005003119</v>
      </c>
      <c r="P219" s="387">
        <f>IF(P$139&gt;$B219+'Control Panel'!$O$47-1,0,O219)</f>
        <v>-4461.2148005003119</v>
      </c>
      <c r="Q219" s="387">
        <f>IF(Q$139&gt;$B219+'Control Panel'!$O$47-1,0,P219)</f>
        <v>-4461.2148005003119</v>
      </c>
      <c r="R219" s="387">
        <f>IF(R$139&gt;$B219+'Control Panel'!$O$47-1,0,Q219)</f>
        <v>-4461.2148005003119</v>
      </c>
    </row>
    <row r="220" spans="2:21" outlineLevel="1" x14ac:dyDescent="0.25">
      <c r="B220" s="353">
        <f t="shared" si="120"/>
        <v>2026</v>
      </c>
      <c r="C220" s="482"/>
      <c r="D220" s="482"/>
      <c r="E220" s="482"/>
      <c r="F220" s="482"/>
      <c r="G220" s="482"/>
      <c r="H220" s="486"/>
      <c r="I220" s="486"/>
      <c r="J220" s="486"/>
      <c r="K220" s="486"/>
      <c r="L220" s="486"/>
      <c r="M220" s="387">
        <f>-M$212/'Control Panel'!$O$47</f>
        <v>-4973.7181489799677</v>
      </c>
      <c r="N220" s="387">
        <f>IF(N$139&gt;$B220+'Control Panel'!$O$47-1,0,M220)</f>
        <v>-4973.7181489799677</v>
      </c>
      <c r="O220" s="387">
        <f>IF(O$139&gt;$B220+'Control Panel'!$O$47-1,0,N220)</f>
        <v>-4973.7181489799677</v>
      </c>
      <c r="P220" s="387">
        <f>IF(P$139&gt;$B220+'Control Panel'!$O$47-1,0,O220)</f>
        <v>-4973.7181489799677</v>
      </c>
      <c r="Q220" s="387">
        <f>IF(Q$139&gt;$B220+'Control Panel'!$O$47-1,0,P220)</f>
        <v>-4973.7181489799677</v>
      </c>
      <c r="R220" s="387">
        <f>IF(R$139&gt;$B220+'Control Panel'!$O$47-1,0,Q220)</f>
        <v>-4973.7181489799677</v>
      </c>
    </row>
    <row r="221" spans="2:21" outlineLevel="1" x14ac:dyDescent="0.25">
      <c r="B221" s="353">
        <f t="shared" si="120"/>
        <v>2027</v>
      </c>
      <c r="C221" s="482"/>
      <c r="D221" s="482"/>
      <c r="E221" s="482"/>
      <c r="F221" s="482"/>
      <c r="G221" s="482"/>
      <c r="H221" s="486"/>
      <c r="I221" s="486"/>
      <c r="J221" s="486"/>
      <c r="K221" s="486"/>
      <c r="L221" s="486"/>
      <c r="M221" s="486"/>
      <c r="N221" s="387">
        <f>-N$212/'Control Panel'!$O$47</f>
        <v>-5439.4135199552466</v>
      </c>
      <c r="O221" s="387">
        <f>IF(O$139&gt;$B221+'Control Panel'!$O$47-1,0,N221)</f>
        <v>-5439.4135199552466</v>
      </c>
      <c r="P221" s="387">
        <f>IF(P$139&gt;$B221+'Control Panel'!$O$47-1,0,O221)</f>
        <v>-5439.4135199552466</v>
      </c>
      <c r="Q221" s="387">
        <f>IF(Q$139&gt;$B221+'Control Panel'!$O$47-1,0,P221)</f>
        <v>-5439.4135199552466</v>
      </c>
      <c r="R221" s="387">
        <f>IF(R$139&gt;$B221+'Control Panel'!$O$47-1,0,Q221)</f>
        <v>-5439.4135199552466</v>
      </c>
    </row>
    <row r="222" spans="2:21" outlineLevel="1" x14ac:dyDescent="0.25">
      <c r="B222" s="353">
        <f t="shared" si="120"/>
        <v>2028</v>
      </c>
      <c r="C222" s="482"/>
      <c r="D222" s="482"/>
      <c r="E222" s="482"/>
      <c r="F222" s="482"/>
      <c r="G222" s="482"/>
      <c r="H222" s="486"/>
      <c r="I222" s="486"/>
      <c r="J222" s="486"/>
      <c r="K222" s="486"/>
      <c r="L222" s="486"/>
      <c r="M222" s="486"/>
      <c r="N222" s="486"/>
      <c r="O222" s="387">
        <f>-O$212/'Control Panel'!$O$47</f>
        <v>-5853.1926787952216</v>
      </c>
      <c r="P222" s="387">
        <f>IF(P$139&gt;$B222+'Control Panel'!$O$47-1,0,O222)</f>
        <v>-5853.1926787952216</v>
      </c>
      <c r="Q222" s="387">
        <f>IF(Q$139&gt;$B222+'Control Panel'!$O$47-1,0,P222)</f>
        <v>-5853.1926787952216</v>
      </c>
      <c r="R222" s="387">
        <f>IF(R$139&gt;$B222+'Control Panel'!$O$47-1,0,Q222)</f>
        <v>-5853.1926787952216</v>
      </c>
    </row>
    <row r="223" spans="2:21" outlineLevel="1" x14ac:dyDescent="0.25">
      <c r="B223" s="353">
        <f t="shared" si="120"/>
        <v>2029</v>
      </c>
      <c r="C223" s="482"/>
      <c r="D223" s="482"/>
      <c r="E223" s="482"/>
      <c r="F223" s="482"/>
      <c r="G223" s="482"/>
      <c r="H223" s="486"/>
      <c r="I223" s="486"/>
      <c r="J223" s="486"/>
      <c r="K223" s="486"/>
      <c r="L223" s="486"/>
      <c r="M223" s="486"/>
      <c r="N223" s="486"/>
      <c r="O223" s="486"/>
      <c r="P223" s="387">
        <f>-P$212/'Control Panel'!$O$47</f>
        <v>-6213.9556138621829</v>
      </c>
      <c r="Q223" s="387">
        <f>IF(Q$139&gt;$B223+'Control Panel'!$O$47-1,0,P223)</f>
        <v>-6213.9556138621829</v>
      </c>
      <c r="R223" s="387">
        <f>IF(R$139&gt;$B223+'Control Panel'!$O$47-1,0,Q223)</f>
        <v>-6213.9556138621829</v>
      </c>
    </row>
    <row r="224" spans="2:21" outlineLevel="1" x14ac:dyDescent="0.25">
      <c r="B224" s="353">
        <f t="shared" si="120"/>
        <v>2030</v>
      </c>
      <c r="C224" s="482"/>
      <c r="D224" s="482"/>
      <c r="E224" s="482"/>
      <c r="F224" s="482"/>
      <c r="G224" s="482"/>
      <c r="H224" s="486"/>
      <c r="I224" s="486"/>
      <c r="J224" s="486"/>
      <c r="K224" s="486"/>
      <c r="L224" s="486"/>
      <c r="M224" s="486"/>
      <c r="N224" s="486"/>
      <c r="O224" s="486"/>
      <c r="P224" s="486"/>
      <c r="Q224" s="387">
        <f>-Q$212/'Control Panel'!$O$47</f>
        <v>-6523.5618872342902</v>
      </c>
      <c r="R224" s="387">
        <f>IF(R$139&gt;$B224+'Control Panel'!$O$47-1,0,Q224)</f>
        <v>-6523.5618872342902</v>
      </c>
      <c r="S224" s="387"/>
      <c r="T224" s="387"/>
      <c r="U224" s="387"/>
    </row>
    <row r="225" spans="2:21" outlineLevel="1" x14ac:dyDescent="0.25">
      <c r="B225" s="353">
        <f t="shared" si="120"/>
        <v>2031</v>
      </c>
      <c r="C225" s="482"/>
      <c r="D225" s="482"/>
      <c r="E225" s="482"/>
      <c r="F225" s="482"/>
      <c r="G225" s="482"/>
      <c r="H225" s="486"/>
      <c r="I225" s="486"/>
      <c r="J225" s="486"/>
      <c r="K225" s="486"/>
      <c r="L225" s="486"/>
      <c r="M225" s="486"/>
      <c r="N225" s="486"/>
      <c r="O225" s="486"/>
      <c r="P225" s="486"/>
      <c r="Q225" s="486"/>
      <c r="R225" s="387">
        <f>-R$212/'Control Panel'!$O$47</f>
        <v>-6785.8043009243966</v>
      </c>
      <c r="S225" s="387"/>
      <c r="T225" s="387"/>
      <c r="U225" s="387"/>
    </row>
    <row r="226" spans="2:21" outlineLevel="1" x14ac:dyDescent="0.25">
      <c r="B226" s="354" t="s">
        <v>557</v>
      </c>
      <c r="C226" s="388">
        <f t="shared" ref="C226:G226" si="121">SUM(C215:C225)</f>
        <v>0</v>
      </c>
      <c r="D226" s="388">
        <f t="shared" si="121"/>
        <v>0</v>
      </c>
      <c r="E226" s="388">
        <f t="shared" si="121"/>
        <v>0</v>
      </c>
      <c r="F226" s="388">
        <f t="shared" si="121"/>
        <v>0</v>
      </c>
      <c r="G226" s="388">
        <f t="shared" si="121"/>
        <v>0</v>
      </c>
      <c r="H226" s="388">
        <f>SUM(H215:H225)</f>
        <v>-2214.1260642223169</v>
      </c>
      <c r="I226" s="388">
        <f t="shared" ref="I226:J226" si="122">SUM(I215:I225)</f>
        <v>-4981.4402079436086</v>
      </c>
      <c r="J226" s="388">
        <f t="shared" si="122"/>
        <v>-8322.128964672127</v>
      </c>
      <c r="K226" s="388">
        <f>SUM(K215:K225)</f>
        <v>-12233.978596499397</v>
      </c>
      <c r="L226" s="388">
        <f>SUM(L215:L225)</f>
        <v>-16695.193396999708</v>
      </c>
      <c r="M226" s="388">
        <f>SUM(M215:M225)</f>
        <v>-21668.911545979674</v>
      </c>
      <c r="N226" s="388">
        <f>SUM(N215:N225)</f>
        <v>-27108.325065934921</v>
      </c>
      <c r="O226" s="388">
        <f t="shared" ref="O226:Q226" si="123">SUM(O215:O225)</f>
        <v>-32961.517744730139</v>
      </c>
      <c r="P226" s="388">
        <f t="shared" si="123"/>
        <v>-39175.473358592324</v>
      </c>
      <c r="Q226" s="388">
        <f t="shared" si="123"/>
        <v>-45699.035245826613</v>
      </c>
      <c r="R226" s="388">
        <f>SUM(R215:R225)</f>
        <v>-50270.713482528699</v>
      </c>
    </row>
    <row r="227" spans="2:21" outlineLevel="1" x14ac:dyDescent="0.25">
      <c r="C227" s="80"/>
      <c r="D227" s="80"/>
      <c r="E227" s="80"/>
      <c r="F227" s="80"/>
      <c r="G227" s="80"/>
      <c r="H227" s="80"/>
      <c r="I227" s="80"/>
      <c r="J227" s="80"/>
      <c r="K227" s="80"/>
      <c r="L227" s="80"/>
      <c r="M227" s="80"/>
      <c r="N227" s="80"/>
      <c r="O227" s="80"/>
      <c r="P227" s="80"/>
      <c r="Q227" s="80"/>
      <c r="R227" s="80"/>
    </row>
    <row r="228" spans="2:21" outlineLevel="1" x14ac:dyDescent="0.25">
      <c r="B228" s="353" t="s">
        <v>558</v>
      </c>
      <c r="C228" s="482"/>
      <c r="D228" s="482"/>
      <c r="E228" s="482"/>
      <c r="F228" s="482"/>
      <c r="G228" s="482"/>
      <c r="H228" s="387">
        <f>H213-H226</f>
        <v>2214.1260642223169</v>
      </c>
      <c r="I228" s="387">
        <f>I213-I226</f>
        <v>5399.9100340816267</v>
      </c>
      <c r="J228" s="387">
        <f>J213-J226</f>
        <v>9217.1245166248009</v>
      </c>
      <c r="K228" s="387">
        <f>K213-K226</f>
        <v>13655.754079106944</v>
      </c>
      <c r="L228" s="387">
        <f t="shared" ref="L228:R228" si="124">L213-L226</f>
        <v>18681.543751764497</v>
      </c>
      <c r="M228" s="387">
        <f>M213-M226</f>
        <v>24241.517947512533</v>
      </c>
      <c r="N228" s="387">
        <f>N213-N226</f>
        <v>30270.365136288001</v>
      </c>
      <c r="O228" s="387">
        <f t="shared" si="124"/>
        <v>36696.559827889185</v>
      </c>
      <c r="P228" s="387">
        <f t="shared" si="124"/>
        <v>43447.494031659036</v>
      </c>
      <c r="Q228" s="387">
        <f t="shared" si="124"/>
        <v>50453.301657273943</v>
      </c>
      <c r="R228" s="387">
        <f t="shared" si="124"/>
        <v>55435.248150132873</v>
      </c>
    </row>
    <row r="229" spans="2:21" outlineLevel="1" x14ac:dyDescent="0.25">
      <c r="B229" s="360" t="s">
        <v>559</v>
      </c>
      <c r="C229" s="388">
        <f t="shared" ref="C229:G229" si="125">+C211+C212+C213-C228</f>
        <v>0</v>
      </c>
      <c r="D229" s="388">
        <f t="shared" si="125"/>
        <v>0</v>
      </c>
      <c r="E229" s="388">
        <f t="shared" si="125"/>
        <v>0</v>
      </c>
      <c r="F229" s="388">
        <f t="shared" si="125"/>
        <v>0</v>
      </c>
      <c r="G229" s="388">
        <f t="shared" si="125"/>
        <v>0</v>
      </c>
      <c r="H229" s="388">
        <f>+H211+H212+H213-H228</f>
        <v>19927.134578000852</v>
      </c>
      <c r="I229" s="388">
        <f t="shared" ref="I229:R229" si="126">+I211+I212+I213-I228</f>
        <v>42618.835807270159</v>
      </c>
      <c r="J229" s="388">
        <f>+J211+J212+J213-J228</f>
        <v>67703.594409883226</v>
      </c>
      <c r="K229" s="388">
        <f>+K211+K212+K213-K228</f>
        <v>94588.112131656526</v>
      </c>
      <c r="L229" s="388">
        <f t="shared" si="126"/>
        <v>122505.06673965993</v>
      </c>
      <c r="M229" s="388">
        <f t="shared" si="126"/>
        <v>150573.33668347995</v>
      </c>
      <c r="N229" s="388">
        <f>+N211+N212+N213-N228</f>
        <v>177859.1468170975</v>
      </c>
      <c r="O229" s="388">
        <f t="shared" si="126"/>
        <v>203429.55586031958</v>
      </c>
      <c r="P229" s="388">
        <f t="shared" si="126"/>
        <v>226393.63864034909</v>
      </c>
      <c r="Q229" s="388">
        <f t="shared" si="126"/>
        <v>245930.22226686537</v>
      </c>
      <c r="R229" s="388">
        <f t="shared" si="126"/>
        <v>263517.55179358064</v>
      </c>
    </row>
    <row r="230" spans="2:21" outlineLevel="1" x14ac:dyDescent="0.25">
      <c r="B230" s="358"/>
      <c r="C230" s="80"/>
      <c r="D230" s="80"/>
      <c r="E230" s="80"/>
      <c r="F230" s="80"/>
      <c r="G230" s="80"/>
      <c r="H230" s="80"/>
      <c r="I230" s="80"/>
      <c r="J230" s="80"/>
      <c r="K230" s="80"/>
      <c r="L230" s="80"/>
      <c r="M230" s="80"/>
      <c r="N230" s="80"/>
      <c r="O230" s="80"/>
      <c r="P230" s="80"/>
      <c r="Q230" s="80"/>
      <c r="R230" s="80"/>
    </row>
    <row r="231" spans="2:21" outlineLevel="1" x14ac:dyDescent="0.25">
      <c r="B231" s="360" t="s">
        <v>571</v>
      </c>
      <c r="C231" s="433">
        <f>'Raw Data'!C144</f>
        <v>11660</v>
      </c>
      <c r="D231" s="433">
        <f>'Raw Data'!D144</f>
        <v>19304</v>
      </c>
      <c r="E231" s="433">
        <f>'Raw Data'!E144</f>
        <v>24423</v>
      </c>
      <c r="F231" s="433">
        <f>'Raw Data'!F144</f>
        <v>26979</v>
      </c>
      <c r="G231" s="433">
        <f>'Raw Data'!G144</f>
        <v>28434</v>
      </c>
      <c r="H231" s="388">
        <f>H229+H208</f>
        <v>35074.231352194402</v>
      </c>
      <c r="I231" s="388">
        <f>I229+I208</f>
        <v>54853.029355657258</v>
      </c>
      <c r="J231" s="388">
        <f>J229+J208</f>
        <v>77024.884732463863</v>
      </c>
      <c r="K231" s="388">
        <f>K229+K208</f>
        <v>100996.49922843072</v>
      </c>
      <c r="L231" s="388">
        <f>L229+L208</f>
        <v>126000.55061062767</v>
      </c>
      <c r="M231" s="388">
        <f t="shared" ref="M231:R231" si="127">M229+M208</f>
        <v>151155.91732864123</v>
      </c>
      <c r="N231" s="388">
        <f>N229+N208</f>
        <v>177859.1468170975</v>
      </c>
      <c r="O231" s="388">
        <f t="shared" si="127"/>
        <v>203429.55586031958</v>
      </c>
      <c r="P231" s="388">
        <f t="shared" si="127"/>
        <v>226393.63864034909</v>
      </c>
      <c r="Q231" s="388">
        <f t="shared" si="127"/>
        <v>245930.22226686537</v>
      </c>
      <c r="R231" s="388">
        <f t="shared" si="127"/>
        <v>263517.55179358064</v>
      </c>
    </row>
    <row r="232" spans="2:21" outlineLevel="1" x14ac:dyDescent="0.25">
      <c r="B232" s="358" t="s">
        <v>568</v>
      </c>
      <c r="C232" s="430">
        <f>-'Raw Data'!C146</f>
        <v>-4111</v>
      </c>
      <c r="D232" s="430">
        <f>-'Raw Data'!D146</f>
        <v>-6121</v>
      </c>
      <c r="E232" s="430">
        <f>-'Raw Data'!E146</f>
        <v>-8131</v>
      </c>
      <c r="F232" s="430">
        <f>-'Raw Data'!F146</f>
        <v>-9884</v>
      </c>
      <c r="G232" s="430">
        <f>-'Raw Data'!G146</f>
        <v>-10374</v>
      </c>
      <c r="H232" s="488"/>
      <c r="I232" s="488"/>
      <c r="J232" s="488"/>
      <c r="K232" s="488"/>
      <c r="L232" s="488"/>
      <c r="M232" s="488"/>
      <c r="N232" s="488"/>
      <c r="O232" s="488"/>
      <c r="P232" s="488"/>
      <c r="Q232" s="488"/>
      <c r="R232" s="488"/>
    </row>
    <row r="233" spans="2:21" outlineLevel="1" x14ac:dyDescent="0.25">
      <c r="B233" s="365" t="s">
        <v>570</v>
      </c>
      <c r="C233" s="391">
        <f>SUM(C231:C232)</f>
        <v>7549</v>
      </c>
      <c r="D233" s="391">
        <f t="shared" ref="D233:R233" si="128">SUM(D231:D232)</f>
        <v>13183</v>
      </c>
      <c r="E233" s="391">
        <f t="shared" si="128"/>
        <v>16292</v>
      </c>
      <c r="F233" s="391">
        <f t="shared" si="128"/>
        <v>17095</v>
      </c>
      <c r="G233" s="391">
        <f>SUM(G231:G232)</f>
        <v>18060</v>
      </c>
      <c r="H233" s="391">
        <f>SUM(H231:H232)</f>
        <v>35074.231352194402</v>
      </c>
      <c r="I233" s="391">
        <f t="shared" si="128"/>
        <v>54853.029355657258</v>
      </c>
      <c r="J233" s="391">
        <f t="shared" si="128"/>
        <v>77024.884732463863</v>
      </c>
      <c r="K233" s="391">
        <f t="shared" si="128"/>
        <v>100996.49922843072</v>
      </c>
      <c r="L233" s="391">
        <f t="shared" si="128"/>
        <v>126000.55061062767</v>
      </c>
      <c r="M233" s="391">
        <f t="shared" si="128"/>
        <v>151155.91732864123</v>
      </c>
      <c r="N233" s="391">
        <f t="shared" si="128"/>
        <v>177859.1468170975</v>
      </c>
      <c r="O233" s="391">
        <f t="shared" si="128"/>
        <v>203429.55586031958</v>
      </c>
      <c r="P233" s="391">
        <f t="shared" si="128"/>
        <v>226393.63864034909</v>
      </c>
      <c r="Q233" s="391">
        <f t="shared" si="128"/>
        <v>245930.22226686537</v>
      </c>
      <c r="R233" s="391">
        <f t="shared" si="128"/>
        <v>263517.55179358064</v>
      </c>
    </row>
    <row r="234" spans="2:21" outlineLevel="1" x14ac:dyDescent="0.25">
      <c r="B234" s="358"/>
      <c r="C234" s="23"/>
      <c r="D234" s="23"/>
      <c r="E234" s="23"/>
      <c r="F234" s="23"/>
      <c r="G234" s="23"/>
      <c r="H234" s="23"/>
      <c r="I234" s="23"/>
      <c r="J234" s="23"/>
      <c r="K234" s="23"/>
      <c r="L234" s="23"/>
      <c r="M234" s="23"/>
      <c r="N234" s="23"/>
      <c r="O234" s="23"/>
      <c r="P234" s="23"/>
      <c r="Q234" s="23"/>
      <c r="R234" s="23"/>
    </row>
    <row r="235" spans="2:21" outlineLevel="1" x14ac:dyDescent="0.25">
      <c r="B235" s="368" t="s">
        <v>565</v>
      </c>
      <c r="C235" s="482"/>
      <c r="D235" s="482"/>
      <c r="E235" s="482"/>
      <c r="F235" s="482"/>
      <c r="G235" s="482"/>
      <c r="H235" s="390">
        <f>H206+H213</f>
        <v>379.26000000000005</v>
      </c>
      <c r="I235" s="390">
        <f t="shared" ref="I235:R235" si="129">I206+I213</f>
        <v>736.55885839608243</v>
      </c>
      <c r="J235" s="390">
        <f t="shared" si="129"/>
        <v>1151.9136164688025</v>
      </c>
      <c r="K235" s="390">
        <f t="shared" si="129"/>
        <v>1617.5225793817415</v>
      </c>
      <c r="L235" s="390">
        <f t="shared" si="129"/>
        <v>2120.9264837970454</v>
      </c>
      <c r="M235" s="390">
        <f t="shared" si="129"/>
        <v>2646.0115628231815</v>
      </c>
      <c r="N235" s="390">
        <f t="shared" si="129"/>
        <v>3174.2742639014659</v>
      </c>
      <c r="O235" s="390">
        <f t="shared" si="129"/>
        <v>3735.0420831590477</v>
      </c>
      <c r="P235" s="390">
        <f t="shared" si="129"/>
        <v>4272.0206730667114</v>
      </c>
      <c r="Q235" s="390">
        <f t="shared" si="129"/>
        <v>4754.2664114473309</v>
      </c>
      <c r="R235" s="390">
        <f t="shared" si="129"/>
        <v>5164.5346676041727</v>
      </c>
    </row>
    <row r="236" spans="2:21" outlineLevel="1" x14ac:dyDescent="0.25">
      <c r="B236" s="368" t="s">
        <v>566</v>
      </c>
      <c r="C236" s="482"/>
      <c r="D236" s="482"/>
      <c r="E236" s="482"/>
      <c r="F236" s="482"/>
      <c r="G236" s="482"/>
      <c r="H236" s="390">
        <f>(-H207-H206)-H226</f>
        <v>5127.0292900287686</v>
      </c>
      <c r="I236" s="390">
        <f t="shared" ref="I236:R236" si="130">(-I207-I206)-I226</f>
        <v>7894.3434337500603</v>
      </c>
      <c r="J236" s="390">
        <f t="shared" si="130"/>
        <v>11235.032190478578</v>
      </c>
      <c r="K236" s="390">
        <f t="shared" si="130"/>
        <v>15146.881822305848</v>
      </c>
      <c r="L236" s="390">
        <f t="shared" si="130"/>
        <v>19608.096622806159</v>
      </c>
      <c r="M236" s="390">
        <f t="shared" si="130"/>
        <v>24581.814771786125</v>
      </c>
      <c r="N236" s="390">
        <f t="shared" si="130"/>
        <v>27690.905711096209</v>
      </c>
      <c r="O236" s="390">
        <f t="shared" si="130"/>
        <v>32961.517744730139</v>
      </c>
      <c r="P236" s="390">
        <f t="shared" si="130"/>
        <v>39175.473358592324</v>
      </c>
      <c r="Q236" s="390">
        <f t="shared" si="130"/>
        <v>45699.035245826613</v>
      </c>
      <c r="R236" s="390">
        <f t="shared" si="130"/>
        <v>50270.713482528699</v>
      </c>
    </row>
    <row r="237" spans="2:21" outlineLevel="1" x14ac:dyDescent="0.25">
      <c r="B237" s="368"/>
      <c r="C237" s="80"/>
      <c r="D237" s="80"/>
      <c r="E237" s="80"/>
      <c r="F237" s="80"/>
      <c r="G237" s="80"/>
      <c r="H237" s="390"/>
      <c r="I237" s="390"/>
      <c r="J237" s="390"/>
      <c r="K237" s="390"/>
      <c r="L237" s="390"/>
      <c r="M237" s="390"/>
      <c r="N237" s="390"/>
      <c r="O237" s="390"/>
      <c r="P237" s="390"/>
      <c r="Q237" s="390"/>
      <c r="R237" s="390"/>
    </row>
    <row r="238" spans="2:21" outlineLevel="1" x14ac:dyDescent="0.25">
      <c r="B238" s="368"/>
      <c r="C238" s="80"/>
      <c r="D238" s="80"/>
      <c r="E238" s="80"/>
      <c r="F238" s="80"/>
      <c r="G238" s="80"/>
      <c r="H238" s="390"/>
      <c r="I238" s="390"/>
      <c r="J238" s="390"/>
      <c r="K238" s="390"/>
      <c r="L238" s="390"/>
      <c r="M238" s="390"/>
      <c r="N238" s="390"/>
      <c r="O238" s="390"/>
      <c r="P238" s="390"/>
      <c r="Q238" s="390"/>
      <c r="R238" s="390"/>
    </row>
    <row r="239" spans="2:21" outlineLevel="1" x14ac:dyDescent="0.25">
      <c r="B239" s="356" t="s">
        <v>317</v>
      </c>
      <c r="C239" s="357"/>
      <c r="D239" s="357"/>
      <c r="E239" s="357"/>
      <c r="F239" s="357"/>
      <c r="G239" s="357"/>
      <c r="H239" s="357"/>
      <c r="I239" s="357"/>
      <c r="J239" s="357"/>
      <c r="K239" s="357"/>
      <c r="L239" s="357"/>
      <c r="M239" s="357"/>
      <c r="N239" s="357"/>
      <c r="O239" s="357"/>
      <c r="P239" s="357"/>
      <c r="Q239" s="357"/>
      <c r="R239" s="357"/>
    </row>
    <row r="240" spans="2:21" ht="5.4" customHeight="1" outlineLevel="1" x14ac:dyDescent="0.25">
      <c r="B240" s="193"/>
      <c r="C240" s="53"/>
      <c r="D240" s="53"/>
      <c r="E240" s="53"/>
      <c r="F240" s="53"/>
      <c r="G240" s="53"/>
      <c r="H240" s="53"/>
      <c r="I240" s="53"/>
      <c r="J240" s="53"/>
      <c r="K240" s="53"/>
      <c r="L240" s="53"/>
      <c r="M240" s="53"/>
      <c r="N240" s="53"/>
      <c r="O240" s="53"/>
      <c r="P240" s="53"/>
      <c r="Q240" s="53"/>
      <c r="R240" s="53"/>
    </row>
    <row r="241" spans="2:21" outlineLevel="1" x14ac:dyDescent="0.25">
      <c r="B241" s="361" t="s">
        <v>549</v>
      </c>
      <c r="C241" s="362"/>
      <c r="D241" s="362"/>
      <c r="E241" s="362"/>
      <c r="F241" s="362"/>
      <c r="G241" s="362"/>
      <c r="H241" s="362"/>
      <c r="I241" s="362"/>
      <c r="J241" s="362"/>
      <c r="K241" s="362"/>
      <c r="L241" s="362"/>
      <c r="M241" s="362"/>
      <c r="N241" s="362"/>
      <c r="O241" s="362"/>
      <c r="P241" s="362"/>
      <c r="Q241" s="362"/>
      <c r="R241" s="363"/>
    </row>
    <row r="242" spans="2:21" ht="5.4" customHeight="1" outlineLevel="1" x14ac:dyDescent="0.25">
      <c r="B242" s="293"/>
    </row>
    <row r="243" spans="2:21" outlineLevel="1" x14ac:dyDescent="0.25">
      <c r="B243" s="358" t="s">
        <v>418</v>
      </c>
      <c r="C243" s="482"/>
      <c r="D243" s="482"/>
      <c r="E243" s="482"/>
      <c r="F243" s="482"/>
      <c r="G243" s="387">
        <f t="shared" ref="G243:R243" si="131">F250</f>
        <v>25141</v>
      </c>
      <c r="H243" s="387">
        <f t="shared" si="131"/>
        <v>37553</v>
      </c>
      <c r="I243" s="387">
        <f>H250</f>
        <v>50903.3937752001</v>
      </c>
      <c r="J243" s="387">
        <f t="shared" si="131"/>
        <v>67180.6432798647</v>
      </c>
      <c r="K243" s="387">
        <f t="shared" si="131"/>
        <v>86241.553921639555</v>
      </c>
      <c r="L243" s="387">
        <f t="shared" si="131"/>
        <v>107766.28254033222</v>
      </c>
      <c r="M243" s="387">
        <f t="shared" si="131"/>
        <v>131291.07312002376</v>
      </c>
      <c r="N243" s="387">
        <f t="shared" si="131"/>
        <v>156252.0782993701</v>
      </c>
      <c r="O243" s="387">
        <f t="shared" si="131"/>
        <v>182031.26683969155</v>
      </c>
      <c r="P243" s="387">
        <f t="shared" si="131"/>
        <v>207997.53189759862</v>
      </c>
      <c r="Q243" s="387">
        <f t="shared" si="131"/>
        <v>233539.0916584736</v>
      </c>
      <c r="R243" s="387">
        <f t="shared" si="131"/>
        <v>258085.99920912521</v>
      </c>
    </row>
    <row r="244" spans="2:21" outlineLevel="1" x14ac:dyDescent="0.25">
      <c r="B244" s="358" t="s">
        <v>302</v>
      </c>
      <c r="C244" s="482"/>
      <c r="D244" s="482"/>
      <c r="E244" s="482"/>
      <c r="F244" s="482"/>
      <c r="G244" s="430">
        <f>'Raw Data'!G153</f>
        <v>16217</v>
      </c>
      <c r="H244" s="387">
        <f>+H32*'Control Panel'!$N$44</f>
        <v>17576.401674440058</v>
      </c>
      <c r="I244" s="387">
        <f>+I32*'Control Panel'!$N$44</f>
        <v>21967.775789897732</v>
      </c>
      <c r="J244" s="387">
        <f>+J32*'Control Panel'!$N$44</f>
        <v>26519.396707508571</v>
      </c>
      <c r="K244" s="387">
        <f>+K32*'Control Panel'!$N$44</f>
        <v>31053.444304742552</v>
      </c>
      <c r="L244" s="387">
        <f>+L32*'Control Panel'!$N$44</f>
        <v>35414.47099900867</v>
      </c>
      <c r="M244" s="387">
        <f>+M32*'Control Panel'!$N$44</f>
        <v>39482.877427139443</v>
      </c>
      <c r="N244" s="387">
        <f>+N32*'Control Panel'!$N$44</f>
        <v>43179.707987265581</v>
      </c>
      <c r="O244" s="387">
        <f>+O32*'Control Panel'!$N$44</f>
        <v>46464.411969483415</v>
      </c>
      <c r="P244" s="387">
        <f>+P32*'Control Panel'!$N$44</f>
        <v>49328.257149054982</v>
      </c>
      <c r="Q244" s="387">
        <f>+Q32*'Control Panel'!$N$44</f>
        <v>51786.005291605303</v>
      </c>
      <c r="R244" s="387">
        <f>+R32*'Control Panel'!$N$44</f>
        <v>53867.764805470622</v>
      </c>
    </row>
    <row r="245" spans="2:21" outlineLevel="1" x14ac:dyDescent="0.25">
      <c r="B245" s="203"/>
      <c r="C245" s="23"/>
      <c r="D245" s="23"/>
      <c r="E245" s="23"/>
      <c r="F245" s="23"/>
      <c r="G245" s="23"/>
      <c r="H245" s="23"/>
      <c r="I245" s="23"/>
      <c r="J245" s="23"/>
      <c r="K245" s="23"/>
      <c r="L245" s="23"/>
      <c r="M245" s="23"/>
      <c r="N245" s="23"/>
      <c r="O245" s="23"/>
      <c r="P245" s="23"/>
      <c r="Q245" s="23"/>
      <c r="R245" s="23"/>
    </row>
    <row r="246" spans="2:21" outlineLevel="1" x14ac:dyDescent="0.25">
      <c r="B246" s="358" t="s">
        <v>547</v>
      </c>
      <c r="C246" s="482"/>
      <c r="D246" s="482"/>
      <c r="E246" s="482"/>
      <c r="F246" s="482"/>
      <c r="G246" s="482"/>
      <c r="H246" s="387">
        <f>H258+H257</f>
        <v>-3054.2477876106195</v>
      </c>
      <c r="I246" s="387">
        <f>I258+I257</f>
        <v>-3054.2477876106195</v>
      </c>
      <c r="J246" s="387">
        <f t="shared" ref="J246:R246" si="132">J258+J257</f>
        <v>-3054.2477876106195</v>
      </c>
      <c r="K246" s="387">
        <f t="shared" si="132"/>
        <v>-3054.2477876106195</v>
      </c>
      <c r="L246" s="387">
        <f t="shared" si="132"/>
        <v>-3054.2477876106191</v>
      </c>
      <c r="M246" s="387">
        <f t="shared" si="132"/>
        <v>-3054.2477876106191</v>
      </c>
      <c r="N246" s="387">
        <f t="shared" si="132"/>
        <v>-3054.2477876106191</v>
      </c>
      <c r="O246" s="387">
        <f t="shared" si="132"/>
        <v>-3054.2477876106191</v>
      </c>
      <c r="P246" s="387">
        <f t="shared" si="132"/>
        <v>-3054.2477876106191</v>
      </c>
      <c r="Q246" s="387">
        <f t="shared" si="132"/>
        <v>-3054.2477876106191</v>
      </c>
      <c r="R246" s="387">
        <f t="shared" si="132"/>
        <v>-3054.2477876106191</v>
      </c>
      <c r="S246" s="23"/>
      <c r="T246" s="23"/>
      <c r="U246" s="23"/>
    </row>
    <row r="247" spans="2:21" outlineLevel="1" x14ac:dyDescent="0.25">
      <c r="B247" s="203" t="s">
        <v>651</v>
      </c>
      <c r="C247" s="482"/>
      <c r="D247" s="482"/>
      <c r="E247" s="482"/>
      <c r="F247" s="482"/>
      <c r="G247" s="482"/>
      <c r="H247" s="387">
        <f>-H279+H264</f>
        <v>-1171.7601116293372</v>
      </c>
      <c r="I247" s="387">
        <f>-I279+I264</f>
        <v>-2636.2784976225194</v>
      </c>
      <c r="J247" s="387">
        <f t="shared" ref="J247:R247" si="133">-J279+J264</f>
        <v>-4404.2382781230899</v>
      </c>
      <c r="K247" s="387">
        <f t="shared" si="133"/>
        <v>-6474.4678984392613</v>
      </c>
      <c r="L247" s="387">
        <f t="shared" si="133"/>
        <v>-8835.4326317065061</v>
      </c>
      <c r="M247" s="387">
        <f t="shared" si="133"/>
        <v>-11467.624460182469</v>
      </c>
      <c r="N247" s="387">
        <f t="shared" si="133"/>
        <v>-14346.27165933351</v>
      </c>
      <c r="O247" s="387">
        <f t="shared" si="133"/>
        <v>-17443.899123965737</v>
      </c>
      <c r="P247" s="387">
        <f t="shared" si="133"/>
        <v>-20732.449600569402</v>
      </c>
      <c r="Q247" s="387">
        <f t="shared" si="133"/>
        <v>-24184.849953343088</v>
      </c>
      <c r="R247" s="387">
        <f t="shared" si="133"/>
        <v>-27776.034273707795</v>
      </c>
    </row>
    <row r="248" spans="2:21" outlineLevel="1" x14ac:dyDescent="0.25">
      <c r="B248" s="372" t="s">
        <v>652</v>
      </c>
      <c r="C248" s="487"/>
      <c r="D248" s="487"/>
      <c r="E248" s="487"/>
      <c r="F248" s="487"/>
      <c r="G248" s="388">
        <f>G250-G244-G243</f>
        <v>-3805</v>
      </c>
      <c r="H248" s="388">
        <f>SUM(H246:H247)</f>
        <v>-4226.0078992399567</v>
      </c>
      <c r="I248" s="388">
        <f>SUM(I246:I247)</f>
        <v>-5690.5262852331389</v>
      </c>
      <c r="J248" s="388">
        <f t="shared" ref="J248:R248" si="134">SUM(J246:J247)</f>
        <v>-7458.4860657337094</v>
      </c>
      <c r="K248" s="388">
        <f t="shared" si="134"/>
        <v>-9528.7156860498799</v>
      </c>
      <c r="L248" s="388">
        <f t="shared" si="134"/>
        <v>-11889.680419317125</v>
      </c>
      <c r="M248" s="388">
        <f t="shared" si="134"/>
        <v>-14521.872247793088</v>
      </c>
      <c r="N248" s="388">
        <f t="shared" si="134"/>
        <v>-17400.51944694413</v>
      </c>
      <c r="O248" s="388">
        <f t="shared" si="134"/>
        <v>-20498.146911576358</v>
      </c>
      <c r="P248" s="388">
        <f t="shared" si="134"/>
        <v>-23786.697388180022</v>
      </c>
      <c r="Q248" s="388">
        <f t="shared" si="134"/>
        <v>-27239.097740953708</v>
      </c>
      <c r="R248" s="388">
        <f t="shared" si="134"/>
        <v>-30830.282061318416</v>
      </c>
    </row>
    <row r="249" spans="2:21" outlineLevel="1" x14ac:dyDescent="0.25">
      <c r="B249" s="353"/>
      <c r="C249" s="23"/>
      <c r="D249" s="23"/>
      <c r="E249" s="23"/>
      <c r="F249" s="23"/>
      <c r="G249" s="23"/>
      <c r="H249" s="355"/>
      <c r="I249" s="355"/>
      <c r="J249" s="387"/>
      <c r="K249" s="387"/>
      <c r="L249" s="387"/>
      <c r="M249" s="387"/>
      <c r="N249" s="387"/>
      <c r="O249" s="387"/>
      <c r="P249" s="387"/>
      <c r="Q249" s="387"/>
      <c r="R249" s="387"/>
      <c r="S249" s="387"/>
      <c r="T249" s="387"/>
      <c r="U249" s="387"/>
    </row>
    <row r="250" spans="2:21" outlineLevel="1" x14ac:dyDescent="0.25">
      <c r="B250" s="365" t="s">
        <v>550</v>
      </c>
      <c r="C250" s="391">
        <f>C70</f>
        <v>0</v>
      </c>
      <c r="D250" s="391">
        <f>D70</f>
        <v>0</v>
      </c>
      <c r="E250" s="391">
        <f>E70</f>
        <v>0</v>
      </c>
      <c r="F250" s="391">
        <f>F70</f>
        <v>25141</v>
      </c>
      <c r="G250" s="391">
        <f>G70</f>
        <v>37553</v>
      </c>
      <c r="H250" s="391">
        <f t="shared" ref="H250:R250" si="135">H243+H244+H248</f>
        <v>50903.3937752001</v>
      </c>
      <c r="I250" s="391">
        <f>I243+I244+I248</f>
        <v>67180.6432798647</v>
      </c>
      <c r="J250" s="391">
        <f t="shared" si="135"/>
        <v>86241.553921639555</v>
      </c>
      <c r="K250" s="391">
        <f t="shared" si="135"/>
        <v>107766.28254033222</v>
      </c>
      <c r="L250" s="391">
        <f t="shared" si="135"/>
        <v>131291.07312002376</v>
      </c>
      <c r="M250" s="391">
        <f t="shared" si="135"/>
        <v>156252.0782993701</v>
      </c>
      <c r="N250" s="391">
        <f t="shared" si="135"/>
        <v>182031.26683969155</v>
      </c>
      <c r="O250" s="391">
        <f t="shared" si="135"/>
        <v>207997.53189759862</v>
      </c>
      <c r="P250" s="391">
        <f t="shared" si="135"/>
        <v>233539.0916584736</v>
      </c>
      <c r="Q250" s="391">
        <f t="shared" si="135"/>
        <v>258085.99920912521</v>
      </c>
      <c r="R250" s="391">
        <f t="shared" si="135"/>
        <v>281123.48195327743</v>
      </c>
      <c r="S250" s="387"/>
      <c r="T250" s="387"/>
      <c r="U250" s="387"/>
    </row>
    <row r="251" spans="2:21" outlineLevel="1" x14ac:dyDescent="0.25">
      <c r="B251" s="364"/>
      <c r="C251" s="41"/>
      <c r="D251" s="41"/>
      <c r="E251" s="41"/>
      <c r="F251" s="390"/>
      <c r="G251" s="390"/>
      <c r="H251" s="390"/>
      <c r="I251" s="390"/>
      <c r="J251" s="390"/>
      <c r="K251" s="390"/>
      <c r="L251" s="390"/>
      <c r="M251" s="390"/>
      <c r="N251" s="390"/>
      <c r="O251" s="390"/>
      <c r="P251" s="390"/>
      <c r="Q251" s="390"/>
      <c r="R251" s="390"/>
      <c r="S251" s="387"/>
      <c r="T251" s="387"/>
      <c r="U251" s="387"/>
    </row>
    <row r="252" spans="2:21" outlineLevel="1" x14ac:dyDescent="0.25">
      <c r="B252" s="1"/>
      <c r="C252" s="80"/>
      <c r="D252" s="80"/>
      <c r="E252" s="80"/>
      <c r="F252" s="80"/>
      <c r="G252" s="80"/>
      <c r="H252" s="80"/>
      <c r="I252" s="80"/>
      <c r="J252" s="80"/>
      <c r="K252" s="80"/>
      <c r="L252" s="80"/>
      <c r="M252" s="80"/>
      <c r="N252" s="80"/>
      <c r="O252" s="80"/>
      <c r="P252" s="80"/>
      <c r="Q252" s="80"/>
      <c r="R252" s="80"/>
    </row>
    <row r="253" spans="2:21" outlineLevel="1" x14ac:dyDescent="0.25">
      <c r="B253" s="361" t="s">
        <v>417</v>
      </c>
      <c r="C253" s="362"/>
      <c r="D253" s="362"/>
      <c r="E253" s="362"/>
      <c r="F253" s="362"/>
      <c r="G253" s="362"/>
      <c r="H253" s="362"/>
      <c r="I253" s="362"/>
      <c r="J253" s="362"/>
      <c r="K253" s="362"/>
      <c r="L253" s="362"/>
      <c r="M253" s="362"/>
      <c r="N253" s="362"/>
      <c r="O253" s="362"/>
      <c r="P253" s="362"/>
      <c r="Q253" s="362"/>
      <c r="R253" s="363"/>
    </row>
    <row r="254" spans="2:21" ht="5.4" customHeight="1" outlineLevel="1" x14ac:dyDescent="0.25">
      <c r="C254" s="80"/>
      <c r="D254" s="80"/>
      <c r="E254" s="80"/>
      <c r="F254" s="80"/>
      <c r="G254" s="80"/>
      <c r="H254" s="80"/>
      <c r="I254" s="80"/>
      <c r="J254" s="80"/>
      <c r="K254" s="80"/>
      <c r="L254" s="80"/>
      <c r="M254" s="80"/>
      <c r="N254" s="80"/>
      <c r="O254" s="80"/>
      <c r="P254" s="80"/>
      <c r="Q254" s="80"/>
      <c r="R254" s="80"/>
    </row>
    <row r="255" spans="2:21" outlineLevel="1" x14ac:dyDescent="0.25">
      <c r="B255" s="366" t="s">
        <v>551</v>
      </c>
      <c r="C255" s="243"/>
      <c r="D255" s="243"/>
      <c r="E255" s="243"/>
      <c r="F255" s="243"/>
      <c r="G255" s="243"/>
      <c r="H255" s="243"/>
      <c r="I255" s="243"/>
      <c r="J255" s="243"/>
      <c r="K255" s="243"/>
      <c r="L255" s="243"/>
      <c r="M255" s="243"/>
      <c r="N255" s="243"/>
      <c r="O255" s="243"/>
      <c r="P255" s="243"/>
      <c r="Q255" s="243"/>
      <c r="R255" s="243"/>
    </row>
    <row r="256" spans="2:21" outlineLevel="1" x14ac:dyDescent="0.25">
      <c r="B256" s="358" t="s">
        <v>552</v>
      </c>
      <c r="C256" s="482"/>
      <c r="D256" s="482"/>
      <c r="E256" s="482"/>
      <c r="F256" s="482"/>
      <c r="G256" s="482"/>
      <c r="H256" s="387">
        <f>G284</f>
        <v>34513</v>
      </c>
      <c r="I256" s="387">
        <f t="shared" ref="I256:R256" si="136">H259</f>
        <v>31458.75221238938</v>
      </c>
      <c r="J256" s="387">
        <f t="shared" si="136"/>
        <v>28404.504424778759</v>
      </c>
      <c r="K256" s="387">
        <f t="shared" si="136"/>
        <v>25350.256637168139</v>
      </c>
      <c r="L256" s="387">
        <f t="shared" si="136"/>
        <v>22296.008849557522</v>
      </c>
      <c r="M256" s="387">
        <f t="shared" si="136"/>
        <v>19241.761061946905</v>
      </c>
      <c r="N256" s="387">
        <f t="shared" si="136"/>
        <v>16187.513274336285</v>
      </c>
      <c r="O256" s="387">
        <f t="shared" si="136"/>
        <v>13133.265486725664</v>
      </c>
      <c r="P256" s="387">
        <f t="shared" si="136"/>
        <v>10079.017699115044</v>
      </c>
      <c r="Q256" s="387">
        <f t="shared" si="136"/>
        <v>7024.7699115044252</v>
      </c>
      <c r="R256" s="387">
        <f t="shared" si="136"/>
        <v>3970.5221238938057</v>
      </c>
      <c r="S256" s="387"/>
      <c r="T256" s="387"/>
      <c r="U256" s="387"/>
    </row>
    <row r="257" spans="2:21" outlineLevel="1" x14ac:dyDescent="0.25">
      <c r="B257" s="358" t="s">
        <v>420</v>
      </c>
      <c r="C257" s="482"/>
      <c r="D257" s="482"/>
      <c r="E257" s="482"/>
      <c r="F257" s="482"/>
      <c r="G257" s="482"/>
      <c r="H257" s="387">
        <f>+(H256*'Control Panel'!$N$45)</f>
        <v>862.82500000000005</v>
      </c>
      <c r="I257" s="387">
        <f>+(I256*'Control Panel'!$N$45)</f>
        <v>786.46880530973453</v>
      </c>
      <c r="J257" s="387">
        <f>+(J256*'Control Panel'!$N$45)</f>
        <v>710.11261061946902</v>
      </c>
      <c r="K257" s="387">
        <f>+(K256*'Control Panel'!$N$45)</f>
        <v>633.75641592920351</v>
      </c>
      <c r="L257" s="387">
        <f>+(L256*'Control Panel'!$N$45)</f>
        <v>557.40022123893812</v>
      </c>
      <c r="M257" s="387">
        <f>+(M256*'Control Panel'!$N$45)</f>
        <v>481.04402654867266</v>
      </c>
      <c r="N257" s="387">
        <f>+(N256*'Control Panel'!$N$45)</f>
        <v>404.68783185840715</v>
      </c>
      <c r="O257" s="387">
        <f>+(O256*'Control Panel'!$N$45)</f>
        <v>328.33163716814164</v>
      </c>
      <c r="P257" s="387">
        <f>+(P256*'Control Panel'!$N$45)</f>
        <v>251.9754424778761</v>
      </c>
      <c r="Q257" s="387">
        <f>+(Q256*'Control Panel'!$N$45)</f>
        <v>175.61924778761065</v>
      </c>
      <c r="R257" s="387">
        <f>+(R256*'Control Panel'!$N$45)</f>
        <v>99.26305309734515</v>
      </c>
      <c r="S257" s="387"/>
      <c r="T257" s="387"/>
      <c r="U257" s="387"/>
    </row>
    <row r="258" spans="2:21" outlineLevel="1" x14ac:dyDescent="0.25">
      <c r="B258" s="358" t="s">
        <v>553</v>
      </c>
      <c r="C258" s="482"/>
      <c r="D258" s="482"/>
      <c r="E258" s="482"/>
      <c r="F258" s="482"/>
      <c r="G258" s="482"/>
      <c r="H258" s="387">
        <f>IF($H$256/'Control Panel'!$N$46&lt;H256,-$H$256/'Control Panel'!$N$46-H257,-H256-H257)</f>
        <v>-3917.0727876106193</v>
      </c>
      <c r="I258" s="387">
        <f>IF($H$256/'Control Panel'!$N$46&lt;I256,-$H$256/'Control Panel'!$N$46-I257,-I256-I257)</f>
        <v>-3840.7165929203538</v>
      </c>
      <c r="J258" s="387">
        <f>IF($H$256/'Control Panel'!$N$46&lt;J256,-$H$256/'Control Panel'!$N$46-J257,-J256-J257)</f>
        <v>-3764.3603982300883</v>
      </c>
      <c r="K258" s="387">
        <f>IF($H$256/'Control Panel'!$N$46&lt;K256,-$H$256/'Control Panel'!$N$46-K257,-K256-K257)</f>
        <v>-3688.0042035398228</v>
      </c>
      <c r="L258" s="387">
        <f>IF($H$256/'Control Panel'!$N$46&lt;L256,-$H$256/'Control Panel'!$N$46-L257,-L256-L257)</f>
        <v>-3611.6480088495573</v>
      </c>
      <c r="M258" s="387">
        <f>IF($H$256/'Control Panel'!$N$46&lt;M256,-$H$256/'Control Panel'!$N$46-M257,-M256-M257)</f>
        <v>-3535.2918141592918</v>
      </c>
      <c r="N258" s="387">
        <f>IF($H$256/'Control Panel'!$N$46&lt;N256,-$H$256/'Control Panel'!$N$46-N257,-N256-N257)</f>
        <v>-3458.9356194690263</v>
      </c>
      <c r="O258" s="387">
        <f>IF($H$256/'Control Panel'!$N$46&lt;O256,-$H$256/'Control Panel'!$N$46-O257,-O256-O257)</f>
        <v>-3382.5794247787608</v>
      </c>
      <c r="P258" s="387">
        <f>IF($H$256/'Control Panel'!$N$46&lt;P256,-$H$256/'Control Panel'!$N$46-P257,-P256-P257)</f>
        <v>-3306.2232300884953</v>
      </c>
      <c r="Q258" s="387">
        <f>IF($H$256/'Control Panel'!$N$46&lt;Q256,-$H$256/'Control Panel'!$N$46-Q257,-Q256-Q257)</f>
        <v>-3229.8670353982297</v>
      </c>
      <c r="R258" s="387">
        <f>IF($H$256/'Control Panel'!$N$46&lt;R256,-$H$256/'Control Panel'!$N$46-R257,-R256-R257)</f>
        <v>-3153.5108407079642</v>
      </c>
      <c r="S258" s="387"/>
      <c r="T258" s="387"/>
      <c r="U258" s="387"/>
    </row>
    <row r="259" spans="2:21" outlineLevel="1" x14ac:dyDescent="0.25">
      <c r="B259" s="360" t="s">
        <v>554</v>
      </c>
      <c r="C259" s="388">
        <f t="shared" ref="C259:G259" si="137">SUM(C256:C258)</f>
        <v>0</v>
      </c>
      <c r="D259" s="388">
        <f t="shared" si="137"/>
        <v>0</v>
      </c>
      <c r="E259" s="388">
        <f t="shared" si="137"/>
        <v>0</v>
      </c>
      <c r="F259" s="388">
        <f t="shared" si="137"/>
        <v>0</v>
      </c>
      <c r="G259" s="388">
        <f t="shared" si="137"/>
        <v>0</v>
      </c>
      <c r="H259" s="388">
        <f>SUM(H256:H258)</f>
        <v>31458.75221238938</v>
      </c>
      <c r="I259" s="388">
        <f t="shared" ref="I259:R259" si="138">SUM(I256:I258)</f>
        <v>28404.504424778759</v>
      </c>
      <c r="J259" s="388">
        <f t="shared" si="138"/>
        <v>25350.256637168139</v>
      </c>
      <c r="K259" s="388">
        <f t="shared" si="138"/>
        <v>22296.008849557522</v>
      </c>
      <c r="L259" s="388">
        <f t="shared" si="138"/>
        <v>19241.761061946905</v>
      </c>
      <c r="M259" s="388">
        <f t="shared" si="138"/>
        <v>16187.513274336285</v>
      </c>
      <c r="N259" s="388">
        <f t="shared" si="138"/>
        <v>13133.265486725664</v>
      </c>
      <c r="O259" s="388">
        <f t="shared" si="138"/>
        <v>10079.017699115044</v>
      </c>
      <c r="P259" s="388">
        <f t="shared" si="138"/>
        <v>7024.7699115044252</v>
      </c>
      <c r="Q259" s="388">
        <f t="shared" si="138"/>
        <v>3970.5221238938057</v>
      </c>
      <c r="R259" s="388">
        <f t="shared" si="138"/>
        <v>916.27433628318659</v>
      </c>
      <c r="S259" s="387"/>
      <c r="T259" s="387"/>
      <c r="U259" s="387"/>
    </row>
    <row r="260" spans="2:21" outlineLevel="1" x14ac:dyDescent="0.25">
      <c r="B260" s="358"/>
      <c r="C260" s="80"/>
      <c r="D260" s="80"/>
      <c r="E260" s="80"/>
      <c r="F260" s="80"/>
      <c r="G260" s="80"/>
      <c r="H260" s="80"/>
      <c r="I260" s="80"/>
      <c r="J260" s="80"/>
      <c r="K260" s="80"/>
      <c r="L260" s="80"/>
      <c r="M260" s="80"/>
      <c r="N260" s="80"/>
      <c r="O260" s="80"/>
      <c r="P260" s="80"/>
      <c r="Q260" s="80"/>
      <c r="R260" s="80"/>
    </row>
    <row r="261" spans="2:21" outlineLevel="1" x14ac:dyDescent="0.25">
      <c r="B261" s="376" t="s">
        <v>555</v>
      </c>
      <c r="C261" s="80"/>
      <c r="D261" s="80"/>
      <c r="E261" s="80"/>
      <c r="F261" s="80"/>
      <c r="G261" s="80"/>
      <c r="H261" s="80"/>
      <c r="I261" s="80"/>
      <c r="J261" s="80"/>
      <c r="K261" s="80"/>
      <c r="L261" s="80"/>
      <c r="M261" s="80"/>
      <c r="N261" s="80"/>
      <c r="O261" s="80"/>
      <c r="P261" s="80"/>
      <c r="Q261" s="80"/>
      <c r="R261" s="80"/>
    </row>
    <row r="262" spans="2:21" outlineLevel="1" x14ac:dyDescent="0.25">
      <c r="B262" s="360" t="s">
        <v>556</v>
      </c>
      <c r="C262" s="487"/>
      <c r="D262" s="487"/>
      <c r="E262" s="487"/>
      <c r="F262" s="487"/>
      <c r="G262" s="487"/>
      <c r="H262" s="388">
        <v>0</v>
      </c>
      <c r="I262" s="388">
        <f>H280</f>
        <v>16404.641562810721</v>
      </c>
      <c r="J262" s="388">
        <f t="shared" ref="J262:R262" si="139">I280</f>
        <v>35736.138855085934</v>
      </c>
      <c r="K262" s="388">
        <f t="shared" si="139"/>
        <v>57851.297284471417</v>
      </c>
      <c r="L262" s="388">
        <f t="shared" si="139"/>
        <v>82430.273690774702</v>
      </c>
      <c r="M262" s="388">
        <f t="shared" si="139"/>
        <v>109009.31205807687</v>
      </c>
      <c r="N262" s="388">
        <f t="shared" si="139"/>
        <v>137024.56502503384</v>
      </c>
      <c r="O262" s="388">
        <f t="shared" si="139"/>
        <v>165858.00135296589</v>
      </c>
      <c r="P262" s="388">
        <f t="shared" si="139"/>
        <v>194878.51419848355</v>
      </c>
      <c r="Q262" s="388">
        <f t="shared" si="139"/>
        <v>223474.32174696913</v>
      </c>
      <c r="R262" s="388">
        <f t="shared" si="139"/>
        <v>251075.47708523134</v>
      </c>
      <c r="S262" s="387"/>
      <c r="T262" s="387"/>
      <c r="U262" s="387"/>
    </row>
    <row r="263" spans="2:21" outlineLevel="1" x14ac:dyDescent="0.25">
      <c r="B263" s="358" t="s">
        <v>302</v>
      </c>
      <c r="C263" s="482"/>
      <c r="D263" s="482"/>
      <c r="E263" s="482"/>
      <c r="F263" s="482"/>
      <c r="G263" s="482"/>
      <c r="H263" s="387">
        <f t="shared" ref="H263:R263" si="140">H244</f>
        <v>17576.401674440058</v>
      </c>
      <c r="I263" s="387">
        <f t="shared" si="140"/>
        <v>21967.775789897732</v>
      </c>
      <c r="J263" s="387">
        <f t="shared" si="140"/>
        <v>26519.396707508571</v>
      </c>
      <c r="K263" s="387">
        <f t="shared" si="140"/>
        <v>31053.444304742552</v>
      </c>
      <c r="L263" s="387">
        <f t="shared" si="140"/>
        <v>35414.47099900867</v>
      </c>
      <c r="M263" s="387">
        <f t="shared" si="140"/>
        <v>39482.877427139443</v>
      </c>
      <c r="N263" s="387">
        <f t="shared" si="140"/>
        <v>43179.707987265581</v>
      </c>
      <c r="O263" s="387">
        <f t="shared" si="140"/>
        <v>46464.411969483415</v>
      </c>
      <c r="P263" s="387">
        <f t="shared" si="140"/>
        <v>49328.257149054982</v>
      </c>
      <c r="Q263" s="387">
        <f t="shared" si="140"/>
        <v>51786.005291605303</v>
      </c>
      <c r="R263" s="387">
        <f t="shared" si="140"/>
        <v>53867.764805470622</v>
      </c>
      <c r="S263" s="387"/>
      <c r="T263" s="387"/>
      <c r="U263" s="387"/>
    </row>
    <row r="264" spans="2:21" outlineLevel="1" x14ac:dyDescent="0.25">
      <c r="B264" s="358" t="s">
        <v>420</v>
      </c>
      <c r="C264" s="482"/>
      <c r="D264" s="482"/>
      <c r="E264" s="482"/>
      <c r="F264" s="482"/>
      <c r="G264" s="482"/>
      <c r="H264" s="387">
        <f>+(H262*'Control Panel'!$N$45)</f>
        <v>0</v>
      </c>
      <c r="I264" s="387">
        <f>+(I262*'Control Panel'!$N$45)</f>
        <v>410.11603907026802</v>
      </c>
      <c r="J264" s="387">
        <f>+(J262*'Control Panel'!$N$45)</f>
        <v>893.40347137714843</v>
      </c>
      <c r="K264" s="387">
        <f>+(K262*'Control Panel'!$N$45)</f>
        <v>1446.2824321117855</v>
      </c>
      <c r="L264" s="387">
        <f>+(L262*'Control Panel'!$N$45)</f>
        <v>2060.7568422693676</v>
      </c>
      <c r="M264" s="387">
        <f>+(M262*'Control Panel'!$N$45)</f>
        <v>2725.2328014519221</v>
      </c>
      <c r="N264" s="387">
        <f>+(N262*'Control Panel'!$N$45)</f>
        <v>3425.6141256258461</v>
      </c>
      <c r="O264" s="387">
        <f>+(O262*'Control Panel'!$N$45)</f>
        <v>4146.4500338241478</v>
      </c>
      <c r="P264" s="387">
        <f>+(P262*'Control Panel'!$N$45)</f>
        <v>4871.9628549620893</v>
      </c>
      <c r="Q264" s="387">
        <f>+(Q262*'Control Panel'!$N$45)</f>
        <v>5586.8580436742286</v>
      </c>
      <c r="R264" s="387">
        <f>+(R262*'Control Panel'!$N$45)</f>
        <v>6276.886927130784</v>
      </c>
      <c r="S264" s="387"/>
      <c r="T264" s="387"/>
      <c r="U264" s="387"/>
    </row>
    <row r="265" spans="2:21" outlineLevel="1" x14ac:dyDescent="0.25">
      <c r="B265" s="364" t="s">
        <v>560</v>
      </c>
      <c r="C265" s="80"/>
      <c r="D265" s="80"/>
      <c r="E265" s="80"/>
      <c r="F265" s="80"/>
      <c r="G265" s="80"/>
      <c r="H265" s="80"/>
      <c r="I265" s="80"/>
      <c r="J265" s="80"/>
      <c r="K265" s="80"/>
      <c r="M265" s="80"/>
      <c r="N265" s="80"/>
      <c r="O265" s="80"/>
      <c r="P265" s="80"/>
      <c r="Q265" s="80"/>
      <c r="R265" s="80"/>
      <c r="T265" s="80"/>
    </row>
    <row r="266" spans="2:21" outlineLevel="1" x14ac:dyDescent="0.25">
      <c r="B266" s="353">
        <f>$H$139</f>
        <v>2021</v>
      </c>
      <c r="C266" s="482"/>
      <c r="D266" s="482"/>
      <c r="E266" s="482"/>
      <c r="F266" s="482"/>
      <c r="G266" s="482"/>
      <c r="H266" s="387">
        <f>-H$263/'Control Panel'!$N$47</f>
        <v>-1171.7601116293372</v>
      </c>
      <c r="I266" s="387">
        <f>IF(I$139&gt;$B266+'Control Panel'!$N$47-1,0,H266)</f>
        <v>-1171.7601116293372</v>
      </c>
      <c r="J266" s="387">
        <f>IF(J$139&gt;$B266+'Control Panel'!$N$47-1,0,I266)</f>
        <v>-1171.7601116293372</v>
      </c>
      <c r="K266" s="387">
        <f>IF(K$139&gt;$B266+'Control Panel'!$N$47-1,0,J266)</f>
        <v>-1171.7601116293372</v>
      </c>
      <c r="L266" s="387">
        <f>IF(L$139&gt;$B266+'Control Panel'!$N$47-1,0,K266)</f>
        <v>-1171.7601116293372</v>
      </c>
      <c r="M266" s="387">
        <f>IF(M$139&gt;$B266+'Control Panel'!$N$47-1,0,L266)</f>
        <v>-1171.7601116293372</v>
      </c>
      <c r="N266" s="387">
        <f>IF(N$139&gt;$B266+'Control Panel'!$N$47-1,0,M266)</f>
        <v>-1171.7601116293372</v>
      </c>
      <c r="O266" s="387">
        <f>IF(O$139&gt;$B266+'Control Panel'!$N$47-1,0,N266)</f>
        <v>-1171.7601116293372</v>
      </c>
      <c r="P266" s="387">
        <f>IF(P$139&gt;$B266+'Control Panel'!$N$47-1,0,O266)</f>
        <v>-1171.7601116293372</v>
      </c>
      <c r="Q266" s="387">
        <f>IF(Q$139&gt;$B266+'Control Panel'!$N$47-1,0,P266)</f>
        <v>-1171.7601116293372</v>
      </c>
      <c r="R266" s="387">
        <f>IF(R$139&gt;$B266+'Control Panel'!$N$47-1,0,Q266)</f>
        <v>-1171.7601116293372</v>
      </c>
      <c r="S266" s="387"/>
      <c r="T266" s="387"/>
      <c r="U266" s="387"/>
    </row>
    <row r="267" spans="2:21" outlineLevel="1" x14ac:dyDescent="0.25">
      <c r="B267" s="353">
        <f>+B266+1</f>
        <v>2022</v>
      </c>
      <c r="C267" s="482"/>
      <c r="D267" s="482"/>
      <c r="E267" s="482"/>
      <c r="F267" s="482"/>
      <c r="G267" s="482"/>
      <c r="H267" s="482"/>
      <c r="I267" s="387">
        <f>-I$263/'Control Panel'!$N$47</f>
        <v>-1464.5183859931822</v>
      </c>
      <c r="J267" s="387">
        <f>IF(J$139&gt;$B267+'Control Panel'!$N$47-1,0,I267)</f>
        <v>-1464.5183859931822</v>
      </c>
      <c r="K267" s="387">
        <f>IF(K$139&gt;$B267+'Control Panel'!$N$47-1,0,J267)</f>
        <v>-1464.5183859931822</v>
      </c>
      <c r="L267" s="387">
        <f>IF(L$139&gt;$B267+'Control Panel'!$N$47-1,0,K267)</f>
        <v>-1464.5183859931822</v>
      </c>
      <c r="M267" s="387">
        <f>IF(M$139&gt;$B267+'Control Panel'!$N$47-1,0,L267)</f>
        <v>-1464.5183859931822</v>
      </c>
      <c r="N267" s="387">
        <f>IF(N$139&gt;$B267+'Control Panel'!$N$47-1,0,M267)</f>
        <v>-1464.5183859931822</v>
      </c>
      <c r="O267" s="387">
        <f>IF(O$139&gt;$B267+'Control Panel'!$N$47-1,0,N267)</f>
        <v>-1464.5183859931822</v>
      </c>
      <c r="P267" s="387">
        <f>IF(P$139&gt;$B267+'Control Panel'!$N$47-1,0,O267)</f>
        <v>-1464.5183859931822</v>
      </c>
      <c r="Q267" s="387">
        <f>IF(Q$139&gt;$B267+'Control Panel'!$N$47-1,0,P267)</f>
        <v>-1464.5183859931822</v>
      </c>
      <c r="R267" s="387">
        <f>IF(R$139&gt;$B267+'Control Panel'!$N$47-1,0,Q267)</f>
        <v>-1464.5183859931822</v>
      </c>
      <c r="S267" s="387"/>
      <c r="T267" s="387"/>
      <c r="U267" s="387"/>
    </row>
    <row r="268" spans="2:21" outlineLevel="1" x14ac:dyDescent="0.25">
      <c r="B268" s="353">
        <f t="shared" ref="B268:B276" si="141">+B267+1</f>
        <v>2023</v>
      </c>
      <c r="C268" s="482"/>
      <c r="D268" s="482"/>
      <c r="E268" s="482"/>
      <c r="F268" s="482"/>
      <c r="G268" s="482"/>
      <c r="H268" s="482"/>
      <c r="I268" s="482"/>
      <c r="J268" s="387">
        <f>-J$263/'Control Panel'!$N$47</f>
        <v>-1767.9597805005715</v>
      </c>
      <c r="K268" s="387">
        <f>IF(K$139&gt;$B268+'Control Panel'!$N$47-1,0,J268)</f>
        <v>-1767.9597805005715</v>
      </c>
      <c r="L268" s="387">
        <f>IF(L$139&gt;$B268+'Control Panel'!$N$47-1,0,K268)</f>
        <v>-1767.9597805005715</v>
      </c>
      <c r="M268" s="387">
        <f>IF(M$139&gt;$B268+'Control Panel'!$N$47-1,0,L268)</f>
        <v>-1767.9597805005715</v>
      </c>
      <c r="N268" s="387">
        <f>IF(N$139&gt;$B268+'Control Panel'!$N$47-1,0,M268)</f>
        <v>-1767.9597805005715</v>
      </c>
      <c r="O268" s="387">
        <f>IF(O$139&gt;$B268+'Control Panel'!$N$47-1,0,N268)</f>
        <v>-1767.9597805005715</v>
      </c>
      <c r="P268" s="387">
        <f>IF(P$139&gt;$B268+'Control Panel'!$N$47-1,0,O268)</f>
        <v>-1767.9597805005715</v>
      </c>
      <c r="Q268" s="387">
        <f>IF(Q$139&gt;$B268+'Control Panel'!$N$47-1,0,P268)</f>
        <v>-1767.9597805005715</v>
      </c>
      <c r="R268" s="387">
        <f>IF(R$139&gt;$B268+'Control Panel'!$N$47-1,0,Q268)</f>
        <v>-1767.9597805005715</v>
      </c>
      <c r="S268" s="387"/>
      <c r="T268" s="387"/>
      <c r="U268" s="387"/>
    </row>
    <row r="269" spans="2:21" outlineLevel="1" x14ac:dyDescent="0.25">
      <c r="B269" s="353">
        <f t="shared" si="141"/>
        <v>2024</v>
      </c>
      <c r="C269" s="482"/>
      <c r="D269" s="482"/>
      <c r="E269" s="482"/>
      <c r="F269" s="482"/>
      <c r="G269" s="482"/>
      <c r="H269" s="482"/>
      <c r="I269" s="482"/>
      <c r="J269" s="482"/>
      <c r="K269" s="387">
        <f>-K$263/'Control Panel'!$N$47</f>
        <v>-2070.22962031617</v>
      </c>
      <c r="L269" s="387">
        <f>IF(L$139&gt;$B269+'Control Panel'!$N$47-1,0,K269)</f>
        <v>-2070.22962031617</v>
      </c>
      <c r="M269" s="387">
        <f>IF(M$139&gt;$B269+'Control Panel'!$N$47-1,0,L269)</f>
        <v>-2070.22962031617</v>
      </c>
      <c r="N269" s="387">
        <f>IF(N$139&gt;$B269+'Control Panel'!$N$47-1,0,M269)</f>
        <v>-2070.22962031617</v>
      </c>
      <c r="O269" s="387">
        <f>IF(O$139&gt;$B269+'Control Panel'!$N$47-1,0,N269)</f>
        <v>-2070.22962031617</v>
      </c>
      <c r="P269" s="387">
        <f>IF(P$139&gt;$B269+'Control Panel'!$N$47-1,0,O269)</f>
        <v>-2070.22962031617</v>
      </c>
      <c r="Q269" s="387">
        <f>IF(Q$139&gt;$B269+'Control Panel'!$N$47-1,0,P269)</f>
        <v>-2070.22962031617</v>
      </c>
      <c r="R269" s="387">
        <f>IF(R$139&gt;$B269+'Control Panel'!$N$47-1,0,Q269)</f>
        <v>-2070.22962031617</v>
      </c>
      <c r="S269" s="387"/>
      <c r="T269" s="387"/>
      <c r="U269" s="387"/>
    </row>
    <row r="270" spans="2:21" outlineLevel="1" x14ac:dyDescent="0.25">
      <c r="B270" s="353">
        <f t="shared" si="141"/>
        <v>2025</v>
      </c>
      <c r="C270" s="482"/>
      <c r="D270" s="482"/>
      <c r="E270" s="482"/>
      <c r="F270" s="482"/>
      <c r="G270" s="482"/>
      <c r="H270" s="482"/>
      <c r="I270" s="482"/>
      <c r="J270" s="482"/>
      <c r="K270" s="482"/>
      <c r="L270" s="387">
        <f>-L$263/'Control Panel'!$N$47</f>
        <v>-2360.9647332672448</v>
      </c>
      <c r="M270" s="387">
        <f>IF(M$139&gt;$B270+'Control Panel'!$N$47-1,0,L270)</f>
        <v>-2360.9647332672448</v>
      </c>
      <c r="N270" s="387">
        <f>IF(N$139&gt;$B270+'Control Panel'!$N$47-1,0,M270)</f>
        <v>-2360.9647332672448</v>
      </c>
      <c r="O270" s="387">
        <f>IF(O$139&gt;$B270+'Control Panel'!$N$47-1,0,N270)</f>
        <v>-2360.9647332672448</v>
      </c>
      <c r="P270" s="387">
        <f>IF(P$139&gt;$B270+'Control Panel'!$N$47-1,0,O270)</f>
        <v>-2360.9647332672448</v>
      </c>
      <c r="Q270" s="387">
        <f>IF(Q$139&gt;$B270+'Control Panel'!$N$47-1,0,P270)</f>
        <v>-2360.9647332672448</v>
      </c>
      <c r="R270" s="387">
        <f>IF(R$139&gt;$B270+'Control Panel'!$N$47-1,0,Q270)</f>
        <v>-2360.9647332672448</v>
      </c>
      <c r="S270" s="387"/>
      <c r="T270" s="387"/>
      <c r="U270" s="387"/>
    </row>
    <row r="271" spans="2:21" outlineLevel="1" x14ac:dyDescent="0.25">
      <c r="B271" s="353">
        <f t="shared" si="141"/>
        <v>2026</v>
      </c>
      <c r="C271" s="482"/>
      <c r="D271" s="482"/>
      <c r="E271" s="482"/>
      <c r="F271" s="482"/>
      <c r="G271" s="482"/>
      <c r="H271" s="482"/>
      <c r="I271" s="482"/>
      <c r="J271" s="482"/>
      <c r="K271" s="482"/>
      <c r="L271" s="482"/>
      <c r="M271" s="387">
        <f>-M$263/'Control Panel'!$N$47</f>
        <v>-2632.1918284759627</v>
      </c>
      <c r="N271" s="387">
        <f>IF(N$139&gt;$B271+'Control Panel'!$N$47-1,0,M271)</f>
        <v>-2632.1918284759627</v>
      </c>
      <c r="O271" s="387">
        <f>IF(O$139&gt;$B271+'Control Panel'!$N$47-1,0,N271)</f>
        <v>-2632.1918284759627</v>
      </c>
      <c r="P271" s="387">
        <f>IF(P$139&gt;$B271+'Control Panel'!$N$47-1,0,O271)</f>
        <v>-2632.1918284759627</v>
      </c>
      <c r="Q271" s="387">
        <f>IF(Q$139&gt;$B271+'Control Panel'!$N$47-1,0,P271)</f>
        <v>-2632.1918284759627</v>
      </c>
      <c r="R271" s="387">
        <f>IF(R$139&gt;$B271+'Control Panel'!$N$47-1,0,Q271)</f>
        <v>-2632.1918284759627</v>
      </c>
      <c r="S271" s="387"/>
      <c r="T271" s="387"/>
      <c r="U271" s="387"/>
    </row>
    <row r="272" spans="2:21" outlineLevel="1" x14ac:dyDescent="0.25">
      <c r="B272" s="353">
        <f t="shared" si="141"/>
        <v>2027</v>
      </c>
      <c r="C272" s="482"/>
      <c r="D272" s="482"/>
      <c r="E272" s="482"/>
      <c r="F272" s="482"/>
      <c r="G272" s="482"/>
      <c r="H272" s="482"/>
      <c r="I272" s="482"/>
      <c r="J272" s="482"/>
      <c r="K272" s="482"/>
      <c r="L272" s="482"/>
      <c r="M272" s="482"/>
      <c r="N272" s="387">
        <f>-N$263/'Control Panel'!$N$47</f>
        <v>-2878.6471991510389</v>
      </c>
      <c r="O272" s="387">
        <f>IF(O$139&gt;$B272+'Control Panel'!$N$47-1,0,N272)</f>
        <v>-2878.6471991510389</v>
      </c>
      <c r="P272" s="387">
        <f>IF(P$139&gt;$B272+'Control Panel'!$N$47-1,0,O272)</f>
        <v>-2878.6471991510389</v>
      </c>
      <c r="Q272" s="387">
        <f>IF(Q$139&gt;$B272+'Control Panel'!$N$47-1,0,P272)</f>
        <v>-2878.6471991510389</v>
      </c>
      <c r="R272" s="387">
        <f>IF(R$139&gt;$B272+'Control Panel'!$N$47-1,0,Q272)</f>
        <v>-2878.6471991510389</v>
      </c>
      <c r="S272" s="387"/>
      <c r="T272" s="387"/>
      <c r="U272" s="387"/>
    </row>
    <row r="273" spans="2:21" outlineLevel="1" x14ac:dyDescent="0.25">
      <c r="B273" s="353">
        <f t="shared" si="141"/>
        <v>2028</v>
      </c>
      <c r="C273" s="482"/>
      <c r="D273" s="482"/>
      <c r="E273" s="482"/>
      <c r="F273" s="482"/>
      <c r="G273" s="482"/>
      <c r="H273" s="482"/>
      <c r="I273" s="482"/>
      <c r="J273" s="482"/>
      <c r="K273" s="482"/>
      <c r="L273" s="482"/>
      <c r="M273" s="482"/>
      <c r="N273" s="482"/>
      <c r="O273" s="387">
        <f>-O$263/'Control Panel'!$N$47</f>
        <v>-3097.6274646322277</v>
      </c>
      <c r="P273" s="387">
        <f>IF(P$139&gt;$B273+'Control Panel'!$N$47-1,0,O273)</f>
        <v>-3097.6274646322277</v>
      </c>
      <c r="Q273" s="387">
        <f>IF(Q$139&gt;$B273+'Control Panel'!$N$47-1,0,P273)</f>
        <v>-3097.6274646322277</v>
      </c>
      <c r="R273" s="387">
        <f>IF(R$139&gt;$B273+'Control Panel'!$N$47-1,0,Q273)</f>
        <v>-3097.6274646322277</v>
      </c>
      <c r="S273" s="387"/>
      <c r="T273" s="387"/>
      <c r="U273" s="387"/>
    </row>
    <row r="274" spans="2:21" outlineLevel="1" x14ac:dyDescent="0.25">
      <c r="B274" s="353">
        <f t="shared" si="141"/>
        <v>2029</v>
      </c>
      <c r="C274" s="482"/>
      <c r="D274" s="482"/>
      <c r="E274" s="482"/>
      <c r="F274" s="482"/>
      <c r="G274" s="482"/>
      <c r="H274" s="482"/>
      <c r="I274" s="482"/>
      <c r="J274" s="482"/>
      <c r="K274" s="482"/>
      <c r="L274" s="482"/>
      <c r="M274" s="482"/>
      <c r="N274" s="482"/>
      <c r="O274" s="482"/>
      <c r="P274" s="387">
        <f>-P$263/'Control Panel'!$N$47</f>
        <v>-3288.5504766036656</v>
      </c>
      <c r="Q274" s="387">
        <f>IF(Q$139&gt;$B274+'Control Panel'!$N$47-1,0,P274)</f>
        <v>-3288.5504766036656</v>
      </c>
      <c r="R274" s="387">
        <f>IF(R$139&gt;$B274+'Control Panel'!$N$47-1,0,Q274)</f>
        <v>-3288.5504766036656</v>
      </c>
      <c r="S274" s="387"/>
      <c r="T274" s="387"/>
      <c r="U274" s="387"/>
    </row>
    <row r="275" spans="2:21" outlineLevel="1" x14ac:dyDescent="0.25">
      <c r="B275" s="353">
        <f t="shared" si="141"/>
        <v>2030</v>
      </c>
      <c r="C275" s="482"/>
      <c r="D275" s="482"/>
      <c r="E275" s="482"/>
      <c r="F275" s="482"/>
      <c r="G275" s="482"/>
      <c r="H275" s="482"/>
      <c r="I275" s="482"/>
      <c r="J275" s="482"/>
      <c r="K275" s="482"/>
      <c r="L275" s="482"/>
      <c r="M275" s="482"/>
      <c r="N275" s="482"/>
      <c r="O275" s="482"/>
      <c r="P275" s="482"/>
      <c r="Q275" s="387">
        <f>-Q$263/'Control Panel'!$N$47</f>
        <v>-3452.4003527736868</v>
      </c>
      <c r="R275" s="387">
        <f>IF(R$139&gt;$B275+'Control Panel'!$N$47-1,0,Q275)</f>
        <v>-3452.4003527736868</v>
      </c>
      <c r="S275" s="387"/>
      <c r="T275" s="387"/>
      <c r="U275" s="387"/>
    </row>
    <row r="276" spans="2:21" outlineLevel="1" x14ac:dyDescent="0.25">
      <c r="B276" s="353">
        <f t="shared" si="141"/>
        <v>2031</v>
      </c>
      <c r="C276" s="489"/>
      <c r="D276" s="489"/>
      <c r="E276" s="489"/>
      <c r="F276" s="489"/>
      <c r="G276" s="489"/>
      <c r="H276" s="489"/>
      <c r="I276" s="489"/>
      <c r="J276" s="489"/>
      <c r="K276" s="489"/>
      <c r="L276" s="489"/>
      <c r="M276" s="489"/>
      <c r="N276" s="489"/>
      <c r="O276" s="489"/>
      <c r="P276" s="489"/>
      <c r="Q276" s="489"/>
      <c r="R276" s="387">
        <f>-R$263/'Control Panel'!$N$47</f>
        <v>-3591.1843203647081</v>
      </c>
      <c r="S276" s="387"/>
      <c r="T276" s="387"/>
      <c r="U276" s="387"/>
    </row>
    <row r="277" spans="2:21" outlineLevel="1" x14ac:dyDescent="0.25">
      <c r="B277" s="354" t="s">
        <v>557</v>
      </c>
      <c r="C277" s="387">
        <f t="shared" ref="C277:G277" si="142">SUM(C266:C276)</f>
        <v>0</v>
      </c>
      <c r="D277" s="387">
        <f t="shared" si="142"/>
        <v>0</v>
      </c>
      <c r="E277" s="387">
        <f t="shared" si="142"/>
        <v>0</v>
      </c>
      <c r="F277" s="387">
        <f t="shared" si="142"/>
        <v>0</v>
      </c>
      <c r="G277" s="387">
        <f t="shared" si="142"/>
        <v>0</v>
      </c>
      <c r="H277" s="387">
        <f>SUM(H266:H276)</f>
        <v>-1171.7601116293372</v>
      </c>
      <c r="I277" s="387">
        <f t="shared" ref="I277:R277" si="143">SUM(I266:I276)</f>
        <v>-2636.2784976225194</v>
      </c>
      <c r="J277" s="387">
        <f t="shared" si="143"/>
        <v>-4404.2382781230908</v>
      </c>
      <c r="K277" s="387">
        <f t="shared" si="143"/>
        <v>-6474.4678984392613</v>
      </c>
      <c r="L277" s="387">
        <f>SUM(L266:L276)</f>
        <v>-8835.4326317065061</v>
      </c>
      <c r="M277" s="387">
        <f t="shared" si="143"/>
        <v>-11467.624460182469</v>
      </c>
      <c r="N277" s="387">
        <f t="shared" si="143"/>
        <v>-14346.271659333508</v>
      </c>
      <c r="O277" s="387">
        <f t="shared" si="143"/>
        <v>-17443.899123965737</v>
      </c>
      <c r="P277" s="387">
        <f t="shared" si="143"/>
        <v>-20732.449600569402</v>
      </c>
      <c r="Q277" s="387">
        <f t="shared" si="143"/>
        <v>-24184.849953343088</v>
      </c>
      <c r="R277" s="387">
        <f t="shared" si="143"/>
        <v>-27776.034273707795</v>
      </c>
      <c r="S277" s="387"/>
      <c r="T277" s="387"/>
      <c r="U277" s="387"/>
    </row>
    <row r="278" spans="2:21" outlineLevel="1" x14ac:dyDescent="0.25">
      <c r="C278" s="80"/>
      <c r="D278" s="80"/>
      <c r="E278" s="80"/>
      <c r="F278" s="80"/>
      <c r="G278" s="80"/>
      <c r="H278" s="80"/>
      <c r="I278" s="80"/>
      <c r="J278" s="80"/>
      <c r="K278" s="80"/>
      <c r="L278" s="80"/>
      <c r="M278" s="80"/>
      <c r="N278" s="80"/>
      <c r="O278" s="80"/>
      <c r="P278" s="80"/>
      <c r="Q278" s="80"/>
      <c r="R278" s="80"/>
    </row>
    <row r="279" spans="2:21" outlineLevel="1" x14ac:dyDescent="0.25">
      <c r="B279" s="353" t="s">
        <v>558</v>
      </c>
      <c r="C279" s="387">
        <f t="shared" ref="C279:D279" si="144">-C277+C264</f>
        <v>0</v>
      </c>
      <c r="D279" s="387">
        <f t="shared" si="144"/>
        <v>0</v>
      </c>
      <c r="E279" s="387">
        <f t="shared" ref="E279:G279" si="145">-E277+E264</f>
        <v>0</v>
      </c>
      <c r="F279" s="387">
        <f t="shared" si="145"/>
        <v>0</v>
      </c>
      <c r="G279" s="387">
        <f t="shared" si="145"/>
        <v>0</v>
      </c>
      <c r="H279" s="387">
        <f>-H277+H264</f>
        <v>1171.7601116293372</v>
      </c>
      <c r="I279" s="387">
        <f>-I277+I264</f>
        <v>3046.3945366927874</v>
      </c>
      <c r="J279" s="387">
        <f>-J277+J264</f>
        <v>5297.6417495002388</v>
      </c>
      <c r="K279" s="387">
        <f t="shared" ref="K279:R279" si="146">-K277+K264</f>
        <v>7920.7503305510472</v>
      </c>
      <c r="L279" s="387">
        <f>-L277+L264</f>
        <v>10896.189473975874</v>
      </c>
      <c r="M279" s="387">
        <f t="shared" si="146"/>
        <v>14192.857261634392</v>
      </c>
      <c r="N279" s="387">
        <f t="shared" si="146"/>
        <v>17771.885784959355</v>
      </c>
      <c r="O279" s="387">
        <f t="shared" si="146"/>
        <v>21590.349157789886</v>
      </c>
      <c r="P279" s="387">
        <f t="shared" si="146"/>
        <v>25604.412455531492</v>
      </c>
      <c r="Q279" s="387">
        <f t="shared" si="146"/>
        <v>29771.707997017314</v>
      </c>
      <c r="R279" s="387">
        <f t="shared" si="146"/>
        <v>34052.92120083858</v>
      </c>
      <c r="S279" s="387"/>
      <c r="T279" s="387"/>
      <c r="U279" s="387"/>
    </row>
    <row r="280" spans="2:21" outlineLevel="1" x14ac:dyDescent="0.25">
      <c r="B280" s="360" t="s">
        <v>559</v>
      </c>
      <c r="C280" s="388">
        <f t="shared" ref="C280" si="147">+C262+C263+C264-C279</f>
        <v>0</v>
      </c>
      <c r="D280" s="388">
        <f t="shared" ref="D280" si="148">+D262+D263+D264-D279</f>
        <v>0</v>
      </c>
      <c r="E280" s="388">
        <f t="shared" ref="E280:G280" si="149">+E262+E263+E264-E279</f>
        <v>0</v>
      </c>
      <c r="F280" s="388">
        <f t="shared" si="149"/>
        <v>0</v>
      </c>
      <c r="G280" s="388">
        <f t="shared" si="149"/>
        <v>0</v>
      </c>
      <c r="H280" s="388">
        <f>+H262+H263+H264-H279</f>
        <v>16404.641562810721</v>
      </c>
      <c r="I280" s="388">
        <f>+I262+I263+I264-I279</f>
        <v>35736.138855085934</v>
      </c>
      <c r="J280" s="388">
        <f t="shared" ref="J280:R280" si="150">+J262+J263+J264-J279</f>
        <v>57851.297284471417</v>
      </c>
      <c r="K280" s="388">
        <f t="shared" si="150"/>
        <v>82430.273690774702</v>
      </c>
      <c r="L280" s="388">
        <f t="shared" si="150"/>
        <v>109009.31205807687</v>
      </c>
      <c r="M280" s="388">
        <f t="shared" si="150"/>
        <v>137024.56502503384</v>
      </c>
      <c r="N280" s="388">
        <f t="shared" si="150"/>
        <v>165858.00135296589</v>
      </c>
      <c r="O280" s="388">
        <f t="shared" si="150"/>
        <v>194878.51419848355</v>
      </c>
      <c r="P280" s="388">
        <f t="shared" si="150"/>
        <v>223474.32174696913</v>
      </c>
      <c r="Q280" s="388">
        <f t="shared" si="150"/>
        <v>251075.47708523134</v>
      </c>
      <c r="R280" s="388">
        <f t="shared" si="150"/>
        <v>277167.20761699416</v>
      </c>
      <c r="S280" s="387"/>
      <c r="T280" s="387"/>
      <c r="U280" s="387"/>
    </row>
    <row r="281" spans="2:21" ht="5.4" customHeight="1" outlineLevel="1" x14ac:dyDescent="0.25">
      <c r="B281" s="358"/>
      <c r="C281" s="80"/>
      <c r="D281" s="80"/>
      <c r="E281" s="80"/>
      <c r="F281" s="80"/>
      <c r="G281" s="80"/>
      <c r="H281" s="80"/>
      <c r="I281" s="80"/>
      <c r="J281" s="80"/>
      <c r="K281" s="80"/>
      <c r="L281" s="80"/>
      <c r="M281" s="80"/>
      <c r="N281" s="80"/>
      <c r="O281" s="80"/>
      <c r="P281" s="80"/>
      <c r="Q281" s="80"/>
      <c r="R281" s="80"/>
    </row>
    <row r="282" spans="2:21" outlineLevel="1" x14ac:dyDescent="0.25">
      <c r="B282" s="360" t="s">
        <v>564</v>
      </c>
      <c r="C282" s="493"/>
      <c r="D282" s="493"/>
      <c r="E282" s="433">
        <f>'Raw Data'!E156</f>
        <v>20865.193986420902</v>
      </c>
      <c r="F282" s="433">
        <f>'Raw Data'!F156</f>
        <v>25835</v>
      </c>
      <c r="G282" s="433">
        <f>'Raw Data'!G156</f>
        <v>39099</v>
      </c>
      <c r="H282" s="388">
        <f>H280+H259</f>
        <v>47863.3937752001</v>
      </c>
      <c r="I282" s="388">
        <f t="shared" ref="I282:R282" si="151">I280+I259</f>
        <v>64140.643279864693</v>
      </c>
      <c r="J282" s="388">
        <f t="shared" si="151"/>
        <v>83201.553921639555</v>
      </c>
      <c r="K282" s="388">
        <f t="shared" si="151"/>
        <v>104726.28254033222</v>
      </c>
      <c r="L282" s="388">
        <f t="shared" si="151"/>
        <v>128251.07312002378</v>
      </c>
      <c r="M282" s="388">
        <f t="shared" si="151"/>
        <v>153212.07829937013</v>
      </c>
      <c r="N282" s="388">
        <f t="shared" si="151"/>
        <v>178991.26683969155</v>
      </c>
      <c r="O282" s="388">
        <f t="shared" si="151"/>
        <v>204957.53189759859</v>
      </c>
      <c r="P282" s="388">
        <f t="shared" si="151"/>
        <v>230499.09165847357</v>
      </c>
      <c r="Q282" s="388">
        <f t="shared" si="151"/>
        <v>255045.99920912515</v>
      </c>
      <c r="R282" s="388">
        <f t="shared" si="151"/>
        <v>278083.48195327737</v>
      </c>
      <c r="S282" s="387"/>
      <c r="T282" s="387"/>
    </row>
    <row r="283" spans="2:21" outlineLevel="1" x14ac:dyDescent="0.25">
      <c r="B283" s="358" t="s">
        <v>569</v>
      </c>
      <c r="C283" s="490"/>
      <c r="D283" s="490"/>
      <c r="E283" s="490"/>
      <c r="F283" s="430">
        <f>-'Raw Data'!F160</f>
        <v>-3139</v>
      </c>
      <c r="G283" s="430">
        <f>-'Raw Data'!G160</f>
        <v>-4586</v>
      </c>
      <c r="H283" s="491"/>
      <c r="I283" s="491"/>
      <c r="J283" s="491"/>
      <c r="K283" s="491"/>
      <c r="L283" s="491"/>
      <c r="M283" s="491"/>
      <c r="N283" s="491"/>
      <c r="O283" s="491"/>
      <c r="P283" s="491"/>
      <c r="Q283" s="491"/>
      <c r="R283" s="491"/>
    </row>
    <row r="284" spans="2:21" outlineLevel="1" x14ac:dyDescent="0.25">
      <c r="B284" s="365" t="s">
        <v>572</v>
      </c>
      <c r="C284" s="391">
        <f t="shared" ref="C284:D284" si="152">SUM(C282:C283)</f>
        <v>0</v>
      </c>
      <c r="D284" s="391">
        <f t="shared" si="152"/>
        <v>0</v>
      </c>
      <c r="E284" s="391">
        <f>SUM(E282:E283)</f>
        <v>20865.193986420902</v>
      </c>
      <c r="F284" s="391">
        <f t="shared" ref="F284:R284" si="153">SUM(F282:F283)</f>
        <v>22696</v>
      </c>
      <c r="G284" s="391">
        <f>SUM(G282:G283)</f>
        <v>34513</v>
      </c>
      <c r="H284" s="391">
        <f>SUM(H282:H283)</f>
        <v>47863.3937752001</v>
      </c>
      <c r="I284" s="391">
        <f t="shared" si="153"/>
        <v>64140.643279864693</v>
      </c>
      <c r="J284" s="391">
        <f t="shared" si="153"/>
        <v>83201.553921639555</v>
      </c>
      <c r="K284" s="391">
        <f t="shared" si="153"/>
        <v>104726.28254033222</v>
      </c>
      <c r="L284" s="391">
        <f t="shared" si="153"/>
        <v>128251.07312002378</v>
      </c>
      <c r="M284" s="391">
        <f t="shared" si="153"/>
        <v>153212.07829937013</v>
      </c>
      <c r="N284" s="391">
        <f t="shared" si="153"/>
        <v>178991.26683969155</v>
      </c>
      <c r="O284" s="391">
        <f t="shared" si="153"/>
        <v>204957.53189759859</v>
      </c>
      <c r="P284" s="391">
        <f t="shared" si="153"/>
        <v>230499.09165847357</v>
      </c>
      <c r="Q284" s="391">
        <f t="shared" si="153"/>
        <v>255045.99920912515</v>
      </c>
      <c r="R284" s="391">
        <f t="shared" si="153"/>
        <v>278083.48195327737</v>
      </c>
      <c r="S284" s="387"/>
      <c r="T284" s="387"/>
    </row>
    <row r="285" spans="2:21" outlineLevel="1" x14ac:dyDescent="0.25">
      <c r="B285" s="368" t="s">
        <v>561</v>
      </c>
      <c r="C285" s="492"/>
      <c r="D285" s="492"/>
      <c r="E285" s="434">
        <f>'Raw Data'!D157</f>
        <v>2200</v>
      </c>
      <c r="F285" s="434">
        <f>'Raw Data'!E157</f>
        <v>3400</v>
      </c>
      <c r="G285" s="434">
        <f>'Raw Data'!F157</f>
        <v>3669</v>
      </c>
      <c r="H285" s="390">
        <f>-H258+H279</f>
        <v>5088.8328992399565</v>
      </c>
      <c r="I285" s="390">
        <f t="shared" ref="I285:R285" si="154">-I258+I279</f>
        <v>6887.1111296131412</v>
      </c>
      <c r="J285" s="390">
        <f t="shared" si="154"/>
        <v>9062.0021477303271</v>
      </c>
      <c r="K285" s="390">
        <f>-K258+K279</f>
        <v>11608.754534090869</v>
      </c>
      <c r="L285" s="390">
        <f t="shared" si="154"/>
        <v>14507.837482825431</v>
      </c>
      <c r="M285" s="390">
        <f t="shared" si="154"/>
        <v>17728.149075793684</v>
      </c>
      <c r="N285" s="390">
        <f t="shared" si="154"/>
        <v>21230.821404428381</v>
      </c>
      <c r="O285" s="390">
        <f t="shared" si="154"/>
        <v>24972.928582568646</v>
      </c>
      <c r="P285" s="390">
        <f t="shared" si="154"/>
        <v>28910.635685619985</v>
      </c>
      <c r="Q285" s="390">
        <f t="shared" si="154"/>
        <v>33001.575032415545</v>
      </c>
      <c r="R285" s="390">
        <f t="shared" si="154"/>
        <v>37206.432041546548</v>
      </c>
      <c r="S285" s="387"/>
      <c r="T285" s="387"/>
    </row>
    <row r="286" spans="2:21" outlineLevel="1" x14ac:dyDescent="0.25">
      <c r="B286" s="368"/>
      <c r="C286" s="80"/>
      <c r="D286" s="80"/>
      <c r="E286" s="80"/>
      <c r="F286" s="80"/>
      <c r="G286" s="80"/>
      <c r="H286" s="369"/>
      <c r="I286" s="369"/>
      <c r="J286" s="369"/>
      <c r="K286" s="369"/>
      <c r="L286" s="369"/>
      <c r="M286" s="369"/>
      <c r="N286" s="369"/>
      <c r="O286" s="369"/>
      <c r="P286" s="369"/>
      <c r="Q286" s="369"/>
      <c r="R286" s="369"/>
    </row>
    <row r="287" spans="2:21" outlineLevel="1" x14ac:dyDescent="0.25">
      <c r="B287" s="356" t="s">
        <v>425</v>
      </c>
      <c r="C287" s="357"/>
      <c r="D287" s="357"/>
      <c r="E287" s="357"/>
      <c r="F287" s="357"/>
      <c r="G287" s="357"/>
      <c r="H287" s="357"/>
      <c r="I287" s="357"/>
      <c r="J287" s="357"/>
      <c r="K287" s="357"/>
      <c r="L287" s="357"/>
      <c r="M287" s="357"/>
      <c r="N287" s="357"/>
      <c r="O287" s="357"/>
      <c r="P287" s="357"/>
      <c r="Q287" s="357"/>
      <c r="R287" s="357"/>
    </row>
    <row r="288" spans="2:21" ht="5.4" customHeight="1" outlineLevel="1" x14ac:dyDescent="0.25">
      <c r="B288" s="193"/>
      <c r="C288" s="53"/>
      <c r="D288" s="53"/>
      <c r="E288" s="53"/>
      <c r="F288" s="53"/>
      <c r="G288" s="53"/>
      <c r="H288" s="53"/>
      <c r="I288" s="53"/>
      <c r="J288" s="53"/>
      <c r="K288" s="53"/>
      <c r="L288" s="53"/>
      <c r="M288" s="53"/>
      <c r="N288" s="53"/>
      <c r="O288" s="53"/>
      <c r="P288" s="53"/>
      <c r="Q288" s="53"/>
      <c r="R288" s="53"/>
    </row>
    <row r="289" spans="2:21" outlineLevel="1" x14ac:dyDescent="0.25">
      <c r="B289" t="str">
        <f>B63&amp;" at the Beginning of the period"</f>
        <v>Cash and Cash Equivalents at the Beginning of the period</v>
      </c>
      <c r="C289" s="482"/>
      <c r="D289" s="482"/>
      <c r="E289" s="482"/>
      <c r="F289" s="482"/>
      <c r="G289" s="482"/>
      <c r="H289" s="387">
        <f>G63</f>
        <v>42122</v>
      </c>
      <c r="I289" s="387">
        <f t="shared" ref="I289:R289" ca="1" si="155">H63</f>
        <v>57569.566869048744</v>
      </c>
      <c r="J289" s="387">
        <f t="shared" ca="1" si="155"/>
        <v>90142.99882181274</v>
      </c>
      <c r="K289" s="387">
        <f t="shared" ca="1" si="155"/>
        <v>126893.25660524689</v>
      </c>
      <c r="L289" s="387">
        <f t="shared" ca="1" si="155"/>
        <v>167282.28852780705</v>
      </c>
      <c r="M289" s="387">
        <f t="shared" ca="1" si="155"/>
        <v>213758.34045623569</v>
      </c>
      <c r="N289" s="387">
        <f t="shared" ca="1" si="155"/>
        <v>263742.59025731869</v>
      </c>
      <c r="O289" s="387">
        <f t="shared" ca="1" si="155"/>
        <v>317438.50660957332</v>
      </c>
      <c r="P289" s="387">
        <f t="shared" ca="1" si="155"/>
        <v>376516.37366882194</v>
      </c>
      <c r="Q289" s="387">
        <f t="shared" ca="1" si="155"/>
        <v>442370.74373660726</v>
      </c>
      <c r="R289" s="387">
        <f t="shared" ca="1" si="155"/>
        <v>515394.90767831029</v>
      </c>
      <c r="S289" s="387"/>
      <c r="T289" s="387"/>
      <c r="U289" s="387"/>
    </row>
    <row r="290" spans="2:21" outlineLevel="1" x14ac:dyDescent="0.25">
      <c r="B290" t="str">
        <f>B115</f>
        <v>Net Cash Provided by (used in) Operating Activities</v>
      </c>
      <c r="C290" s="482"/>
      <c r="D290" s="482"/>
      <c r="E290" s="482"/>
      <c r="F290" s="482"/>
      <c r="G290" s="482"/>
      <c r="H290" s="387">
        <f ca="1">H115</f>
        <v>50902.753802614709</v>
      </c>
      <c r="I290" s="387">
        <f t="shared" ref="I290:R290" ca="1" si="156">I115</f>
        <v>78558.697346828092</v>
      </c>
      <c r="J290" s="387">
        <f t="shared" ca="1" si="156"/>
        <v>94284.952490490978</v>
      </c>
      <c r="K290" s="387">
        <f t="shared" ca="1" si="156"/>
        <v>110433.14877437566</v>
      </c>
      <c r="L290" s="387">
        <f t="shared" ca="1" si="156"/>
        <v>127115.77751347488</v>
      </c>
      <c r="M290" s="387">
        <f t="shared" ca="1" si="156"/>
        <v>143849.39891157072</v>
      </c>
      <c r="N290" s="387">
        <f t="shared" ca="1" si="156"/>
        <v>156806.12340540334</v>
      </c>
      <c r="O290" s="387">
        <f t="shared" ca="1" si="156"/>
        <v>172910.60906293557</v>
      </c>
      <c r="P290" s="387">
        <f t="shared" ca="1" si="156"/>
        <v>190654.45284560998</v>
      </c>
      <c r="Q290" s="387">
        <f t="shared" ca="1" si="156"/>
        <v>208427.15745977551</v>
      </c>
      <c r="R290" s="387">
        <f t="shared" ca="1" si="156"/>
        <v>213400.64218201448</v>
      </c>
      <c r="S290" s="387"/>
      <c r="T290" s="387"/>
      <c r="U290" s="387"/>
    </row>
    <row r="291" spans="2:21" outlineLevel="1" x14ac:dyDescent="0.25">
      <c r="B291" t="str">
        <f>B122</f>
        <v>Net Cash Provided by (used in) Investing Activities</v>
      </c>
      <c r="C291" s="482"/>
      <c r="D291" s="482"/>
      <c r="E291" s="482"/>
      <c r="F291" s="482"/>
      <c r="G291" s="482"/>
      <c r="H291" s="387">
        <f t="shared" ref="H291:R291" si="157">H122</f>
        <v>-29173.157643537197</v>
      </c>
      <c r="I291" s="387">
        <f t="shared" si="157"/>
        <v>-36461.921960314037</v>
      </c>
      <c r="J291" s="387">
        <f t="shared" si="157"/>
        <v>-44016.662516578246</v>
      </c>
      <c r="K291" s="387">
        <f t="shared" si="157"/>
        <v>-51542.235029509669</v>
      </c>
      <c r="L291" s="387">
        <f t="shared" si="157"/>
        <v>-58780.628962240065</v>
      </c>
      <c r="M291" s="387">
        <f t="shared" si="157"/>
        <v>-65533.334338701614</v>
      </c>
      <c r="N291" s="387">
        <f t="shared" si="157"/>
        <v>-71669.301342052524</v>
      </c>
      <c r="O291" s="387">
        <f t="shared" si="157"/>
        <v>-77121.224258956834</v>
      </c>
      <c r="P291" s="387">
        <f t="shared" si="157"/>
        <v>-81874.609419232365</v>
      </c>
      <c r="Q291" s="387">
        <f t="shared" si="157"/>
        <v>-85953.958272245858</v>
      </c>
      <c r="R291" s="387">
        <f t="shared" si="157"/>
        <v>-89409.244490598678</v>
      </c>
      <c r="S291" s="387"/>
      <c r="T291" s="387"/>
      <c r="U291" s="387"/>
    </row>
    <row r="292" spans="2:21" outlineLevel="1" x14ac:dyDescent="0.25">
      <c r="B292" s="11" t="s">
        <v>515</v>
      </c>
      <c r="C292" s="394">
        <f t="shared" ref="C292:G292" si="158">MIN(0,SUM(C289:C291))</f>
        <v>0</v>
      </c>
      <c r="D292" s="394">
        <f t="shared" si="158"/>
        <v>0</v>
      </c>
      <c r="E292" s="394">
        <f t="shared" si="158"/>
        <v>0</v>
      </c>
      <c r="F292" s="394">
        <f t="shared" si="158"/>
        <v>0</v>
      </c>
      <c r="G292" s="394">
        <f t="shared" si="158"/>
        <v>0</v>
      </c>
      <c r="H292" s="394">
        <f ca="1">MIN(0,SUM(H289:H291))</f>
        <v>0</v>
      </c>
      <c r="I292" s="394">
        <f ca="1">MIN(0,SUM(I289:I291))</f>
        <v>0</v>
      </c>
      <c r="J292" s="394">
        <f ca="1">MIN(0,SUM(J289:J291))</f>
        <v>0</v>
      </c>
      <c r="K292" s="394">
        <f ca="1">MIN(0,SUM(K289:K291))</f>
        <v>0</v>
      </c>
      <c r="L292" s="394">
        <f ca="1">MIN(0,SUM(L289:L291))</f>
        <v>0</v>
      </c>
      <c r="M292" s="394">
        <f t="shared" ref="M292:R292" ca="1" si="159">MIN(0,SUM(M289:M291))</f>
        <v>0</v>
      </c>
      <c r="N292" s="394">
        <f t="shared" ca="1" si="159"/>
        <v>0</v>
      </c>
      <c r="O292" s="394">
        <f t="shared" ca="1" si="159"/>
        <v>0</v>
      </c>
      <c r="P292" s="394">
        <f t="shared" ca="1" si="159"/>
        <v>0</v>
      </c>
      <c r="Q292" s="394">
        <f t="shared" ca="1" si="159"/>
        <v>0</v>
      </c>
      <c r="R292" s="394">
        <f t="shared" ca="1" si="159"/>
        <v>0</v>
      </c>
    </row>
    <row r="293" spans="2:21" outlineLevel="1" x14ac:dyDescent="0.25">
      <c r="B293" s="1"/>
      <c r="C293" s="23"/>
      <c r="D293" s="23"/>
      <c r="E293" s="23"/>
      <c r="F293" s="23"/>
      <c r="G293" s="23"/>
      <c r="H293" s="23"/>
      <c r="I293" s="23"/>
      <c r="J293" s="23"/>
      <c r="K293" s="23"/>
      <c r="L293" s="23"/>
      <c r="M293" s="23"/>
      <c r="N293" s="23"/>
      <c r="O293" s="23"/>
      <c r="P293" s="23"/>
      <c r="Q293" s="23"/>
      <c r="R293" s="23"/>
    </row>
    <row r="294" spans="2:21" outlineLevel="1" x14ac:dyDescent="0.25">
      <c r="B294" t="s">
        <v>426</v>
      </c>
      <c r="C294" s="482"/>
      <c r="D294" s="482"/>
      <c r="E294" s="482"/>
      <c r="F294" s="482"/>
      <c r="G294" s="482"/>
      <c r="H294" s="387">
        <f ca="1">IFERROR(H$292*-'Control Panel'!$G46,"0")</f>
        <v>0</v>
      </c>
      <c r="I294" s="387">
        <f ca="1">IFERROR(I$292*-'Control Panel'!$G46,"0")</f>
        <v>0</v>
      </c>
      <c r="J294" s="387">
        <f ca="1">IFERROR(J$292*-'Control Panel'!$G46,"0")</f>
        <v>0</v>
      </c>
      <c r="K294" s="387">
        <f ca="1">IFERROR(K$292*-'Control Panel'!$G46,"0")</f>
        <v>0</v>
      </c>
      <c r="L294" s="387">
        <f ca="1">IFERROR(L$292*-'Control Panel'!$G46,"0")</f>
        <v>0</v>
      </c>
      <c r="M294" s="387">
        <f ca="1">IFERROR(M$292*-'Control Panel'!$G46,"0")</f>
        <v>0</v>
      </c>
      <c r="N294" s="387">
        <f ca="1">IFERROR(N$292*-'Control Panel'!$G46,"0")</f>
        <v>0</v>
      </c>
      <c r="O294" s="387">
        <f ca="1">IFERROR(O$292*-'Control Panel'!$G46,"0")</f>
        <v>0</v>
      </c>
      <c r="P294" s="387">
        <f ca="1">IFERROR(P$292*-'Control Panel'!$G46,"0")</f>
        <v>0</v>
      </c>
      <c r="Q294" s="387">
        <f ca="1">IFERROR(Q$292*-'Control Panel'!$G46,"0")</f>
        <v>0</v>
      </c>
      <c r="R294" s="387">
        <f ca="1">IFERROR(R$292*-'Control Panel'!$G46,"0")</f>
        <v>0</v>
      </c>
      <c r="S294" s="387"/>
      <c r="T294" s="387"/>
      <c r="U294" s="387"/>
    </row>
    <row r="295" spans="2:21" outlineLevel="1" x14ac:dyDescent="0.25">
      <c r="B295" t="s">
        <v>722</v>
      </c>
      <c r="C295" s="482"/>
      <c r="D295" s="485"/>
      <c r="E295" s="485"/>
      <c r="F295" s="485"/>
      <c r="G295" s="485"/>
      <c r="H295" s="387">
        <f ca="1">IFERROR(H$292*-'Control Panel'!$G47,"0")</f>
        <v>0</v>
      </c>
      <c r="I295" s="387">
        <f ca="1">IFERROR(I$292*-'Control Panel'!$G47,"0")</f>
        <v>0</v>
      </c>
      <c r="J295" s="387">
        <f ca="1">IFERROR(J$292*-'Control Panel'!$G47,"0")</f>
        <v>0</v>
      </c>
      <c r="K295" s="387">
        <f ca="1">IFERROR(K$292*-'Control Panel'!$G47,"0")</f>
        <v>0</v>
      </c>
      <c r="L295" s="387">
        <f ca="1">IFERROR(L$292*-'Control Panel'!$G47,"0")</f>
        <v>0</v>
      </c>
      <c r="M295" s="387">
        <f ca="1">IFERROR(M$292*-'Control Panel'!$G47,"0")</f>
        <v>0</v>
      </c>
      <c r="N295" s="387">
        <f ca="1">IFERROR(N$292*-'Control Panel'!$G47,"0")</f>
        <v>0</v>
      </c>
      <c r="O295" s="387">
        <f ca="1">IFERROR(O$292*-'Control Panel'!$G47,"0")</f>
        <v>0</v>
      </c>
      <c r="P295" s="387">
        <f ca="1">IFERROR(P$292*-'Control Panel'!$G47,"0")</f>
        <v>0</v>
      </c>
      <c r="Q295" s="387">
        <f ca="1">IFERROR(Q$292*-'Control Panel'!$G47,"0")</f>
        <v>0</v>
      </c>
      <c r="R295" s="387">
        <f ca="1">IFERROR(R$292*-'Control Panel'!$G47,"0")</f>
        <v>0</v>
      </c>
      <c r="S295" s="387"/>
      <c r="T295" s="387"/>
      <c r="U295" s="387"/>
    </row>
    <row r="296" spans="2:21" outlineLevel="1" x14ac:dyDescent="0.25">
      <c r="B296" t="s">
        <v>427</v>
      </c>
      <c r="C296" s="482"/>
      <c r="D296" s="485"/>
      <c r="E296" s="485"/>
      <c r="F296" s="485"/>
      <c r="G296" s="485"/>
      <c r="H296" s="387">
        <f ca="1">(H295)/Dashboard!$U$8</f>
        <v>0</v>
      </c>
      <c r="I296" s="387">
        <f ca="1">(I295)/Dashboard!$U$8</f>
        <v>0</v>
      </c>
      <c r="J296" s="387">
        <f ca="1">(J295)/Dashboard!$U$8</f>
        <v>0</v>
      </c>
      <c r="K296" s="387">
        <f ca="1">(K295)/Dashboard!$U$8</f>
        <v>0</v>
      </c>
      <c r="L296" s="387">
        <f ca="1">(L295)/Dashboard!$U$8</f>
        <v>0</v>
      </c>
      <c r="M296" s="387">
        <f ca="1">(M295)/Dashboard!$U$8</f>
        <v>0</v>
      </c>
      <c r="N296" s="387">
        <f ca="1">(N295)/Dashboard!$U$8</f>
        <v>0</v>
      </c>
      <c r="O296" s="387">
        <f ca="1">(O295)/Dashboard!$U$8</f>
        <v>0</v>
      </c>
      <c r="P296" s="387">
        <f ca="1">(P295)/Dashboard!$U$8</f>
        <v>0</v>
      </c>
      <c r="Q296" s="387">
        <f ca="1">(Q295)/Dashboard!$U$8</f>
        <v>0</v>
      </c>
      <c r="R296" s="387">
        <f ca="1">(R295)/Dashboard!$U$8</f>
        <v>0</v>
      </c>
      <c r="S296" s="387"/>
      <c r="T296" s="387"/>
      <c r="U296" s="387"/>
    </row>
    <row r="297" spans="2:21" outlineLevel="1" x14ac:dyDescent="0.25">
      <c r="C297" s="244"/>
      <c r="D297" s="244"/>
      <c r="E297" s="244"/>
      <c r="F297" s="244"/>
      <c r="G297" s="244"/>
      <c r="H297" s="387"/>
      <c r="I297" s="387"/>
      <c r="J297" s="387"/>
      <c r="K297" s="387"/>
      <c r="L297" s="387"/>
      <c r="M297" s="387"/>
      <c r="N297" s="387"/>
      <c r="O297" s="387"/>
      <c r="P297" s="387"/>
      <c r="Q297" s="387"/>
      <c r="R297" s="387"/>
      <c r="S297" s="387"/>
      <c r="T297" s="387"/>
      <c r="U297" s="387"/>
    </row>
    <row r="298" spans="2:21" outlineLevel="1" x14ac:dyDescent="0.25">
      <c r="C298" s="244"/>
      <c r="D298" s="244"/>
      <c r="E298" s="244"/>
      <c r="F298" s="244"/>
      <c r="G298" s="244"/>
      <c r="H298" s="244"/>
      <c r="I298" s="244"/>
      <c r="J298" s="244"/>
      <c r="K298" s="244"/>
      <c r="L298" s="244"/>
      <c r="M298" s="244"/>
      <c r="N298" s="244"/>
      <c r="O298" s="244"/>
      <c r="P298" s="244"/>
      <c r="Q298" s="244"/>
      <c r="R298" s="244"/>
    </row>
    <row r="299" spans="2:21" outlineLevel="1" x14ac:dyDescent="0.25">
      <c r="B299" s="356" t="s">
        <v>424</v>
      </c>
      <c r="C299" s="357"/>
      <c r="D299" s="357"/>
      <c r="E299" s="357"/>
      <c r="F299" s="357"/>
      <c r="G299" s="357"/>
      <c r="H299" s="357"/>
      <c r="I299" s="357"/>
      <c r="J299" s="357"/>
      <c r="K299" s="357"/>
      <c r="L299" s="357"/>
      <c r="M299" s="357"/>
      <c r="N299" s="357"/>
      <c r="O299" s="357"/>
      <c r="P299" s="357"/>
      <c r="Q299" s="357"/>
      <c r="R299" s="357"/>
    </row>
    <row r="300" spans="2:21" ht="5.4" customHeight="1" outlineLevel="1" x14ac:dyDescent="0.25">
      <c r="B300" s="193"/>
      <c r="C300" s="53"/>
      <c r="D300" s="53"/>
      <c r="E300" s="53"/>
      <c r="F300" s="53"/>
      <c r="G300" s="53"/>
      <c r="H300" s="53"/>
      <c r="I300" s="53"/>
      <c r="J300" s="53"/>
      <c r="K300" s="53"/>
      <c r="L300" s="53"/>
      <c r="M300" s="53"/>
      <c r="N300" s="53"/>
      <c r="O300" s="53"/>
      <c r="P300" s="53"/>
      <c r="Q300" s="53"/>
      <c r="R300" s="53"/>
    </row>
    <row r="301" spans="2:21" outlineLevel="1" x14ac:dyDescent="0.25">
      <c r="B301" t="s">
        <v>95</v>
      </c>
      <c r="C301" s="482"/>
      <c r="D301" s="387">
        <f>+C304</f>
        <v>7694</v>
      </c>
      <c r="E301" s="387">
        <f t="shared" ref="E301:K301" si="160">+D304</f>
        <v>24743</v>
      </c>
      <c r="F301" s="387">
        <f t="shared" si="160"/>
        <v>23494.999999999996</v>
      </c>
      <c r="G301" s="387">
        <f>+F304</f>
        <v>23414</v>
      </c>
      <c r="H301" s="387">
        <f>+G304</f>
        <v>31816</v>
      </c>
      <c r="I301" s="387">
        <f t="shared" si="160"/>
        <v>30661</v>
      </c>
      <c r="J301" s="387">
        <f t="shared" si="160"/>
        <v>29032</v>
      </c>
      <c r="K301" s="387">
        <f t="shared" si="160"/>
        <v>26749</v>
      </c>
      <c r="L301" s="387">
        <f t="shared" ref="L301:R301" si="161">+K304</f>
        <v>23394</v>
      </c>
      <c r="M301" s="387">
        <f t="shared" si="161"/>
        <v>21143</v>
      </c>
      <c r="N301" s="387">
        <f t="shared" si="161"/>
        <v>17393</v>
      </c>
      <c r="O301" s="387">
        <f t="shared" si="161"/>
        <v>13643</v>
      </c>
      <c r="P301" s="387">
        <f t="shared" si="161"/>
        <v>9893</v>
      </c>
      <c r="Q301" s="387">
        <f t="shared" si="161"/>
        <v>6143</v>
      </c>
      <c r="R301" s="387">
        <f t="shared" si="161"/>
        <v>2393</v>
      </c>
      <c r="S301" s="387"/>
    </row>
    <row r="302" spans="2:21" outlineLevel="1" x14ac:dyDescent="0.25">
      <c r="B302" s="8" t="s">
        <v>302</v>
      </c>
      <c r="C302" s="482"/>
      <c r="D302" s="430">
        <f>'Raw Data'!D83</f>
        <v>18350</v>
      </c>
      <c r="E302" s="430">
        <f>'Raw Data'!E83</f>
        <v>-580.00000000000216</v>
      </c>
      <c r="F302" s="430">
        <f>'Raw Data'!F83</f>
        <v>2603.0000000000018</v>
      </c>
      <c r="G302" s="430">
        <f>'Raw Data'!G83</f>
        <v>16132</v>
      </c>
      <c r="H302" s="494"/>
      <c r="I302" s="494"/>
      <c r="J302" s="494"/>
      <c r="K302" s="494"/>
      <c r="L302" s="494"/>
      <c r="M302" s="494"/>
      <c r="N302" s="494"/>
      <c r="O302" s="494"/>
      <c r="P302" s="494"/>
      <c r="Q302" s="494"/>
      <c r="R302" s="494"/>
    </row>
    <row r="303" spans="2:21" outlineLevel="1" x14ac:dyDescent="0.25">
      <c r="B303" s="8" t="s">
        <v>428</v>
      </c>
      <c r="C303" s="482"/>
      <c r="D303" s="430">
        <f>'Raw Data'!D111</f>
        <v>-1301</v>
      </c>
      <c r="E303" s="430">
        <f>'Raw Data'!E111</f>
        <v>-668</v>
      </c>
      <c r="F303" s="430">
        <f>'Raw Data'!F111</f>
        <v>-2684</v>
      </c>
      <c r="G303" s="430">
        <f>'Raw Data'!G111</f>
        <v>-7730</v>
      </c>
      <c r="H303" s="387">
        <f>-G320</f>
        <v>-1155</v>
      </c>
      <c r="I303" s="430">
        <f>-'Raw Data'!C164</f>
        <v>-1629</v>
      </c>
      <c r="J303" s="430">
        <f>-'Raw Data'!D164</f>
        <v>-2283</v>
      </c>
      <c r="K303" s="430">
        <f>-'Raw Data'!E164</f>
        <v>-3355</v>
      </c>
      <c r="L303" s="430">
        <f>-'Raw Data'!F164</f>
        <v>-2251</v>
      </c>
      <c r="M303" s="430">
        <f>-'Raw Data'!$G$164/6</f>
        <v>-3750</v>
      </c>
      <c r="N303" s="430">
        <f>-'Raw Data'!$G$164/6</f>
        <v>-3750</v>
      </c>
      <c r="O303" s="430">
        <f>-'Raw Data'!$G$164/6</f>
        <v>-3750</v>
      </c>
      <c r="P303" s="430">
        <f>-'Raw Data'!$G$164/6</f>
        <v>-3750</v>
      </c>
      <c r="Q303" s="430">
        <f>-'Raw Data'!$G$164/6</f>
        <v>-3750</v>
      </c>
      <c r="R303" s="430">
        <f>-MAX(-'Raw Data'!$G$164/6,R301)</f>
        <v>-2393</v>
      </c>
      <c r="S303" s="387"/>
    </row>
    <row r="304" spans="2:21" outlineLevel="1" x14ac:dyDescent="0.25">
      <c r="B304" s="13" t="s">
        <v>98</v>
      </c>
      <c r="C304" s="388">
        <f>C319</f>
        <v>7694</v>
      </c>
      <c r="D304" s="388">
        <f>SUM(D301:D303)</f>
        <v>24743</v>
      </c>
      <c r="E304" s="388">
        <f>SUM(E301:E303)</f>
        <v>23494.999999999996</v>
      </c>
      <c r="F304" s="388">
        <f>SUM(F301:F303)</f>
        <v>23414</v>
      </c>
      <c r="G304" s="388">
        <f>SUM(G301:G303)</f>
        <v>31816</v>
      </c>
      <c r="H304" s="388">
        <f>SUM(H301:H303)</f>
        <v>30661</v>
      </c>
      <c r="I304" s="388">
        <f t="shared" ref="I304:R304" si="162">SUM(I301:I303)</f>
        <v>29032</v>
      </c>
      <c r="J304" s="388">
        <f t="shared" si="162"/>
        <v>26749</v>
      </c>
      <c r="K304" s="388">
        <f t="shared" si="162"/>
        <v>23394</v>
      </c>
      <c r="L304" s="388">
        <f t="shared" si="162"/>
        <v>21143</v>
      </c>
      <c r="M304" s="388">
        <f t="shared" si="162"/>
        <v>17393</v>
      </c>
      <c r="N304" s="388">
        <f t="shared" si="162"/>
        <v>13643</v>
      </c>
      <c r="O304" s="388">
        <f t="shared" si="162"/>
        <v>9893</v>
      </c>
      <c r="P304" s="388">
        <f t="shared" si="162"/>
        <v>6143</v>
      </c>
      <c r="Q304" s="388">
        <f t="shared" si="162"/>
        <v>2393</v>
      </c>
      <c r="R304" s="388">
        <f t="shared" si="162"/>
        <v>0</v>
      </c>
    </row>
    <row r="305" spans="2:21" outlineLevel="1" x14ac:dyDescent="0.25">
      <c r="C305" s="387"/>
      <c r="D305" s="387"/>
      <c r="E305" s="387"/>
      <c r="F305" s="387"/>
      <c r="G305" s="387"/>
      <c r="H305" s="387"/>
      <c r="I305" s="387"/>
      <c r="J305" s="387"/>
      <c r="K305" s="387"/>
      <c r="L305" s="387"/>
      <c r="M305" s="387"/>
      <c r="N305" s="387"/>
      <c r="O305" s="387"/>
      <c r="P305" s="387"/>
      <c r="Q305" s="387"/>
      <c r="R305" s="387"/>
    </row>
    <row r="306" spans="2:21" outlineLevel="1" x14ac:dyDescent="0.25">
      <c r="C306" s="23"/>
      <c r="D306" s="23"/>
      <c r="E306" s="23"/>
      <c r="F306" s="23"/>
      <c r="G306" s="23"/>
      <c r="H306" s="23"/>
      <c r="I306" s="23"/>
      <c r="J306" s="23"/>
      <c r="K306" s="23"/>
      <c r="L306" s="23"/>
      <c r="M306" s="23"/>
      <c r="N306" s="23"/>
      <c r="O306" s="23"/>
      <c r="P306" s="23"/>
      <c r="Q306" s="23"/>
      <c r="R306" s="23"/>
    </row>
    <row r="307" spans="2:21" outlineLevel="1" x14ac:dyDescent="0.25">
      <c r="B307" s="356" t="s">
        <v>305</v>
      </c>
      <c r="C307" s="357"/>
      <c r="D307" s="357"/>
      <c r="E307" s="357"/>
      <c r="F307" s="357"/>
      <c r="G307" s="357"/>
      <c r="H307" s="357"/>
      <c r="I307" s="357"/>
      <c r="J307" s="357"/>
      <c r="K307" s="357"/>
      <c r="L307" s="357"/>
      <c r="M307" s="357"/>
      <c r="N307" s="357"/>
      <c r="O307" s="357"/>
      <c r="P307" s="357"/>
      <c r="Q307" s="357"/>
      <c r="R307" s="357"/>
      <c r="T307" s="23"/>
      <c r="U307" s="23"/>
    </row>
    <row r="308" spans="2:21" ht="5.4" customHeight="1" outlineLevel="1" x14ac:dyDescent="0.25">
      <c r="B308" s="193"/>
      <c r="C308" s="53"/>
      <c r="D308" s="53"/>
      <c r="E308" s="53"/>
      <c r="F308" s="53"/>
      <c r="G308" s="53"/>
      <c r="H308" s="53"/>
      <c r="I308" s="53"/>
      <c r="J308" s="53"/>
      <c r="K308" s="53"/>
      <c r="L308" s="53"/>
      <c r="M308" s="53"/>
      <c r="N308" s="53"/>
      <c r="O308" s="53"/>
      <c r="P308" s="53"/>
      <c r="Q308" s="53"/>
      <c r="R308" s="53"/>
      <c r="T308" s="23"/>
      <c r="U308" s="23"/>
    </row>
    <row r="309" spans="2:21" outlineLevel="1" x14ac:dyDescent="0.25">
      <c r="B309" t="s">
        <v>95</v>
      </c>
      <c r="C309" s="482"/>
      <c r="D309" s="482"/>
      <c r="E309" s="482"/>
      <c r="F309" s="482"/>
      <c r="G309" s="482"/>
      <c r="H309" s="387">
        <v>0</v>
      </c>
      <c r="I309" s="387">
        <f t="shared" ref="I309:R309" ca="1" si="163">H312</f>
        <v>0</v>
      </c>
      <c r="J309" s="387">
        <f t="shared" ca="1" si="163"/>
        <v>0</v>
      </c>
      <c r="K309" s="387">
        <f t="shared" ca="1" si="163"/>
        <v>0</v>
      </c>
      <c r="L309" s="387">
        <f t="shared" ca="1" si="163"/>
        <v>0</v>
      </c>
      <c r="M309" s="387">
        <f t="shared" ca="1" si="163"/>
        <v>0</v>
      </c>
      <c r="N309" s="387">
        <f t="shared" ca="1" si="163"/>
        <v>0</v>
      </c>
      <c r="O309" s="387">
        <f t="shared" ca="1" si="163"/>
        <v>0</v>
      </c>
      <c r="P309" s="387">
        <f t="shared" ca="1" si="163"/>
        <v>0</v>
      </c>
      <c r="Q309" s="387">
        <f t="shared" ca="1" si="163"/>
        <v>0</v>
      </c>
      <c r="R309" s="387">
        <f t="shared" ca="1" si="163"/>
        <v>0</v>
      </c>
      <c r="S309" s="23"/>
      <c r="T309" s="245"/>
      <c r="U309" s="245"/>
    </row>
    <row r="310" spans="2:21" outlineLevel="1" x14ac:dyDescent="0.25">
      <c r="B310" s="8" t="s">
        <v>302</v>
      </c>
      <c r="C310" s="482"/>
      <c r="D310" s="485"/>
      <c r="E310" s="485"/>
      <c r="F310" s="485"/>
      <c r="G310" s="485"/>
      <c r="H310" s="387">
        <f ca="1">H294</f>
        <v>0</v>
      </c>
      <c r="I310" s="387">
        <f ca="1">I294</f>
        <v>0</v>
      </c>
      <c r="J310" s="387">
        <f t="shared" ref="J310:R310" ca="1" si="164">J294</f>
        <v>0</v>
      </c>
      <c r="K310" s="387">
        <f t="shared" ca="1" si="164"/>
        <v>0</v>
      </c>
      <c r="L310" s="387">
        <f t="shared" ca="1" si="164"/>
        <v>0</v>
      </c>
      <c r="M310" s="387">
        <f t="shared" ca="1" si="164"/>
        <v>0</v>
      </c>
      <c r="N310" s="387">
        <f t="shared" ca="1" si="164"/>
        <v>0</v>
      </c>
      <c r="O310" s="387">
        <f t="shared" ca="1" si="164"/>
        <v>0</v>
      </c>
      <c r="P310" s="387">
        <f t="shared" ca="1" si="164"/>
        <v>0</v>
      </c>
      <c r="Q310" s="387">
        <f t="shared" ca="1" si="164"/>
        <v>0</v>
      </c>
      <c r="R310" s="387">
        <f t="shared" ca="1" si="164"/>
        <v>0</v>
      </c>
      <c r="S310" s="245"/>
      <c r="T310" s="246"/>
      <c r="U310" s="246"/>
    </row>
    <row r="311" spans="2:21" outlineLevel="1" x14ac:dyDescent="0.25">
      <c r="B311" s="8" t="s">
        <v>100</v>
      </c>
      <c r="C311" s="482"/>
      <c r="D311" s="485"/>
      <c r="E311" s="485"/>
      <c r="F311" s="485"/>
      <c r="G311" s="485"/>
      <c r="H311" s="387">
        <f ca="1">-SUM($H294:H294)/'Control Panel'!$G$49</f>
        <v>0</v>
      </c>
      <c r="I311" s="387">
        <f ca="1">-SUM($H294:I294)/'Control Panel'!$G$49</f>
        <v>0</v>
      </c>
      <c r="J311" s="387">
        <f ca="1">-SUM($H294:J294)/'Control Panel'!$G$49</f>
        <v>0</v>
      </c>
      <c r="K311" s="387">
        <f ca="1">-SUM($H294:K294)/'Control Panel'!$G$49</f>
        <v>0</v>
      </c>
      <c r="L311" s="387">
        <f ca="1">-SUM($H294:L294)/'Control Panel'!$G$49</f>
        <v>0</v>
      </c>
      <c r="M311" s="387">
        <f ca="1">-SUM($H294:M294)/'Control Panel'!$G$49</f>
        <v>0</v>
      </c>
      <c r="N311" s="387">
        <f ca="1">-SUM($H294:N294)/'Control Panel'!$G$49</f>
        <v>0</v>
      </c>
      <c r="O311" s="387">
        <f ca="1">-SUM($H294:O294)/'Control Panel'!$G$49</f>
        <v>0</v>
      </c>
      <c r="P311" s="387">
        <f ca="1">-SUM($H294:P294)/'Control Panel'!$G$49</f>
        <v>0</v>
      </c>
      <c r="Q311" s="387">
        <f ca="1">-SUM($H294:Q294)/'Control Panel'!$G$49</f>
        <v>0</v>
      </c>
      <c r="R311" s="387">
        <f ca="1">-SUM($H294:R294)/'Control Panel'!$G$49</f>
        <v>0</v>
      </c>
      <c r="S311" s="246"/>
      <c r="T311" s="23"/>
      <c r="U311" s="23"/>
    </row>
    <row r="312" spans="2:21" outlineLevel="1" x14ac:dyDescent="0.25">
      <c r="B312" s="13" t="s">
        <v>98</v>
      </c>
      <c r="C312" s="388"/>
      <c r="D312" s="388"/>
      <c r="E312" s="388"/>
      <c r="F312" s="388"/>
      <c r="G312" s="388"/>
      <c r="H312" s="388">
        <f ca="1">SUM(H309:H311)</f>
        <v>0</v>
      </c>
      <c r="I312" s="388">
        <f t="shared" ref="I312:R312" ca="1" si="165">SUM(I309:I311)</f>
        <v>0</v>
      </c>
      <c r="J312" s="388">
        <f t="shared" ca="1" si="165"/>
        <v>0</v>
      </c>
      <c r="K312" s="388">
        <f t="shared" ca="1" si="165"/>
        <v>0</v>
      </c>
      <c r="L312" s="388">
        <f t="shared" ca="1" si="165"/>
        <v>0</v>
      </c>
      <c r="M312" s="388">
        <f t="shared" ca="1" si="165"/>
        <v>0</v>
      </c>
      <c r="N312" s="388">
        <f t="shared" ca="1" si="165"/>
        <v>0</v>
      </c>
      <c r="O312" s="388">
        <f t="shared" ca="1" si="165"/>
        <v>0</v>
      </c>
      <c r="P312" s="388">
        <f t="shared" ca="1" si="165"/>
        <v>0</v>
      </c>
      <c r="Q312" s="388">
        <f t="shared" ca="1" si="165"/>
        <v>0</v>
      </c>
      <c r="R312" s="388">
        <f t="shared" ca="1" si="165"/>
        <v>0</v>
      </c>
      <c r="S312" s="23"/>
    </row>
    <row r="313" spans="2:21" outlineLevel="1" x14ac:dyDescent="0.25">
      <c r="C313" s="387"/>
      <c r="D313" s="387"/>
      <c r="E313" s="387"/>
      <c r="F313" s="387"/>
      <c r="G313" s="387"/>
      <c r="H313" s="387"/>
      <c r="I313" s="387"/>
      <c r="J313" s="387"/>
      <c r="K313" s="387"/>
      <c r="L313" s="387"/>
      <c r="M313" s="387"/>
      <c r="N313" s="387"/>
      <c r="O313" s="387"/>
      <c r="P313" s="387"/>
      <c r="Q313" s="387"/>
      <c r="R313" s="387"/>
      <c r="S313" s="23"/>
    </row>
    <row r="314" spans="2:21" outlineLevel="1" x14ac:dyDescent="0.25">
      <c r="B314" s="356" t="s">
        <v>614</v>
      </c>
      <c r="C314" s="357" t="s">
        <v>304</v>
      </c>
      <c r="D314" s="357"/>
      <c r="E314" s="357"/>
      <c r="F314" s="357"/>
      <c r="G314" s="357"/>
      <c r="H314" s="357"/>
      <c r="I314" s="357"/>
      <c r="J314" s="357"/>
      <c r="K314" s="357"/>
      <c r="L314" s="357"/>
      <c r="M314" s="357"/>
      <c r="N314" s="357"/>
      <c r="O314" s="357"/>
      <c r="P314" s="357"/>
      <c r="Q314" s="357"/>
      <c r="R314" s="357"/>
      <c r="S314" s="23"/>
    </row>
    <row r="315" spans="2:21" ht="5.4" customHeight="1" outlineLevel="1" x14ac:dyDescent="0.25">
      <c r="B315" s="193"/>
      <c r="C315" s="53"/>
      <c r="D315" s="53"/>
      <c r="E315" s="53"/>
      <c r="F315" s="53"/>
      <c r="G315" s="53"/>
      <c r="H315" s="53"/>
      <c r="I315" s="53"/>
      <c r="J315" s="53"/>
      <c r="K315" s="53"/>
      <c r="L315" s="53"/>
      <c r="M315" s="53"/>
      <c r="N315" s="53"/>
      <c r="O315" s="53"/>
      <c r="P315" s="53"/>
      <c r="Q315" s="53"/>
      <c r="R315" s="53"/>
      <c r="S315" s="23"/>
    </row>
    <row r="316" spans="2:21" outlineLevel="1" x14ac:dyDescent="0.25">
      <c r="B316" s="1" t="s">
        <v>303</v>
      </c>
      <c r="C316" s="390">
        <f>C321</f>
        <v>8750</v>
      </c>
      <c r="D316" s="390">
        <f>D321</f>
        <v>24843</v>
      </c>
      <c r="E316" s="390">
        <f>E321</f>
        <v>24866</v>
      </c>
      <c r="F316" s="390">
        <f>F321</f>
        <v>24719</v>
      </c>
      <c r="G316" s="390">
        <f>G321</f>
        <v>32971</v>
      </c>
      <c r="H316" s="390">
        <f ca="1">+H312+H304</f>
        <v>30661</v>
      </c>
      <c r="I316" s="390">
        <f ca="1">+I312+I304</f>
        <v>29032</v>
      </c>
      <c r="J316" s="390">
        <f ca="1">+J312+J304</f>
        <v>26749</v>
      </c>
      <c r="K316" s="390">
        <f t="shared" ref="K316:O316" ca="1" si="166">+K312+K304</f>
        <v>23394</v>
      </c>
      <c r="L316" s="390">
        <f t="shared" ca="1" si="166"/>
        <v>21143</v>
      </c>
      <c r="M316" s="390">
        <f t="shared" ca="1" si="166"/>
        <v>17393</v>
      </c>
      <c r="N316" s="390">
        <f t="shared" ca="1" si="166"/>
        <v>13643</v>
      </c>
      <c r="O316" s="390">
        <f t="shared" ca="1" si="166"/>
        <v>9893</v>
      </c>
      <c r="P316" s="390">
        <f ca="1">+P312+P304</f>
        <v>6143</v>
      </c>
      <c r="Q316" s="390">
        <f ca="1">+Q312+Q304</f>
        <v>2393</v>
      </c>
      <c r="R316" s="390">
        <f ca="1">+R312+R304</f>
        <v>0</v>
      </c>
      <c r="S316" s="23"/>
    </row>
    <row r="317" spans="2:21" outlineLevel="1" x14ac:dyDescent="0.25">
      <c r="B317" s="1" t="s">
        <v>494</v>
      </c>
      <c r="C317" s="390">
        <f>C125</f>
        <v>267</v>
      </c>
      <c r="D317" s="390">
        <f>D125</f>
        <v>14927</v>
      </c>
      <c r="E317" s="390">
        <f>E125</f>
        <v>100</v>
      </c>
      <c r="F317" s="390">
        <f>F125</f>
        <v>-411</v>
      </c>
      <c r="G317" s="390">
        <f>G125</f>
        <v>9591</v>
      </c>
      <c r="H317" s="390">
        <f ca="1">+H303+H310+H311</f>
        <v>-1155</v>
      </c>
      <c r="I317" s="390">
        <f ca="1">+I303+I310+I311</f>
        <v>-1629</v>
      </c>
      <c r="J317" s="390">
        <f t="shared" ref="J317:R317" ca="1" si="167">+J303+J310+J311</f>
        <v>-2283</v>
      </c>
      <c r="K317" s="390">
        <f t="shared" ca="1" si="167"/>
        <v>-3355</v>
      </c>
      <c r="L317" s="390">
        <f t="shared" ca="1" si="167"/>
        <v>-2251</v>
      </c>
      <c r="M317" s="390">
        <f t="shared" ca="1" si="167"/>
        <v>-3750</v>
      </c>
      <c r="N317" s="390">
        <f t="shared" ca="1" si="167"/>
        <v>-3750</v>
      </c>
      <c r="O317" s="390">
        <f t="shared" ca="1" si="167"/>
        <v>-3750</v>
      </c>
      <c r="P317" s="390">
        <f t="shared" ca="1" si="167"/>
        <v>-3750</v>
      </c>
      <c r="Q317" s="390">
        <f t="shared" ca="1" si="167"/>
        <v>-3750</v>
      </c>
      <c r="R317" s="390">
        <f t="shared" ca="1" si="167"/>
        <v>-2393</v>
      </c>
      <c r="S317" s="23"/>
    </row>
    <row r="318" spans="2:21" outlineLevel="1" x14ac:dyDescent="0.25">
      <c r="C318" s="23"/>
      <c r="D318" s="23"/>
      <c r="E318" s="26"/>
      <c r="F318" s="26"/>
      <c r="G318" s="26"/>
      <c r="H318" s="23"/>
      <c r="I318" s="23"/>
      <c r="J318" s="23"/>
      <c r="K318" s="23"/>
      <c r="L318" s="23"/>
      <c r="M318" s="23"/>
      <c r="N318" s="23"/>
      <c r="O318" s="23"/>
      <c r="P318" s="23"/>
      <c r="Q318" s="23"/>
      <c r="R318" s="23"/>
    </row>
    <row r="319" spans="2:21" outlineLevel="1" x14ac:dyDescent="0.25">
      <c r="B319" t="s">
        <v>99</v>
      </c>
      <c r="C319" s="387">
        <f>+C82</f>
        <v>7694</v>
      </c>
      <c r="D319" s="387">
        <f>+D82</f>
        <v>24743</v>
      </c>
      <c r="E319" s="387">
        <f>+E82</f>
        <v>23495</v>
      </c>
      <c r="F319" s="387">
        <f>+F82</f>
        <v>23414</v>
      </c>
      <c r="G319" s="387">
        <f>+G82</f>
        <v>31816</v>
      </c>
      <c r="H319" s="495"/>
      <c r="I319" s="495"/>
      <c r="J319" s="495"/>
      <c r="K319" s="495"/>
      <c r="L319" s="495"/>
      <c r="M319" s="495"/>
      <c r="N319" s="495"/>
      <c r="O319" s="495"/>
      <c r="P319" s="495"/>
      <c r="Q319" s="495"/>
      <c r="R319" s="495"/>
    </row>
    <row r="320" spans="2:21" outlineLevel="1" x14ac:dyDescent="0.25">
      <c r="B320" t="s">
        <v>495</v>
      </c>
      <c r="C320" s="430">
        <f>'Raw Data'!C81</f>
        <v>1056</v>
      </c>
      <c r="D320" s="430">
        <f>'Raw Data'!D81</f>
        <v>100</v>
      </c>
      <c r="E320" s="430">
        <f>'Raw Data'!E81</f>
        <v>1371</v>
      </c>
      <c r="F320" s="430">
        <f>'Raw Data'!F81</f>
        <v>1305</v>
      </c>
      <c r="G320" s="430">
        <f>'Raw Data'!G81</f>
        <v>1155</v>
      </c>
      <c r="H320" s="495"/>
      <c r="I320" s="495"/>
      <c r="J320" s="495"/>
      <c r="K320" s="495"/>
      <c r="L320" s="495"/>
      <c r="M320" s="495"/>
      <c r="N320" s="495"/>
      <c r="O320" s="495"/>
      <c r="P320" s="495"/>
      <c r="Q320" s="495"/>
      <c r="R320" s="495"/>
    </row>
    <row r="321" spans="2:19" outlineLevel="1" x14ac:dyDescent="0.25">
      <c r="B321" s="11" t="s">
        <v>303</v>
      </c>
      <c r="C321" s="391">
        <f>SUM(C319:C320)</f>
        <v>8750</v>
      </c>
      <c r="D321" s="391">
        <f>SUM(D319:D320)</f>
        <v>24843</v>
      </c>
      <c r="E321" s="391">
        <f>SUM(E319:E320)</f>
        <v>24866</v>
      </c>
      <c r="F321" s="391">
        <f>SUM(F319:F320)</f>
        <v>24719</v>
      </c>
      <c r="G321" s="391">
        <f>SUM(G319:G320)</f>
        <v>32971</v>
      </c>
      <c r="H321" s="391">
        <f t="shared" ref="H321:R321" si="168">SUM(H319:H320)</f>
        <v>0</v>
      </c>
      <c r="I321" s="391">
        <f t="shared" si="168"/>
        <v>0</v>
      </c>
      <c r="J321" s="391">
        <f t="shared" si="168"/>
        <v>0</v>
      </c>
      <c r="K321" s="391">
        <f t="shared" si="168"/>
        <v>0</v>
      </c>
      <c r="L321" s="391">
        <f t="shared" si="168"/>
        <v>0</v>
      </c>
      <c r="M321" s="391">
        <f t="shared" si="168"/>
        <v>0</v>
      </c>
      <c r="N321" s="391">
        <f t="shared" si="168"/>
        <v>0</v>
      </c>
      <c r="O321" s="391">
        <f t="shared" si="168"/>
        <v>0</v>
      </c>
      <c r="P321" s="391">
        <f t="shared" si="168"/>
        <v>0</v>
      </c>
      <c r="Q321" s="391">
        <f t="shared" si="168"/>
        <v>0</v>
      </c>
      <c r="R321" s="391">
        <f t="shared" si="168"/>
        <v>0</v>
      </c>
    </row>
    <row r="322" spans="2:19" outlineLevel="1" x14ac:dyDescent="0.25">
      <c r="B322" s="1"/>
      <c r="C322" s="25"/>
      <c r="D322" s="25"/>
      <c r="E322" s="25"/>
      <c r="F322" s="25"/>
      <c r="G322" s="25"/>
      <c r="H322" s="25"/>
      <c r="I322" s="25"/>
      <c r="J322" s="25"/>
      <c r="K322" s="25"/>
      <c r="L322" s="25"/>
      <c r="M322" s="25"/>
      <c r="N322" s="25"/>
      <c r="O322" s="25"/>
      <c r="P322" s="25"/>
      <c r="Q322" s="25"/>
      <c r="R322" s="25"/>
    </row>
    <row r="323" spans="2:19" outlineLevel="1" x14ac:dyDescent="0.25">
      <c r="B323" t="s">
        <v>322</v>
      </c>
      <c r="C323" s="387">
        <f>-C45</f>
        <v>484</v>
      </c>
      <c r="D323" s="387">
        <f>-D45</f>
        <v>848</v>
      </c>
      <c r="E323" s="387">
        <f>-E45</f>
        <v>1417</v>
      </c>
      <c r="F323" s="387">
        <f>-F45</f>
        <v>1600</v>
      </c>
      <c r="G323" s="387">
        <f>-G45</f>
        <v>1647</v>
      </c>
      <c r="H323" s="387">
        <f ca="1">+(AVERAGE(G304:H304)+AVERAGE(G312:H312))*'Control Panel'!$F$22</f>
        <v>936.27743717886085</v>
      </c>
      <c r="I323" s="387">
        <f ca="1">+(AVERAGE(H304:I304)+AVERAGE(H312:I312))*'Control Panel'!$F$22</f>
        <v>894.55654172763957</v>
      </c>
      <c r="J323" s="387">
        <f ca="1">+(AVERAGE(I304:J304)+AVERAGE(I312:J312))*'Control Panel'!$F$22</f>
        <v>835.93149036083742</v>
      </c>
      <c r="K323" s="387">
        <f ca="1">+(AVERAGE(J304:K304)+AVERAGE(J312:K312))*'Control Panel'!$F$22</f>
        <v>751.44068269058403</v>
      </c>
      <c r="L323" s="387">
        <f ca="1">+(AVERAGE(K304:L304)+AVERAGE(K312:L312))*'Control Panel'!$F$22</f>
        <v>667.42942554275851</v>
      </c>
      <c r="M323" s="387">
        <f ca="1">+(AVERAGE(L304:M304)+AVERAGE(L312:M312))*'Control Panel'!$F$22</f>
        <v>577.49871663371448</v>
      </c>
      <c r="N323" s="387">
        <f ca="1">+(AVERAGE(M304:N304)+AVERAGE(M312:N312))*'Control Panel'!$F$22</f>
        <v>465.1040629396918</v>
      </c>
      <c r="O323" s="387">
        <f ca="1">+(AVERAGE(N304:O304)+AVERAGE(N312:O312))*'Control Panel'!$F$22</f>
        <v>352.70940924566912</v>
      </c>
      <c r="P323" s="387">
        <f ca="1">+(AVERAGE(O304:P304)+AVERAGE(O312:P312))*'Control Panel'!$F$22</f>
        <v>240.31475555164641</v>
      </c>
      <c r="Q323" s="387">
        <f ca="1">+(AVERAGE(P304:Q304)+AVERAGE(P312:Q312))*'Control Panel'!$F$22</f>
        <v>127.92010185762371</v>
      </c>
      <c r="R323" s="387">
        <f ca="1">+(AVERAGE(Q304:R304)+AVERAGE(Q312:R312))*'Control Panel'!$F$22</f>
        <v>35.861387505306176</v>
      </c>
    </row>
    <row r="324" spans="2:19" outlineLevel="1" x14ac:dyDescent="0.25">
      <c r="B324" t="s">
        <v>323</v>
      </c>
      <c r="C324" s="23"/>
      <c r="D324" s="377">
        <f>D323/((AVERAGE(C304:D304)+AVERAGE(C231:D231)))</f>
        <v>2.6750366713458779E-2</v>
      </c>
      <c r="E324" s="377">
        <f>E323/((AVERAGE(D304:E304)+AVERAGE(D231:E231)))</f>
        <v>3.0816071331484805E-2</v>
      </c>
      <c r="F324" s="377">
        <f>F323/((AVERAGE(E304:F304)+AVERAGE(E231:F231)))</f>
        <v>3.2549765539970098E-2</v>
      </c>
      <c r="G324" s="377">
        <f>G323/((AVERAGE(F304:G304)+AVERAGE(F231:G231)))</f>
        <v>2.977142702204387E-2</v>
      </c>
      <c r="H324" s="496"/>
      <c r="I324" s="496"/>
      <c r="J324" s="496"/>
      <c r="K324" s="496"/>
      <c r="L324" s="496"/>
      <c r="M324" s="496"/>
      <c r="N324" s="496"/>
      <c r="O324" s="496"/>
      <c r="P324" s="496"/>
      <c r="Q324" s="496"/>
      <c r="R324" s="496"/>
    </row>
    <row r="325" spans="2:19" outlineLevel="1" x14ac:dyDescent="0.25">
      <c r="C325" s="23"/>
      <c r="D325" s="377"/>
      <c r="E325" s="377"/>
      <c r="F325" s="377"/>
      <c r="G325" s="377"/>
      <c r="H325" s="87"/>
      <c r="I325" s="87"/>
      <c r="J325" s="87"/>
      <c r="K325" s="87"/>
      <c r="L325" s="87"/>
      <c r="M325" s="87"/>
      <c r="N325" s="87"/>
      <c r="O325" s="87"/>
      <c r="P325" s="87"/>
      <c r="Q325" s="87"/>
      <c r="R325" s="87"/>
    </row>
    <row r="326" spans="2:19" outlineLevel="1" x14ac:dyDescent="0.25"/>
    <row r="327" spans="2:19" x14ac:dyDescent="0.25">
      <c r="B327" s="219" t="s">
        <v>299</v>
      </c>
      <c r="C327" s="219"/>
      <c r="D327" s="219"/>
      <c r="E327" s="219"/>
      <c r="F327" s="219"/>
      <c r="G327" s="219"/>
      <c r="H327" s="219"/>
      <c r="I327" s="219"/>
      <c r="J327" s="219"/>
      <c r="K327" s="219"/>
      <c r="L327" s="219"/>
      <c r="M327" s="219"/>
      <c r="N327" s="219"/>
      <c r="O327" s="219"/>
      <c r="P327" s="219"/>
      <c r="Q327" s="219"/>
      <c r="R327" s="219"/>
    </row>
    <row r="328" spans="2:19" ht="5.4" customHeight="1" outlineLevel="1" x14ac:dyDescent="0.25"/>
    <row r="329" spans="2:19" outlineLevel="1" x14ac:dyDescent="0.25">
      <c r="B329" t="s">
        <v>123</v>
      </c>
      <c r="C329" s="387">
        <f t="shared" ref="C329:R329" si="169">+C43</f>
        <v>4186</v>
      </c>
      <c r="D329" s="387">
        <f t="shared" si="169"/>
        <v>4106</v>
      </c>
      <c r="E329" s="387">
        <f t="shared" si="169"/>
        <v>12421</v>
      </c>
      <c r="F329" s="387">
        <f t="shared" si="169"/>
        <v>14541</v>
      </c>
      <c r="G329" s="387">
        <f t="shared" si="169"/>
        <v>22899</v>
      </c>
      <c r="H329" s="387">
        <f t="shared" si="169"/>
        <v>21911.440711857053</v>
      </c>
      <c r="I329" s="387">
        <f t="shared" si="169"/>
        <v>27385.902171984199</v>
      </c>
      <c r="J329" s="387">
        <f t="shared" si="169"/>
        <v>33060.133662955952</v>
      </c>
      <c r="K329" s="387">
        <f t="shared" si="169"/>
        <v>38712.457554483903</v>
      </c>
      <c r="L329" s="387">
        <f t="shared" si="169"/>
        <v>44149.086713522673</v>
      </c>
      <c r="M329" s="387">
        <f t="shared" si="169"/>
        <v>49220.923821760574</v>
      </c>
      <c r="N329" s="387">
        <f t="shared" si="169"/>
        <v>53829.539688669844</v>
      </c>
      <c r="O329" s="387">
        <f t="shared" si="169"/>
        <v>57924.382188032148</v>
      </c>
      <c r="P329" s="387">
        <f t="shared" si="169"/>
        <v>61494.565381522523</v>
      </c>
      <c r="Q329" s="387">
        <f t="shared" si="169"/>
        <v>64558.491872715531</v>
      </c>
      <c r="R329" s="387">
        <f t="shared" si="169"/>
        <v>67153.69599977741</v>
      </c>
      <c r="S329" s="23"/>
    </row>
    <row r="330" spans="2:19" outlineLevel="1" x14ac:dyDescent="0.25">
      <c r="B330" t="s">
        <v>124</v>
      </c>
      <c r="C330" s="387">
        <f t="shared" ref="C330:R330" si="170">+C105</f>
        <v>8116</v>
      </c>
      <c r="D330" s="387">
        <f t="shared" si="170"/>
        <v>11478</v>
      </c>
      <c r="E330" s="387">
        <f t="shared" si="170"/>
        <v>15341</v>
      </c>
      <c r="F330" s="387">
        <f t="shared" si="170"/>
        <v>21789</v>
      </c>
      <c r="G330" s="387">
        <f t="shared" si="170"/>
        <v>25251</v>
      </c>
      <c r="H330" s="387">
        <f t="shared" si="170"/>
        <v>18379.616022124424</v>
      </c>
      <c r="I330" s="387">
        <f t="shared" si="170"/>
        <v>24793.122361877118</v>
      </c>
      <c r="J330" s="387">
        <f t="shared" si="170"/>
        <v>32535.477370263463</v>
      </c>
      <c r="K330" s="387">
        <f t="shared" si="170"/>
        <v>41601.550505041698</v>
      </c>
      <c r="L330" s="387">
        <f t="shared" si="170"/>
        <v>51940.828201766009</v>
      </c>
      <c r="M330" s="387">
        <f t="shared" si="170"/>
        <v>63467.87978461614</v>
      </c>
      <c r="N330" s="387">
        <f t="shared" si="170"/>
        <v>71996.804083937939</v>
      </c>
      <c r="O330" s="387">
        <f t="shared" si="170"/>
        <v>84542.764349919162</v>
      </c>
      <c r="P330" s="387">
        <f t="shared" si="170"/>
        <v>98944.18090570459</v>
      </c>
      <c r="Q330" s="387">
        <f t="shared" si="170"/>
        <v>114063.13862016346</v>
      </c>
      <c r="R330" s="387">
        <f t="shared" si="170"/>
        <v>116507.0255415717</v>
      </c>
      <c r="S330" s="23"/>
    </row>
    <row r="331" spans="2:19" outlineLevel="1" x14ac:dyDescent="0.25">
      <c r="B331" s="11" t="s">
        <v>125</v>
      </c>
      <c r="C331" s="391">
        <f t="shared" ref="C331:H331" si="171">SUM(C329:C330)</f>
        <v>12302</v>
      </c>
      <c r="D331" s="391">
        <f t="shared" si="171"/>
        <v>15584</v>
      </c>
      <c r="E331" s="391">
        <f t="shared" si="171"/>
        <v>27762</v>
      </c>
      <c r="F331" s="391">
        <f t="shared" si="171"/>
        <v>36330</v>
      </c>
      <c r="G331" s="391">
        <f t="shared" si="171"/>
        <v>48150</v>
      </c>
      <c r="H331" s="391">
        <f t="shared" si="171"/>
        <v>40291.056733981473</v>
      </c>
      <c r="I331" s="391">
        <f t="shared" ref="I331:R331" si="172">SUM(I329:I330)</f>
        <v>52179.024533861317</v>
      </c>
      <c r="J331" s="391">
        <f t="shared" si="172"/>
        <v>65595.611033219408</v>
      </c>
      <c r="K331" s="391">
        <f t="shared" si="172"/>
        <v>80314.0080595256</v>
      </c>
      <c r="L331" s="391">
        <f t="shared" si="172"/>
        <v>96089.914915288682</v>
      </c>
      <c r="M331" s="391">
        <f t="shared" si="172"/>
        <v>112688.80360637672</v>
      </c>
      <c r="N331" s="391">
        <f t="shared" si="172"/>
        <v>125826.34377260778</v>
      </c>
      <c r="O331" s="391">
        <f t="shared" si="172"/>
        <v>142467.14653795131</v>
      </c>
      <c r="P331" s="391">
        <f t="shared" si="172"/>
        <v>160438.74628722711</v>
      </c>
      <c r="Q331" s="391">
        <f t="shared" si="172"/>
        <v>178621.63049287899</v>
      </c>
      <c r="R331" s="391">
        <f t="shared" si="172"/>
        <v>183660.72154134911</v>
      </c>
      <c r="S331" s="23"/>
    </row>
    <row r="332" spans="2:19" outlineLevel="1" x14ac:dyDescent="0.25">
      <c r="B332" s="1"/>
      <c r="C332" s="359"/>
      <c r="D332" s="359"/>
      <c r="E332" s="359"/>
      <c r="F332" s="359"/>
      <c r="G332" s="359"/>
      <c r="H332" s="359"/>
      <c r="I332" s="359"/>
      <c r="J332" s="359"/>
      <c r="K332" s="359"/>
      <c r="L332" s="359"/>
      <c r="M332" s="359"/>
      <c r="N332" s="359"/>
      <c r="O332" s="359"/>
      <c r="P332" s="359"/>
      <c r="Q332" s="359"/>
      <c r="R332" s="359"/>
      <c r="S332" s="23"/>
    </row>
    <row r="333" spans="2:19" outlineLevel="1" x14ac:dyDescent="0.25">
      <c r="B333" t="s">
        <v>126</v>
      </c>
      <c r="C333" s="387">
        <f t="shared" ref="C333:R333" si="173">+C106</f>
        <v>2975</v>
      </c>
      <c r="D333" s="387">
        <f t="shared" si="173"/>
        <v>4215</v>
      </c>
      <c r="E333" s="387">
        <f t="shared" si="173"/>
        <v>5418</v>
      </c>
      <c r="F333" s="387">
        <f t="shared" si="173"/>
        <v>6864</v>
      </c>
      <c r="G333" s="387">
        <f t="shared" si="173"/>
        <v>9208</v>
      </c>
      <c r="H333" s="387">
        <f t="shared" si="173"/>
        <v>11759.596815421703</v>
      </c>
      <c r="I333" s="387">
        <f t="shared" si="173"/>
        <v>14697.671969823663</v>
      </c>
      <c r="J333" s="387">
        <f t="shared" si="173"/>
        <v>17742.961207016084</v>
      </c>
      <c r="K333" s="387">
        <f t="shared" si="173"/>
        <v>20776.492908953689</v>
      </c>
      <c r="L333" s="387">
        <f t="shared" si="173"/>
        <v>23694.263939439348</v>
      </c>
      <c r="M333" s="387">
        <f t="shared" si="173"/>
        <v>26416.25562819677</v>
      </c>
      <c r="N333" s="387">
        <f t="shared" si="173"/>
        <v>28889.642256884974</v>
      </c>
      <c r="O333" s="387">
        <f t="shared" si="173"/>
        <v>31087.293130161477</v>
      </c>
      <c r="P333" s="387">
        <f t="shared" si="173"/>
        <v>33003.365900763049</v>
      </c>
      <c r="Q333" s="387">
        <f t="shared" si="173"/>
        <v>34647.737016397798</v>
      </c>
      <c r="R333" s="387">
        <f t="shared" si="173"/>
        <v>36040.550687999566</v>
      </c>
      <c r="S333" s="23"/>
    </row>
    <row r="334" spans="2:19" outlineLevel="1" x14ac:dyDescent="0.25">
      <c r="B334" s="11" t="s">
        <v>127</v>
      </c>
      <c r="C334" s="391">
        <f>SUM(C331:C333)</f>
        <v>15277</v>
      </c>
      <c r="D334" s="391">
        <f>SUM(D331:D333)</f>
        <v>19799</v>
      </c>
      <c r="E334" s="391">
        <f>SUM(E331:E333)</f>
        <v>33180</v>
      </c>
      <c r="F334" s="391">
        <f>SUM(F331:F333)</f>
        <v>43194</v>
      </c>
      <c r="G334" s="391">
        <f>SUM(G331:G333)</f>
        <v>57358</v>
      </c>
      <c r="H334" s="391">
        <f t="shared" ref="H334:R334" si="174">SUM(H331:H333)</f>
        <v>52050.653549403178</v>
      </c>
      <c r="I334" s="391">
        <f t="shared" si="174"/>
        <v>66876.696503684972</v>
      </c>
      <c r="J334" s="391">
        <f t="shared" si="174"/>
        <v>83338.572240235488</v>
      </c>
      <c r="K334" s="391">
        <f t="shared" si="174"/>
        <v>101090.50096847929</v>
      </c>
      <c r="L334" s="391">
        <f t="shared" si="174"/>
        <v>119784.17885472803</v>
      </c>
      <c r="M334" s="391">
        <f t="shared" si="174"/>
        <v>139105.05923457351</v>
      </c>
      <c r="N334" s="391">
        <f t="shared" si="174"/>
        <v>154715.98602949275</v>
      </c>
      <c r="O334" s="391">
        <f t="shared" si="174"/>
        <v>173554.43966811278</v>
      </c>
      <c r="P334" s="391">
        <f t="shared" si="174"/>
        <v>193442.11218799016</v>
      </c>
      <c r="Q334" s="391">
        <f t="shared" si="174"/>
        <v>213269.36750927678</v>
      </c>
      <c r="R334" s="391">
        <f t="shared" si="174"/>
        <v>219701.27222934866</v>
      </c>
      <c r="S334" s="23"/>
    </row>
    <row r="335" spans="2:19" outlineLevel="1" x14ac:dyDescent="0.25">
      <c r="C335" s="359"/>
      <c r="D335" s="359"/>
      <c r="E335" s="359"/>
      <c r="F335" s="359"/>
      <c r="G335" s="359"/>
      <c r="H335" s="359"/>
      <c r="I335" s="359"/>
      <c r="J335" s="359"/>
      <c r="K335" s="359"/>
      <c r="L335" s="359"/>
      <c r="M335" s="359"/>
      <c r="N335" s="359"/>
      <c r="O335" s="359"/>
      <c r="P335" s="359"/>
      <c r="Q335" s="359"/>
      <c r="R335" s="359"/>
      <c r="S335" s="23"/>
    </row>
    <row r="336" spans="2:19" outlineLevel="1" x14ac:dyDescent="0.25">
      <c r="B336" s="1" t="s">
        <v>128</v>
      </c>
      <c r="C336" s="359"/>
      <c r="D336" s="359"/>
      <c r="E336" s="359"/>
      <c r="F336" s="359"/>
      <c r="G336" s="359"/>
      <c r="H336" s="359"/>
      <c r="I336" s="359"/>
      <c r="J336" s="359"/>
      <c r="K336" s="359"/>
      <c r="L336" s="359"/>
      <c r="M336" s="359"/>
      <c r="N336" s="359"/>
      <c r="O336" s="359"/>
      <c r="P336" s="359"/>
      <c r="Q336" s="359"/>
      <c r="R336" s="359"/>
      <c r="S336" s="23"/>
    </row>
    <row r="337" spans="2:19" outlineLevel="1" x14ac:dyDescent="0.25">
      <c r="B337" t="s">
        <v>129</v>
      </c>
      <c r="C337" s="387">
        <f t="shared" ref="C337:R337" si="175">+C43</f>
        <v>4186</v>
      </c>
      <c r="D337" s="387">
        <f t="shared" si="175"/>
        <v>4106</v>
      </c>
      <c r="E337" s="387">
        <f t="shared" si="175"/>
        <v>12421</v>
      </c>
      <c r="F337" s="387">
        <f t="shared" si="175"/>
        <v>14541</v>
      </c>
      <c r="G337" s="387">
        <f t="shared" si="175"/>
        <v>22899</v>
      </c>
      <c r="H337" s="387">
        <f>+H43</f>
        <v>21911.440711857053</v>
      </c>
      <c r="I337" s="387">
        <f t="shared" si="175"/>
        <v>27385.902171984199</v>
      </c>
      <c r="J337" s="387">
        <f t="shared" si="175"/>
        <v>33060.133662955952</v>
      </c>
      <c r="K337" s="387">
        <f t="shared" si="175"/>
        <v>38712.457554483903</v>
      </c>
      <c r="L337" s="387">
        <f t="shared" si="175"/>
        <v>44149.086713522673</v>
      </c>
      <c r="M337" s="387">
        <f t="shared" si="175"/>
        <v>49220.923821760574</v>
      </c>
      <c r="N337" s="387">
        <f t="shared" si="175"/>
        <v>53829.539688669844</v>
      </c>
      <c r="O337" s="387">
        <f t="shared" si="175"/>
        <v>57924.382188032148</v>
      </c>
      <c r="P337" s="387">
        <f t="shared" si="175"/>
        <v>61494.565381522523</v>
      </c>
      <c r="Q337" s="387">
        <f t="shared" si="175"/>
        <v>64558.491872715531</v>
      </c>
      <c r="R337" s="387">
        <f t="shared" si="175"/>
        <v>67153.69599977741</v>
      </c>
      <c r="S337" s="23"/>
    </row>
    <row r="338" spans="2:19" outlineLevel="1" x14ac:dyDescent="0.25">
      <c r="B338" s="7" t="s">
        <v>130</v>
      </c>
      <c r="C338" s="387">
        <f>_TaxRate*-C337</f>
        <v>-1347.8920000000001</v>
      </c>
      <c r="D338" s="387">
        <f>_TaxRate*-D337</f>
        <v>-1322.1320000000001</v>
      </c>
      <c r="E338" s="387">
        <f>_TaxRate*-E337</f>
        <v>-3999.5619999999999</v>
      </c>
      <c r="F338" s="387">
        <f>_TaxRate*-F337</f>
        <v>-4682.2020000000002</v>
      </c>
      <c r="G338" s="387">
        <f>_TaxRate*-G337</f>
        <v>-7373.4780000000001</v>
      </c>
      <c r="H338" s="387">
        <f t="shared" ref="H338:R338" si="176">_TaxRate*-H337</f>
        <v>-7055.4839092179709</v>
      </c>
      <c r="I338" s="387">
        <f t="shared" si="176"/>
        <v>-8818.2604993789118</v>
      </c>
      <c r="J338" s="387">
        <f t="shared" si="176"/>
        <v>-10645.363039471817</v>
      </c>
      <c r="K338" s="387">
        <f t="shared" si="176"/>
        <v>-12465.411332543817</v>
      </c>
      <c r="L338" s="387">
        <f t="shared" si="176"/>
        <v>-14216.0059217543</v>
      </c>
      <c r="M338" s="387">
        <f t="shared" si="176"/>
        <v>-15849.137470606905</v>
      </c>
      <c r="N338" s="387">
        <f t="shared" si="176"/>
        <v>-17333.111779751689</v>
      </c>
      <c r="O338" s="387">
        <f t="shared" si="176"/>
        <v>-18651.651064546353</v>
      </c>
      <c r="P338" s="387">
        <f t="shared" si="176"/>
        <v>-19801.250052850253</v>
      </c>
      <c r="Q338" s="387">
        <f t="shared" si="176"/>
        <v>-20787.8343830144</v>
      </c>
      <c r="R338" s="387">
        <f t="shared" si="176"/>
        <v>-21623.490111928328</v>
      </c>
      <c r="S338" s="23"/>
    </row>
    <row r="339" spans="2:19" outlineLevel="1" x14ac:dyDescent="0.25">
      <c r="B339" s="11" t="s">
        <v>131</v>
      </c>
      <c r="C339" s="391">
        <f t="shared" ref="C339:H339" si="177">SUM(C337:C338)</f>
        <v>2838.1080000000002</v>
      </c>
      <c r="D339" s="391">
        <f t="shared" si="177"/>
        <v>2783.8679999999999</v>
      </c>
      <c r="E339" s="391">
        <f t="shared" si="177"/>
        <v>8421.4380000000001</v>
      </c>
      <c r="F339" s="391">
        <f t="shared" si="177"/>
        <v>9858.7979999999989</v>
      </c>
      <c r="G339" s="391">
        <f t="shared" si="177"/>
        <v>15525.522000000001</v>
      </c>
      <c r="H339" s="391">
        <f t="shared" si="177"/>
        <v>14855.956802639081</v>
      </c>
      <c r="I339" s="391">
        <f t="shared" ref="I339:R339" si="178">SUM(I337:I338)</f>
        <v>18567.641672605285</v>
      </c>
      <c r="J339" s="391">
        <f t="shared" si="178"/>
        <v>22414.770623484135</v>
      </c>
      <c r="K339" s="391">
        <f t="shared" si="178"/>
        <v>26247.046221940087</v>
      </c>
      <c r="L339" s="391">
        <f t="shared" si="178"/>
        <v>29933.080791768371</v>
      </c>
      <c r="M339" s="391">
        <f t="shared" si="178"/>
        <v>33371.786351153671</v>
      </c>
      <c r="N339" s="391">
        <f t="shared" si="178"/>
        <v>36496.427908918151</v>
      </c>
      <c r="O339" s="391">
        <f t="shared" si="178"/>
        <v>39272.731123485792</v>
      </c>
      <c r="P339" s="391">
        <f t="shared" si="178"/>
        <v>41693.315328672266</v>
      </c>
      <c r="Q339" s="391">
        <f t="shared" si="178"/>
        <v>43770.657489701131</v>
      </c>
      <c r="R339" s="391">
        <f t="shared" si="178"/>
        <v>45530.205887849079</v>
      </c>
      <c r="S339" s="23"/>
    </row>
    <row r="340" spans="2:19" outlineLevel="1" x14ac:dyDescent="0.25">
      <c r="B340" s="7" t="s">
        <v>132</v>
      </c>
      <c r="C340" s="387">
        <f t="shared" ref="C340:R340" si="179">+C105</f>
        <v>8116</v>
      </c>
      <c r="D340" s="387">
        <f t="shared" si="179"/>
        <v>11478</v>
      </c>
      <c r="E340" s="387">
        <f t="shared" si="179"/>
        <v>15341</v>
      </c>
      <c r="F340" s="387">
        <f t="shared" si="179"/>
        <v>21789</v>
      </c>
      <c r="G340" s="387">
        <f t="shared" si="179"/>
        <v>25251</v>
      </c>
      <c r="H340" s="387">
        <f t="shared" si="179"/>
        <v>18379.616022124424</v>
      </c>
      <c r="I340" s="387">
        <f t="shared" si="179"/>
        <v>24793.122361877118</v>
      </c>
      <c r="J340" s="387">
        <f t="shared" si="179"/>
        <v>32535.477370263463</v>
      </c>
      <c r="K340" s="387">
        <f t="shared" si="179"/>
        <v>41601.550505041698</v>
      </c>
      <c r="L340" s="387">
        <f t="shared" si="179"/>
        <v>51940.828201766009</v>
      </c>
      <c r="M340" s="387">
        <f t="shared" si="179"/>
        <v>63467.87978461614</v>
      </c>
      <c r="N340" s="387">
        <f t="shared" si="179"/>
        <v>71996.804083937939</v>
      </c>
      <c r="O340" s="387">
        <f t="shared" si="179"/>
        <v>84542.764349919162</v>
      </c>
      <c r="P340" s="387">
        <f t="shared" si="179"/>
        <v>98944.18090570459</v>
      </c>
      <c r="Q340" s="387">
        <f t="shared" si="179"/>
        <v>114063.13862016346</v>
      </c>
      <c r="R340" s="387">
        <f t="shared" si="179"/>
        <v>116507.0255415717</v>
      </c>
      <c r="S340" s="23"/>
    </row>
    <row r="341" spans="2:19" outlineLevel="1" x14ac:dyDescent="0.25">
      <c r="B341" s="7" t="s">
        <v>133</v>
      </c>
      <c r="C341" s="387">
        <f t="shared" ref="C341:R341" si="180">+C106</f>
        <v>2975</v>
      </c>
      <c r="D341" s="387">
        <f t="shared" si="180"/>
        <v>4215</v>
      </c>
      <c r="E341" s="387">
        <f t="shared" si="180"/>
        <v>5418</v>
      </c>
      <c r="F341" s="387">
        <f t="shared" si="180"/>
        <v>6864</v>
      </c>
      <c r="G341" s="387">
        <f t="shared" si="180"/>
        <v>9208</v>
      </c>
      <c r="H341" s="387">
        <f t="shared" si="180"/>
        <v>11759.596815421703</v>
      </c>
      <c r="I341" s="387">
        <f t="shared" si="180"/>
        <v>14697.671969823663</v>
      </c>
      <c r="J341" s="387">
        <f t="shared" si="180"/>
        <v>17742.961207016084</v>
      </c>
      <c r="K341" s="387">
        <f t="shared" si="180"/>
        <v>20776.492908953689</v>
      </c>
      <c r="L341" s="387">
        <f t="shared" si="180"/>
        <v>23694.263939439348</v>
      </c>
      <c r="M341" s="387">
        <f t="shared" si="180"/>
        <v>26416.25562819677</v>
      </c>
      <c r="N341" s="387">
        <f t="shared" si="180"/>
        <v>28889.642256884974</v>
      </c>
      <c r="O341" s="387">
        <f t="shared" si="180"/>
        <v>31087.293130161477</v>
      </c>
      <c r="P341" s="387">
        <f t="shared" si="180"/>
        <v>33003.365900763049</v>
      </c>
      <c r="Q341" s="387">
        <f t="shared" si="180"/>
        <v>34647.737016397798</v>
      </c>
      <c r="R341" s="387">
        <f t="shared" si="180"/>
        <v>36040.550687999566</v>
      </c>
      <c r="S341" s="23"/>
    </row>
    <row r="342" spans="2:19" outlineLevel="1" x14ac:dyDescent="0.25">
      <c r="B342" s="7" t="s">
        <v>134</v>
      </c>
      <c r="C342" s="387">
        <f t="shared" ref="C342:R342" si="181">+C107</f>
        <v>-106</v>
      </c>
      <c r="D342" s="387">
        <f t="shared" si="181"/>
        <v>-119</v>
      </c>
      <c r="E342" s="387">
        <f t="shared" si="181"/>
        <v>934</v>
      </c>
      <c r="F342" s="387">
        <f t="shared" si="181"/>
        <v>711</v>
      </c>
      <c r="G342" s="387">
        <f t="shared" si="181"/>
        <v>-3207</v>
      </c>
      <c r="H342" s="387">
        <f t="shared" si="181"/>
        <v>-1690.9599999999991</v>
      </c>
      <c r="I342" s="387">
        <f t="shared" si="181"/>
        <v>-1758.5984000000026</v>
      </c>
      <c r="J342" s="387">
        <f t="shared" si="181"/>
        <v>-1828.9423360000001</v>
      </c>
      <c r="K342" s="387">
        <f t="shared" si="181"/>
        <v>-1902.1000294400001</v>
      </c>
      <c r="L342" s="387">
        <f t="shared" si="181"/>
        <v>-1978.1840306176018</v>
      </c>
      <c r="M342" s="387">
        <f t="shared" si="181"/>
        <v>-2057.3113918423041</v>
      </c>
      <c r="N342" s="387">
        <f t="shared" si="181"/>
        <v>-2139.6038475159949</v>
      </c>
      <c r="O342" s="387">
        <f t="shared" si="181"/>
        <v>-2225.1880014166381</v>
      </c>
      <c r="P342" s="387">
        <f t="shared" si="181"/>
        <v>-2314.1955214733025</v>
      </c>
      <c r="Q342" s="387">
        <f t="shared" si="181"/>
        <v>-2406.7633423322332</v>
      </c>
      <c r="R342" s="387">
        <f t="shared" si="181"/>
        <v>-2503.0338760255254</v>
      </c>
      <c r="S342" s="23"/>
    </row>
    <row r="343" spans="2:19" outlineLevel="1" x14ac:dyDescent="0.25">
      <c r="B343" s="7" t="s">
        <v>135</v>
      </c>
      <c r="C343" s="387">
        <f t="shared" ref="C343:R343" si="182">C118+C119</f>
        <v>-6737</v>
      </c>
      <c r="D343" s="387">
        <f t="shared" si="182"/>
        <v>-10058</v>
      </c>
      <c r="E343" s="387">
        <f t="shared" si="182"/>
        <v>-11323</v>
      </c>
      <c r="F343" s="387">
        <f t="shared" si="182"/>
        <v>-12689</v>
      </c>
      <c r="G343" s="387">
        <f t="shared" si="182"/>
        <v>-35044</v>
      </c>
      <c r="H343" s="387">
        <f t="shared" si="182"/>
        <v>-29173.157643537197</v>
      </c>
      <c r="I343" s="387">
        <f t="shared" si="182"/>
        <v>-36461.921960314037</v>
      </c>
      <c r="J343" s="387">
        <f t="shared" si="182"/>
        <v>-44016.662516578246</v>
      </c>
      <c r="K343" s="387">
        <f t="shared" si="182"/>
        <v>-51542.235029509669</v>
      </c>
      <c r="L343" s="387">
        <f t="shared" si="182"/>
        <v>-58780.628962240065</v>
      </c>
      <c r="M343" s="387">
        <f t="shared" si="182"/>
        <v>-65533.334338701614</v>
      </c>
      <c r="N343" s="387">
        <f t="shared" si="182"/>
        <v>-71669.301342052524</v>
      </c>
      <c r="O343" s="387">
        <f t="shared" si="182"/>
        <v>-77121.224258956834</v>
      </c>
      <c r="P343" s="387">
        <f t="shared" si="182"/>
        <v>-81874.609419232365</v>
      </c>
      <c r="Q343" s="387">
        <f t="shared" si="182"/>
        <v>-85953.958272245858</v>
      </c>
      <c r="R343" s="387">
        <f t="shared" si="182"/>
        <v>-89409.244490598678</v>
      </c>
      <c r="S343" s="23"/>
    </row>
    <row r="344" spans="2:19" outlineLevel="1" x14ac:dyDescent="0.25">
      <c r="B344" s="7" t="s">
        <v>136</v>
      </c>
      <c r="C344" s="387">
        <f t="shared" ref="C344:R344" si="183">SUM(C110:C114)</f>
        <v>3916</v>
      </c>
      <c r="D344" s="387">
        <f t="shared" si="183"/>
        <v>-242</v>
      </c>
      <c r="E344" s="387">
        <f t="shared" si="183"/>
        <v>-1043</v>
      </c>
      <c r="F344" s="387">
        <f t="shared" si="183"/>
        <v>-2438</v>
      </c>
      <c r="G344" s="387">
        <f t="shared" si="183"/>
        <v>13481</v>
      </c>
      <c r="H344" s="387">
        <f t="shared" si="183"/>
        <v>6482.8666231186053</v>
      </c>
      <c r="I344" s="387">
        <f t="shared" si="183"/>
        <v>20997.375940585669</v>
      </c>
      <c r="J344" s="387">
        <f t="shared" si="183"/>
        <v>21691.448183934179</v>
      </c>
      <c r="K344" s="387">
        <f t="shared" si="183"/>
        <v>21442.918643779554</v>
      </c>
      <c r="L344" s="387">
        <f t="shared" si="183"/>
        <v>20670.567713987162</v>
      </c>
      <c r="M344" s="387">
        <f t="shared" si="183"/>
        <v>19092.516269453634</v>
      </c>
      <c r="N344" s="387">
        <f t="shared" si="183"/>
        <v>17215.017374029281</v>
      </c>
      <c r="O344" s="387">
        <f t="shared" si="183"/>
        <v>15039.991568230624</v>
      </c>
      <c r="P344" s="387">
        <f t="shared" si="183"/>
        <v>13161.771566776311</v>
      </c>
      <c r="Q344" s="387">
        <f t="shared" si="183"/>
        <v>11036.147479017854</v>
      </c>
      <c r="R344" s="387">
        <f t="shared" si="183"/>
        <v>9176.2077596433592</v>
      </c>
      <c r="S344" s="23"/>
    </row>
    <row r="345" spans="2:19" outlineLevel="1" x14ac:dyDescent="0.25">
      <c r="B345" s="18" t="s">
        <v>128</v>
      </c>
      <c r="C345" s="391">
        <f t="shared" ref="C345:G345" si="184">SUM(C339:C344)</f>
        <v>11002.108</v>
      </c>
      <c r="D345" s="391">
        <f t="shared" si="184"/>
        <v>8057.8680000000022</v>
      </c>
      <c r="E345" s="391">
        <f t="shared" si="184"/>
        <v>17748.438000000002</v>
      </c>
      <c r="F345" s="391">
        <f t="shared" si="184"/>
        <v>24095.797999999995</v>
      </c>
      <c r="G345" s="391">
        <f t="shared" si="184"/>
        <v>25214.521999999997</v>
      </c>
      <c r="H345" s="391">
        <f>SUM(H339:H344)</f>
        <v>20613.91861976662</v>
      </c>
      <c r="I345" s="391">
        <f t="shared" ref="I345:R345" si="185">SUM(I339:I344)</f>
        <v>40835.291584577695</v>
      </c>
      <c r="J345" s="391">
        <f t="shared" si="185"/>
        <v>48539.052532119618</v>
      </c>
      <c r="K345" s="391">
        <f t="shared" si="185"/>
        <v>56623.673220765355</v>
      </c>
      <c r="L345" s="391">
        <f t="shared" si="185"/>
        <v>65479.927654103223</v>
      </c>
      <c r="M345" s="391">
        <f t="shared" si="185"/>
        <v>74757.792302876289</v>
      </c>
      <c r="N345" s="391">
        <f t="shared" si="185"/>
        <v>80788.986434201812</v>
      </c>
      <c r="O345" s="391">
        <f t="shared" si="185"/>
        <v>90596.367911423586</v>
      </c>
      <c r="P345" s="391">
        <f t="shared" si="185"/>
        <v>102613.82876121055</v>
      </c>
      <c r="Q345" s="391">
        <f t="shared" si="185"/>
        <v>115156.95899070214</v>
      </c>
      <c r="R345" s="391">
        <f t="shared" si="185"/>
        <v>115341.71151043949</v>
      </c>
      <c r="S345" s="23"/>
    </row>
  </sheetData>
  <pageMargins left="0.7" right="0.7" top="0.75" bottom="0.75" header="0.3" footer="0.3"/>
  <pageSetup scale="32" fitToWidth="0" fitToHeight="3" orientation="portrait" r:id="rId1"/>
  <rowBreaks count="2" manualBreakCount="2">
    <brk id="95" max="18" man="1"/>
    <brk id="251" max="18" man="1"/>
  </rowBreaks>
  <customProperties>
    <customPr name="Guid" r:id="rId2"/>
  </customProperties>
  <ignoredErrors>
    <ignoredError sqref="I88:R88" formula="1"/>
    <ignoredError sqref="C107:D107 E121:G121 C121:D121 E126:G126 E125:F125 C126:D126 C125:D125 G125 F107:G107" formulaRange="1"/>
  </ignoredErrors>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8D417-4163-4C61-A7F0-12A7F9C058F9}">
  <dimension ref="A1:Q164"/>
  <sheetViews>
    <sheetView showGridLines="0" zoomScaleNormal="100" workbookViewId="0"/>
  </sheetViews>
  <sheetFormatPr defaultColWidth="12.75" defaultRowHeight="15.6" x14ac:dyDescent="0.3"/>
  <cols>
    <col min="1" max="1" width="3.375" style="69" customWidth="1"/>
    <col min="2" max="2" width="65.75" style="69" customWidth="1"/>
    <col min="3" max="7" width="12.75" style="69"/>
    <col min="8" max="8" width="5.75" style="69" customWidth="1"/>
    <col min="9" max="9" width="45.125" style="69" bestFit="1" customWidth="1"/>
    <col min="10" max="14" width="12.75" style="69"/>
    <col min="15" max="15" width="14.125" style="69" bestFit="1" customWidth="1"/>
    <col min="16" max="16384" width="12.75" style="69"/>
  </cols>
  <sheetData>
    <row r="1" spans="1:17" x14ac:dyDescent="0.3">
      <c r="A1" s="2" t="s">
        <v>76</v>
      </c>
      <c r="B1" s="2"/>
      <c r="C1" s="2"/>
      <c r="D1" s="2"/>
      <c r="E1" s="2"/>
      <c r="F1" s="2"/>
      <c r="G1" s="2"/>
      <c r="H1" s="2"/>
      <c r="I1" s="2"/>
      <c r="J1" s="2"/>
      <c r="K1" s="2"/>
      <c r="L1" s="2"/>
      <c r="M1" s="2"/>
      <c r="N1" s="2"/>
      <c r="O1" s="2"/>
      <c r="P1" s="2"/>
    </row>
    <row r="2" spans="1:17" s="117" customFormat="1" ht="20.100000000000001" customHeight="1" x14ac:dyDescent="0.3">
      <c r="A2" s="70" t="s">
        <v>326</v>
      </c>
      <c r="B2" s="116"/>
      <c r="C2" s="116"/>
      <c r="D2" s="116"/>
      <c r="E2" s="116"/>
      <c r="F2" s="116"/>
      <c r="G2" s="116"/>
      <c r="H2" s="116"/>
      <c r="I2" s="116"/>
      <c r="J2" s="116"/>
      <c r="K2" s="116"/>
      <c r="L2" s="116"/>
      <c r="M2" s="116"/>
      <c r="N2" s="116"/>
      <c r="O2" s="116"/>
      <c r="P2" s="116"/>
    </row>
    <row r="3" spans="1:17" x14ac:dyDescent="0.3">
      <c r="A3" s="71" t="s">
        <v>229</v>
      </c>
      <c r="B3" s="72"/>
      <c r="C3" s="72"/>
      <c r="D3" s="72"/>
      <c r="E3" s="72"/>
      <c r="F3" s="72"/>
      <c r="G3" s="72"/>
      <c r="H3" s="557"/>
      <c r="I3" s="557"/>
      <c r="J3" s="557"/>
      <c r="K3" s="557"/>
      <c r="L3" s="557"/>
      <c r="M3" s="557"/>
      <c r="N3" s="557"/>
      <c r="O3" s="557"/>
      <c r="P3" s="557"/>
    </row>
    <row r="4" spans="1:17" x14ac:dyDescent="0.3">
      <c r="A4" s="417" t="s">
        <v>351</v>
      </c>
      <c r="I4" s="497"/>
      <c r="J4" s="497"/>
      <c r="K4" s="497"/>
      <c r="L4" s="497"/>
      <c r="M4" s="497"/>
      <c r="N4" s="497"/>
      <c r="O4" s="497"/>
      <c r="P4" s="497"/>
    </row>
    <row r="5" spans="1:17" x14ac:dyDescent="0.3">
      <c r="B5" s="124"/>
      <c r="C5" s="143">
        <f>'Financial Statements'!C5</f>
        <v>2016</v>
      </c>
      <c r="D5" s="143">
        <f>'Financial Statements'!D5</f>
        <v>2017</v>
      </c>
      <c r="E5" s="143">
        <f>'Financial Statements'!E5</f>
        <v>2018</v>
      </c>
      <c r="F5" s="143">
        <f>'Financial Statements'!F5</f>
        <v>2019</v>
      </c>
      <c r="G5" s="143">
        <f>'Financial Statements'!G5</f>
        <v>2020</v>
      </c>
      <c r="I5" s="498" t="s">
        <v>430</v>
      </c>
      <c r="J5" s="143">
        <f>C5</f>
        <v>2016</v>
      </c>
      <c r="K5" s="143">
        <f>D5</f>
        <v>2017</v>
      </c>
      <c r="L5" s="143">
        <f>E5</f>
        <v>2018</v>
      </c>
      <c r="M5" s="143">
        <f>F5</f>
        <v>2019</v>
      </c>
      <c r="N5" s="143">
        <f>G5</f>
        <v>2020</v>
      </c>
      <c r="O5" s="143" t="s">
        <v>606</v>
      </c>
      <c r="P5" s="112"/>
    </row>
    <row r="6" spans="1:17" ht="5.25" customHeight="1" x14ac:dyDescent="0.3">
      <c r="I6"/>
      <c r="J6" s="59"/>
      <c r="K6" s="59"/>
      <c r="L6" s="59"/>
      <c r="M6" s="59"/>
      <c r="N6" s="59"/>
    </row>
    <row r="7" spans="1:17" x14ac:dyDescent="0.3">
      <c r="B7" s="219" t="s">
        <v>102</v>
      </c>
      <c r="C7" s="219"/>
      <c r="D7" s="219"/>
      <c r="E7" s="220"/>
      <c r="F7" s="220"/>
      <c r="G7" s="220"/>
      <c r="I7" s="219" t="s">
        <v>540</v>
      </c>
      <c r="J7" s="219"/>
      <c r="K7" s="219"/>
      <c r="L7" s="220"/>
      <c r="M7" s="220"/>
      <c r="N7" s="220"/>
      <c r="O7" s="220"/>
      <c r="P7" s="290"/>
    </row>
    <row r="8" spans="1:17" x14ac:dyDescent="0.3">
      <c r="B8" t="s">
        <v>103</v>
      </c>
      <c r="C8" s="454">
        <v>91431</v>
      </c>
      <c r="D8" s="454">
        <v>108354</v>
      </c>
      <c r="E8" s="454">
        <v>122987</v>
      </c>
      <c r="F8" s="454">
        <v>141247</v>
      </c>
      <c r="G8" s="454">
        <v>197346</v>
      </c>
      <c r="I8" s="69" t="str">
        <f t="shared" ref="I8:I13" si="0">B8</f>
        <v>Online Stores</v>
      </c>
      <c r="J8" s="570"/>
      <c r="K8" s="347">
        <f>IFERROR(D8/C8-1,"na")</f>
        <v>0.18509039603635524</v>
      </c>
      <c r="L8" s="347">
        <f t="shared" ref="L8:L13" si="1">IFERROR(E8/D8-1,"na")</f>
        <v>0.13504808313490968</v>
      </c>
      <c r="M8" s="347">
        <f>IFERROR(F8/E8-1,"na")</f>
        <v>0.14847097660728359</v>
      </c>
      <c r="N8" s="347">
        <f t="shared" ref="M8:N13" si="2">IFERROR(G8/F8-1,"na")</f>
        <v>0.39716949740525465</v>
      </c>
      <c r="O8" s="428">
        <f t="shared" ref="O8:O13" si="3">IFERROR(AVERAGE(K8:N8),0)</f>
        <v>0.21644473829595079</v>
      </c>
      <c r="P8" s="428"/>
      <c r="Q8" s="428"/>
    </row>
    <row r="9" spans="1:17" x14ac:dyDescent="0.3">
      <c r="B9" t="s">
        <v>104</v>
      </c>
      <c r="C9" s="454">
        <v>0</v>
      </c>
      <c r="D9" s="454">
        <v>5798</v>
      </c>
      <c r="E9" s="454">
        <v>17224</v>
      </c>
      <c r="F9" s="454">
        <v>17192</v>
      </c>
      <c r="G9" s="454">
        <v>16227</v>
      </c>
      <c r="I9" s="69" t="str">
        <f t="shared" si="0"/>
        <v>Physical Stores</v>
      </c>
      <c r="J9" s="97"/>
      <c r="K9" s="348" t="str">
        <f t="shared" ref="K9:K12" si="4">IFERROR(D9/C9-1,"na")</f>
        <v>na</v>
      </c>
      <c r="L9" s="347">
        <f t="shared" si="1"/>
        <v>1.9706795446705763</v>
      </c>
      <c r="M9" s="347">
        <f t="shared" si="2"/>
        <v>-1.8578727357175806E-3</v>
      </c>
      <c r="N9" s="347">
        <f t="shared" si="2"/>
        <v>-5.6130758492321964E-2</v>
      </c>
      <c r="O9" s="428">
        <f t="shared" si="3"/>
        <v>0.63756363781417891</v>
      </c>
      <c r="P9" s="428"/>
      <c r="Q9" s="428"/>
    </row>
    <row r="10" spans="1:17" x14ac:dyDescent="0.3">
      <c r="B10" t="s">
        <v>105</v>
      </c>
      <c r="C10" s="454">
        <v>22993</v>
      </c>
      <c r="D10" s="454">
        <v>31881</v>
      </c>
      <c r="E10" s="454">
        <v>42745</v>
      </c>
      <c r="F10" s="454">
        <v>53762</v>
      </c>
      <c r="G10" s="454">
        <v>80461</v>
      </c>
      <c r="I10" s="69" t="str">
        <f t="shared" si="0"/>
        <v>Retail Third-Party Seller Services</v>
      </c>
      <c r="J10" s="97"/>
      <c r="K10" s="347">
        <f t="shared" si="4"/>
        <v>0.38655242900013054</v>
      </c>
      <c r="L10" s="347">
        <f t="shared" si="1"/>
        <v>0.34076722812960702</v>
      </c>
      <c r="M10" s="347">
        <f t="shared" si="2"/>
        <v>0.25773774710492448</v>
      </c>
      <c r="N10" s="347">
        <f t="shared" si="2"/>
        <v>0.49661470927420859</v>
      </c>
      <c r="O10" s="428">
        <f t="shared" si="3"/>
        <v>0.37041802837721766</v>
      </c>
      <c r="P10" s="428"/>
      <c r="Q10" s="428"/>
    </row>
    <row r="11" spans="1:17" x14ac:dyDescent="0.3">
      <c r="B11" t="s">
        <v>274</v>
      </c>
      <c r="C11" s="454">
        <v>6394</v>
      </c>
      <c r="D11" s="454">
        <v>9721</v>
      </c>
      <c r="E11" s="454">
        <v>14168</v>
      </c>
      <c r="F11" s="454">
        <v>19210</v>
      </c>
      <c r="G11" s="454">
        <v>25207</v>
      </c>
      <c r="I11" s="69" t="str">
        <f t="shared" si="0"/>
        <v>Subscription Services</v>
      </c>
      <c r="J11" s="97"/>
      <c r="K11" s="347">
        <f t="shared" si="4"/>
        <v>0.52033156083828591</v>
      </c>
      <c r="L11" s="347">
        <f t="shared" si="1"/>
        <v>0.45746322394815353</v>
      </c>
      <c r="M11" s="347">
        <f t="shared" si="2"/>
        <v>0.35587238848108416</v>
      </c>
      <c r="N11" s="347">
        <f t="shared" si="2"/>
        <v>0.31218115564810001</v>
      </c>
      <c r="O11" s="428">
        <f t="shared" si="3"/>
        <v>0.4114620822289059</v>
      </c>
      <c r="P11" s="428"/>
      <c r="Q11" s="428"/>
    </row>
    <row r="12" spans="1:17" x14ac:dyDescent="0.3">
      <c r="B12" t="s">
        <v>107</v>
      </c>
      <c r="C12" s="454">
        <v>12219</v>
      </c>
      <c r="D12" s="454">
        <v>17459</v>
      </c>
      <c r="E12" s="454">
        <v>25655</v>
      </c>
      <c r="F12" s="454">
        <v>35026</v>
      </c>
      <c r="G12" s="454">
        <v>45370</v>
      </c>
      <c r="I12" s="69" t="str">
        <f t="shared" si="0"/>
        <v>AWS</v>
      </c>
      <c r="J12" s="97"/>
      <c r="K12" s="347">
        <f t="shared" si="4"/>
        <v>0.42884033063262139</v>
      </c>
      <c r="L12" s="347">
        <f>IFERROR(E12/D12-1,"na")</f>
        <v>0.46944269431238905</v>
      </c>
      <c r="M12" s="347">
        <f t="shared" si="2"/>
        <v>0.36526992788930035</v>
      </c>
      <c r="N12" s="347">
        <f t="shared" si="2"/>
        <v>0.29532347399074976</v>
      </c>
      <c r="O12" s="428">
        <f t="shared" si="3"/>
        <v>0.38971910670626514</v>
      </c>
      <c r="P12" s="428"/>
      <c r="Q12" s="428"/>
    </row>
    <row r="13" spans="1:17" x14ac:dyDescent="0.3">
      <c r="B13" t="s">
        <v>108</v>
      </c>
      <c r="C13" s="454">
        <v>2950</v>
      </c>
      <c r="D13" s="454">
        <v>4653</v>
      </c>
      <c r="E13" s="454">
        <v>10108</v>
      </c>
      <c r="F13" s="454">
        <v>14085</v>
      </c>
      <c r="G13" s="454">
        <v>21453</v>
      </c>
      <c r="I13" s="69" t="str">
        <f t="shared" si="0"/>
        <v>Other</v>
      </c>
      <c r="J13" s="97"/>
      <c r="K13" s="347">
        <f>IFERROR(D13/C13-1,"na")</f>
        <v>0.57728813559322023</v>
      </c>
      <c r="L13" s="347">
        <f t="shared" si="1"/>
        <v>1.1723619170427679</v>
      </c>
      <c r="M13" s="347">
        <f t="shared" si="2"/>
        <v>0.39345073209339132</v>
      </c>
      <c r="N13" s="347">
        <f t="shared" si="2"/>
        <v>0.5231096911608093</v>
      </c>
      <c r="O13" s="428">
        <f t="shared" si="3"/>
        <v>0.66655261897254725</v>
      </c>
      <c r="P13" s="428"/>
      <c r="Q13" s="428"/>
    </row>
    <row r="14" spans="1:17" x14ac:dyDescent="0.3">
      <c r="B14" s="293"/>
      <c r="C14" s="293"/>
      <c r="D14" s="293"/>
      <c r="E14" s="290"/>
      <c r="F14" s="290"/>
      <c r="G14" s="290"/>
      <c r="I14" s="301"/>
      <c r="J14" s="301"/>
      <c r="K14" s="301"/>
      <c r="L14" s="301"/>
      <c r="M14" s="301"/>
      <c r="N14" s="301"/>
      <c r="Q14" s="428"/>
    </row>
    <row r="15" spans="1:17" x14ac:dyDescent="0.3">
      <c r="B15" s="219" t="s">
        <v>327</v>
      </c>
      <c r="C15" s="219"/>
      <c r="D15" s="219"/>
      <c r="E15" s="220"/>
      <c r="F15" s="220"/>
      <c r="G15" s="220"/>
      <c r="I15" s="74" t="s">
        <v>78</v>
      </c>
      <c r="J15" s="74"/>
      <c r="K15" s="74"/>
      <c r="L15" s="74"/>
      <c r="M15" s="74"/>
      <c r="N15" s="74"/>
      <c r="O15" s="74"/>
      <c r="P15" s="301"/>
      <c r="Q15" s="428"/>
    </row>
    <row r="16" spans="1:17" x14ac:dyDescent="0.3">
      <c r="B16" s="69" t="s">
        <v>0</v>
      </c>
      <c r="C16" s="454">
        <v>94665</v>
      </c>
      <c r="D16" s="454">
        <v>118573</v>
      </c>
      <c r="E16" s="454">
        <v>141915</v>
      </c>
      <c r="F16" s="454">
        <v>160408</v>
      </c>
      <c r="G16" s="454">
        <v>215915</v>
      </c>
      <c r="I16" s="7" t="str">
        <f t="shared" ref="I16:I21" si="5">B21</f>
        <v>Cost of Sales</v>
      </c>
      <c r="J16" s="6">
        <f t="shared" ref="J16:J21" si="6">C21/C$18</f>
        <v>0.64906939633935601</v>
      </c>
      <c r="K16" s="6">
        <f t="shared" ref="K16:N21" si="7">D21/D$18</f>
        <v>0.6293164517108385</v>
      </c>
      <c r="L16" s="6">
        <f t="shared" si="7"/>
        <v>0.59752583871147813</v>
      </c>
      <c r="M16" s="6">
        <f t="shared" si="7"/>
        <v>0.59009988521399392</v>
      </c>
      <c r="N16" s="6">
        <f t="shared" si="7"/>
        <v>0.60432208131294296</v>
      </c>
      <c r="O16" s="428">
        <f>IFERROR(AVERAGE(J16:N16),0)</f>
        <v>0.61406673065772188</v>
      </c>
      <c r="P16" s="428"/>
      <c r="Q16" s="428"/>
    </row>
    <row r="17" spans="2:17" x14ac:dyDescent="0.3">
      <c r="B17" s="69" t="s">
        <v>1</v>
      </c>
      <c r="C17" s="454">
        <v>41322</v>
      </c>
      <c r="D17" s="454">
        <v>59293</v>
      </c>
      <c r="E17" s="454">
        <v>90972</v>
      </c>
      <c r="F17" s="454">
        <v>120114</v>
      </c>
      <c r="G17" s="454">
        <v>170149</v>
      </c>
      <c r="I17" s="7" t="str">
        <f t="shared" si="5"/>
        <v>Fulfillment</v>
      </c>
      <c r="J17" s="6">
        <f t="shared" si="6"/>
        <v>0.12956385536852788</v>
      </c>
      <c r="K17" s="6">
        <f t="shared" si="7"/>
        <v>0.14195517974205302</v>
      </c>
      <c r="L17" s="6">
        <f t="shared" si="7"/>
        <v>0.14610948657503425</v>
      </c>
      <c r="M17" s="6">
        <f t="shared" si="7"/>
        <v>0.14341834152045116</v>
      </c>
      <c r="N17" s="6">
        <f t="shared" si="7"/>
        <v>0.15157331426913673</v>
      </c>
      <c r="O17" s="428">
        <f>IFERROR(AVERAGE(J17:N17),0)</f>
        <v>0.14252403549504061</v>
      </c>
      <c r="P17" s="428"/>
      <c r="Q17" s="428"/>
    </row>
    <row r="18" spans="2:17" x14ac:dyDescent="0.3">
      <c r="B18" s="69" t="s">
        <v>2</v>
      </c>
      <c r="C18" s="454">
        <f>SUM(C16:C17)</f>
        <v>135987</v>
      </c>
      <c r="D18" s="454">
        <f t="shared" ref="D18:G18" si="8">SUM(D16:D17)</f>
        <v>177866</v>
      </c>
      <c r="E18" s="454">
        <f t="shared" si="8"/>
        <v>232887</v>
      </c>
      <c r="F18" s="454">
        <f t="shared" si="8"/>
        <v>280522</v>
      </c>
      <c r="G18" s="454">
        <f t="shared" si="8"/>
        <v>386064</v>
      </c>
      <c r="I18" s="7" t="str">
        <f t="shared" si="5"/>
        <v>Marketing</v>
      </c>
      <c r="J18" s="6">
        <f t="shared" si="6"/>
        <v>5.3188907763242074E-2</v>
      </c>
      <c r="K18" s="6">
        <f t="shared" si="7"/>
        <v>0.12717438970910686</v>
      </c>
      <c r="L18" s="6">
        <f>E23/E$18</f>
        <v>0.12382400048091993</v>
      </c>
      <c r="M18" s="6">
        <f t="shared" si="7"/>
        <v>0.12808621070718162</v>
      </c>
      <c r="N18" s="6">
        <f t="shared" si="7"/>
        <v>0.11070703303079282</v>
      </c>
      <c r="O18" s="428">
        <f t="shared" ref="O18:O20" si="9">IFERROR(AVERAGE(J18:N18),0)</f>
        <v>0.10859610833824865</v>
      </c>
      <c r="P18" s="428"/>
      <c r="Q18" s="428"/>
    </row>
    <row r="19" spans="2:17" x14ac:dyDescent="0.3">
      <c r="C19" s="144"/>
      <c r="D19" s="144"/>
      <c r="E19" s="144"/>
      <c r="F19" s="144"/>
      <c r="G19" s="144"/>
      <c r="I19" s="7" t="str">
        <f t="shared" si="5"/>
        <v>Technology and Content</v>
      </c>
      <c r="J19" s="6">
        <f t="shared" si="6"/>
        <v>0.11828336532168517</v>
      </c>
      <c r="K19" s="6">
        <f t="shared" si="7"/>
        <v>5.6610032271485276E-2</v>
      </c>
      <c r="L19" s="6">
        <f>E24/E$18</f>
        <v>5.9316320790769775E-2</v>
      </c>
      <c r="M19" s="6">
        <f t="shared" si="7"/>
        <v>6.7295969656568824E-2</v>
      </c>
      <c r="N19" s="6">
        <f t="shared" si="7"/>
        <v>5.7006092254134028E-2</v>
      </c>
      <c r="O19" s="428">
        <f t="shared" si="9"/>
        <v>7.1702356058928607E-2</v>
      </c>
      <c r="P19" s="428"/>
      <c r="Q19" s="428"/>
    </row>
    <row r="20" spans="2:17" x14ac:dyDescent="0.3">
      <c r="B20" s="69" t="s">
        <v>3</v>
      </c>
      <c r="I20" s="7" t="str">
        <f t="shared" si="5"/>
        <v>General and Administrative</v>
      </c>
      <c r="J20" s="6">
        <f t="shared" si="6"/>
        <v>1.7884062447145684E-2</v>
      </c>
      <c r="K20" s="6">
        <f t="shared" si="7"/>
        <v>2.0655999460267842E-2</v>
      </c>
      <c r="L20" s="6">
        <f>E25/E$18</f>
        <v>1.8618471619283171E-2</v>
      </c>
      <c r="M20" s="6">
        <f t="shared" si="7"/>
        <v>1.8547564896870834E-2</v>
      </c>
      <c r="N20" s="6">
        <f t="shared" si="7"/>
        <v>1.7271747689502258E-2</v>
      </c>
      <c r="O20" s="428">
        <f t="shared" si="9"/>
        <v>1.8595569222613954E-2</v>
      </c>
      <c r="P20" s="428"/>
      <c r="Q20" s="428"/>
    </row>
    <row r="21" spans="2:17" x14ac:dyDescent="0.3">
      <c r="B21" s="69" t="s">
        <v>4</v>
      </c>
      <c r="C21" s="454">
        <v>88265</v>
      </c>
      <c r="D21" s="454">
        <v>111934</v>
      </c>
      <c r="E21" s="454">
        <v>139156</v>
      </c>
      <c r="F21" s="454">
        <v>165536</v>
      </c>
      <c r="G21" s="454">
        <v>233307</v>
      </c>
      <c r="I21" s="7" t="str">
        <f t="shared" si="5"/>
        <v>Other Operating Expense, net</v>
      </c>
      <c r="J21" s="6">
        <f t="shared" si="6"/>
        <v>1.2280585644215991E-3</v>
      </c>
      <c r="K21" s="6">
        <f t="shared" si="7"/>
        <v>1.2031529353558298E-3</v>
      </c>
      <c r="L21" s="6">
        <f>E26/E$18</f>
        <v>1.271002675117117E-3</v>
      </c>
      <c r="M21" s="6">
        <f t="shared" si="7"/>
        <v>7.1652134235461028E-4</v>
      </c>
      <c r="N21" s="6">
        <f t="shared" si="7"/>
        <v>-1.9426830784533136E-4</v>
      </c>
      <c r="O21" s="428">
        <f>IFERROR(AVERAGE(J21:N21),0)</f>
        <v>8.4489344188076482E-4</v>
      </c>
      <c r="P21" s="428"/>
      <c r="Q21" s="428"/>
    </row>
    <row r="22" spans="2:17" x14ac:dyDescent="0.3">
      <c r="B22" s="69" t="s">
        <v>5</v>
      </c>
      <c r="C22" s="454">
        <v>17619</v>
      </c>
      <c r="D22" s="454">
        <v>25249</v>
      </c>
      <c r="E22" s="454">
        <v>34027</v>
      </c>
      <c r="F22" s="454">
        <v>40232</v>
      </c>
      <c r="G22" s="454">
        <v>58517</v>
      </c>
      <c r="I22" s="7"/>
      <c r="J22" s="6"/>
      <c r="K22" s="6"/>
      <c r="L22" s="6"/>
      <c r="M22" s="6"/>
      <c r="N22" s="6"/>
      <c r="Q22" s="428"/>
    </row>
    <row r="23" spans="2:17" x14ac:dyDescent="0.3">
      <c r="B23" s="69" t="s">
        <v>6</v>
      </c>
      <c r="C23" s="454">
        <v>7233</v>
      </c>
      <c r="D23" s="454">
        <v>22620</v>
      </c>
      <c r="E23" s="454">
        <v>28837</v>
      </c>
      <c r="F23" s="454">
        <v>35931</v>
      </c>
      <c r="G23" s="454">
        <v>42740</v>
      </c>
      <c r="I23" s="7" t="s">
        <v>83</v>
      </c>
      <c r="J23" s="6">
        <f>C91/SUM(C22:C26)</f>
        <v>6.8334252113193675E-2</v>
      </c>
      <c r="K23" s="6">
        <f>D91/SUM(D22:D26)</f>
        <v>6.8175201371591235E-2</v>
      </c>
      <c r="L23" s="6">
        <f>E91/SUM(E22:E26)</f>
        <v>6.6633870372647896E-2</v>
      </c>
      <c r="M23" s="6">
        <f>F91/SUM(F22:F26)</f>
        <v>6.8335905221763152E-2</v>
      </c>
      <c r="N23" s="6">
        <f>G91/SUM(G22:G26)</f>
        <v>7.0908222828012138E-2</v>
      </c>
      <c r="O23" s="427">
        <f>IFERROR(AVERAGE(J23:N23),0)</f>
        <v>6.8477490381441616E-2</v>
      </c>
      <c r="P23" s="428"/>
      <c r="Q23" s="428"/>
    </row>
    <row r="24" spans="2:17" x14ac:dyDescent="0.3">
      <c r="B24" s="69" t="s">
        <v>7</v>
      </c>
      <c r="C24" s="454">
        <v>16085</v>
      </c>
      <c r="D24" s="454">
        <v>10069</v>
      </c>
      <c r="E24" s="454">
        <v>13814</v>
      </c>
      <c r="F24" s="454">
        <v>18878</v>
      </c>
      <c r="G24" s="454">
        <v>22008</v>
      </c>
      <c r="I24" s="7"/>
      <c r="J24" s="6"/>
      <c r="K24" s="6"/>
      <c r="L24" s="6"/>
      <c r="M24" s="6"/>
      <c r="N24" s="6"/>
      <c r="O24" s="87"/>
      <c r="Q24" s="428"/>
    </row>
    <row r="25" spans="2:17" x14ac:dyDescent="0.3">
      <c r="B25" s="69" t="s">
        <v>8</v>
      </c>
      <c r="C25" s="454">
        <v>2432</v>
      </c>
      <c r="D25" s="454">
        <v>3674</v>
      </c>
      <c r="E25" s="454">
        <v>4336</v>
      </c>
      <c r="F25" s="454">
        <v>5203</v>
      </c>
      <c r="G25" s="454">
        <v>6668</v>
      </c>
      <c r="I25" s="74" t="s">
        <v>79</v>
      </c>
      <c r="J25" s="74"/>
      <c r="K25" s="74"/>
      <c r="L25" s="74"/>
      <c r="M25" s="74"/>
      <c r="N25" s="74"/>
      <c r="O25" s="74"/>
      <c r="P25" s="301"/>
      <c r="Q25" s="428"/>
    </row>
    <row r="26" spans="2:17" x14ac:dyDescent="0.3">
      <c r="B26" s="69" t="s">
        <v>9</v>
      </c>
      <c r="C26" s="454">
        <v>167</v>
      </c>
      <c r="D26" s="454">
        <v>214</v>
      </c>
      <c r="E26" s="454">
        <v>296</v>
      </c>
      <c r="F26" s="454">
        <v>201</v>
      </c>
      <c r="G26" s="454">
        <v>-75</v>
      </c>
      <c r="I26" s="7" t="s">
        <v>84</v>
      </c>
      <c r="J26" s="20">
        <f>C47/C21*365</f>
        <v>47.394380558545294</v>
      </c>
      <c r="K26" s="20">
        <f>D47/D21*365</f>
        <v>52.326862258116392</v>
      </c>
      <c r="L26" s="20">
        <f>E47/E21*365</f>
        <v>45.046638305211417</v>
      </c>
      <c r="M26" s="20">
        <f>F47/F21*365</f>
        <v>45.195033104581483</v>
      </c>
      <c r="N26" s="20">
        <f>G47/G21*365</f>
        <v>37.226379834295585</v>
      </c>
      <c r="O26" s="20">
        <f>IFERROR(AVERAGE(J26:N26),0)</f>
        <v>45.437858812150033</v>
      </c>
      <c r="P26" s="246"/>
      <c r="Q26" s="428"/>
    </row>
    <row r="27" spans="2:17" x14ac:dyDescent="0.3">
      <c r="B27" s="69" t="s">
        <v>10</v>
      </c>
      <c r="C27" s="454">
        <v>131801</v>
      </c>
      <c r="D27" s="454">
        <v>173760</v>
      </c>
      <c r="E27" s="454">
        <v>220466</v>
      </c>
      <c r="F27" s="454">
        <v>265981</v>
      </c>
      <c r="G27" s="454">
        <v>363165</v>
      </c>
      <c r="I27" s="7" t="s">
        <v>85</v>
      </c>
      <c r="J27" s="20">
        <f>C48/C18*365</f>
        <v>22.382543919639378</v>
      </c>
      <c r="K27" s="20">
        <f>D48/D18*365</f>
        <v>27.013931836326226</v>
      </c>
      <c r="L27" s="20">
        <f>E48/E18*365</f>
        <v>26.137590333509387</v>
      </c>
      <c r="M27" s="20">
        <f>F48/F18*365</f>
        <v>27.084649332316179</v>
      </c>
      <c r="N27" s="20">
        <f>G48/G18*365</f>
        <v>23.202966347548593</v>
      </c>
      <c r="O27" s="20">
        <f>IFERROR(AVERAGE(J27:N27),0)</f>
        <v>25.164336353867952</v>
      </c>
      <c r="P27" s="246"/>
      <c r="Q27" s="428"/>
    </row>
    <row r="28" spans="2:17" x14ac:dyDescent="0.3">
      <c r="B28" s="69" t="s">
        <v>11</v>
      </c>
      <c r="C28" s="454">
        <v>4186</v>
      </c>
      <c r="D28" s="454">
        <v>4106</v>
      </c>
      <c r="E28" s="454">
        <v>12421</v>
      </c>
      <c r="F28" s="454">
        <v>14541</v>
      </c>
      <c r="G28" s="454">
        <v>22899</v>
      </c>
      <c r="I28" s="7"/>
      <c r="J28" s="20"/>
      <c r="K28" s="20"/>
      <c r="L28" s="20"/>
      <c r="M28" s="20"/>
      <c r="N28" s="20"/>
      <c r="O28" s="20"/>
      <c r="P28" s="246"/>
      <c r="Q28" s="428"/>
    </row>
    <row r="29" spans="2:17" x14ac:dyDescent="0.3">
      <c r="B29" s="69" t="s">
        <v>12</v>
      </c>
      <c r="C29" s="454">
        <v>100</v>
      </c>
      <c r="D29" s="454">
        <v>202</v>
      </c>
      <c r="E29" s="454">
        <v>440</v>
      </c>
      <c r="F29" s="454">
        <v>832</v>
      </c>
      <c r="G29" s="454">
        <v>555</v>
      </c>
      <c r="I29" s="7" t="s">
        <v>86</v>
      </c>
      <c r="J29" s="20">
        <f>C57/SUM(C21,C25,C26,C22)*365</f>
        <v>85.154217711530833</v>
      </c>
      <c r="K29" s="20">
        <f>D57/SUM(D21,D25,D26,D22)*365</f>
        <v>89.563694877047723</v>
      </c>
      <c r="L29" s="20">
        <f>E57/SUM(E21,E25,E26,E22)*365</f>
        <v>78.396535725332512</v>
      </c>
      <c r="M29" s="20">
        <f>F57/SUM(F21,F25,F26,F22)*365</f>
        <v>81.553401966169758</v>
      </c>
      <c r="N29" s="20">
        <f>G57/SUM(G21,G25,G26,G22)*365</f>
        <v>88.72395004306054</v>
      </c>
      <c r="O29" s="20">
        <f>IFERROR(AVERAGE(J29:N29),0)</f>
        <v>84.678360064628265</v>
      </c>
      <c r="P29" s="246"/>
      <c r="Q29" s="428"/>
    </row>
    <row r="30" spans="2:17" x14ac:dyDescent="0.3">
      <c r="B30" s="69" t="s">
        <v>13</v>
      </c>
      <c r="C30" s="454">
        <v>-484</v>
      </c>
      <c r="D30" s="454">
        <v>-848</v>
      </c>
      <c r="E30" s="454">
        <v>-1417</v>
      </c>
      <c r="F30" s="454">
        <v>-1600</v>
      </c>
      <c r="G30" s="454">
        <v>-1647</v>
      </c>
      <c r="I30" s="7" t="s">
        <v>306</v>
      </c>
      <c r="J30" s="6">
        <f>C58/C18</f>
        <v>0.10103171626699611</v>
      </c>
      <c r="K30" s="6">
        <f>D58/D18</f>
        <v>0.10215555530567956</v>
      </c>
      <c r="L30" s="6">
        <f>E58/E18</f>
        <v>0.10160721723410925</v>
      </c>
      <c r="M30" s="6">
        <f>F58/F18</f>
        <v>0.11563798917731942</v>
      </c>
      <c r="N30" s="6">
        <f>G58/G18</f>
        <v>0.11432819428902979</v>
      </c>
      <c r="O30" s="6">
        <f>IFERROR(AVERAGE(J30:N30),0)</f>
        <v>0.10695213445462684</v>
      </c>
      <c r="P30" s="560"/>
      <c r="Q30" s="428"/>
    </row>
    <row r="31" spans="2:17" x14ac:dyDescent="0.3">
      <c r="B31" s="69" t="s">
        <v>14</v>
      </c>
      <c r="C31" s="454">
        <v>90</v>
      </c>
      <c r="D31" s="454">
        <v>346</v>
      </c>
      <c r="E31" s="454">
        <v>-183</v>
      </c>
      <c r="F31" s="454">
        <v>203</v>
      </c>
      <c r="G31" s="454">
        <v>2371</v>
      </c>
      <c r="I31" s="7" t="s">
        <v>307</v>
      </c>
      <c r="J31" s="6">
        <f>C59/C18</f>
        <v>3.5062175060851408E-2</v>
      </c>
      <c r="K31" s="6">
        <f>D59/D18</f>
        <v>2.865640425938628E-2</v>
      </c>
      <c r="L31" s="6">
        <f>E59/E18</f>
        <v>2.8065113123532014E-2</v>
      </c>
      <c r="M31" s="6">
        <f>F59/F18</f>
        <v>2.9195571113852032E-2</v>
      </c>
      <c r="N31" s="6">
        <f>G59/G18</f>
        <v>2.5146089767499689E-2</v>
      </c>
      <c r="O31" s="6">
        <f>IFERROR(AVERAGE(J31:N31),0)</f>
        <v>2.9225070665024288E-2</v>
      </c>
      <c r="P31" s="560"/>
      <c r="Q31" s="428"/>
    </row>
    <row r="32" spans="2:17" x14ac:dyDescent="0.3">
      <c r="B32" s="69" t="s">
        <v>15</v>
      </c>
      <c r="C32" s="454">
        <v>-294</v>
      </c>
      <c r="D32" s="454">
        <v>-300</v>
      </c>
      <c r="E32" s="454">
        <v>-1160</v>
      </c>
      <c r="F32" s="454">
        <v>-565</v>
      </c>
      <c r="G32" s="454">
        <v>1279</v>
      </c>
      <c r="I32"/>
      <c r="J32"/>
      <c r="K32"/>
      <c r="L32"/>
      <c r="M32"/>
      <c r="N32"/>
      <c r="O32"/>
      <c r="P32"/>
      <c r="Q32" s="428"/>
    </row>
    <row r="33" spans="2:17" x14ac:dyDescent="0.3">
      <c r="B33" s="69" t="s">
        <v>16</v>
      </c>
      <c r="C33" s="454">
        <v>3892</v>
      </c>
      <c r="D33" s="454">
        <v>3806</v>
      </c>
      <c r="E33" s="454">
        <v>11261</v>
      </c>
      <c r="F33" s="454">
        <v>13976</v>
      </c>
      <c r="G33" s="454">
        <v>24178</v>
      </c>
      <c r="I33" s="7" t="s">
        <v>87</v>
      </c>
      <c r="J33" s="6">
        <f>+(-C103-C104)/C18</f>
        <v>4.9541500290468943E-2</v>
      </c>
      <c r="K33" s="6">
        <f>+(-D103-D104)/D18</f>
        <v>5.6548187961723992E-2</v>
      </c>
      <c r="L33" s="6">
        <f>+(-E103-E104)/E18</f>
        <v>4.86201462511862E-2</v>
      </c>
      <c r="M33" s="6">
        <f>+(-F103-F104)/F18</f>
        <v>4.5233528921082837E-2</v>
      </c>
      <c r="N33" s="6">
        <f>+(-G103-G104)/G18</f>
        <v>9.0772514401757223E-2</v>
      </c>
      <c r="O33" s="6">
        <f>IFERROR(AVERAGE(J33:N33),0)</f>
        <v>5.8143175565243843E-2</v>
      </c>
      <c r="P33" s="560"/>
      <c r="Q33" s="428"/>
    </row>
    <row r="34" spans="2:17" x14ac:dyDescent="0.3">
      <c r="B34" s="69" t="s">
        <v>17</v>
      </c>
      <c r="C34" s="454">
        <v>-1425</v>
      </c>
      <c r="D34" s="454">
        <v>-769</v>
      </c>
      <c r="E34" s="454">
        <v>-1197</v>
      </c>
      <c r="F34" s="454">
        <v>-2374</v>
      </c>
      <c r="G34" s="454">
        <v>-2863</v>
      </c>
      <c r="I34" s="7" t="s">
        <v>88</v>
      </c>
      <c r="J34" s="21"/>
      <c r="K34" s="6">
        <f>D90/C50</f>
        <v>0.39424331936525381</v>
      </c>
      <c r="L34" s="6">
        <f>E90/D50</f>
        <v>0.31394016289444604</v>
      </c>
      <c r="M34" s="6">
        <f>F90/E50</f>
        <v>0.35258993155007523</v>
      </c>
      <c r="N34" s="6">
        <f>G90/F50</f>
        <v>0.34730761295646789</v>
      </c>
      <c r="O34" s="6">
        <f>IFERROR(AVERAGE(J34:N34),0)</f>
        <v>0.35202025669156073</v>
      </c>
      <c r="P34" s="560"/>
      <c r="Q34" s="428"/>
    </row>
    <row r="35" spans="2:17" x14ac:dyDescent="0.3">
      <c r="B35" s="69" t="s">
        <v>18</v>
      </c>
      <c r="C35" s="454">
        <v>-96</v>
      </c>
      <c r="D35" s="454">
        <v>-4</v>
      </c>
      <c r="E35" s="454">
        <v>9</v>
      </c>
      <c r="F35" s="454">
        <v>-14</v>
      </c>
      <c r="G35" s="454">
        <v>16</v>
      </c>
      <c r="P35" s="560"/>
      <c r="Q35" s="428"/>
    </row>
    <row r="36" spans="2:17" x14ac:dyDescent="0.3">
      <c r="B36" s="69" t="s">
        <v>19</v>
      </c>
      <c r="C36" s="454">
        <v>2371</v>
      </c>
      <c r="D36" s="454">
        <v>3033</v>
      </c>
      <c r="E36" s="454">
        <v>10073</v>
      </c>
      <c r="F36" s="454">
        <v>11588</v>
      </c>
      <c r="G36" s="454">
        <v>21331</v>
      </c>
      <c r="I36" s="7" t="s">
        <v>308</v>
      </c>
      <c r="J36" s="6">
        <f>C133/C18</f>
        <v>4.1945185936891026E-2</v>
      </c>
      <c r="K36" s="6">
        <f>D133/D18</f>
        <v>5.4181237560860421E-2</v>
      </c>
      <c r="L36" s="6">
        <f>E133/E18</f>
        <v>4.5580045258000662E-2</v>
      </c>
      <c r="M36" s="6">
        <f>F133/F18</f>
        <v>4.891951433399163E-2</v>
      </c>
      <c r="N36" s="6">
        <f>G133/G18</f>
        <v>3.0015748684155994E-2</v>
      </c>
      <c r="O36" s="6">
        <f>IFERROR(AVERAGE(J36:N36),0)</f>
        <v>4.4128346354779947E-2</v>
      </c>
      <c r="P36" s="560"/>
      <c r="Q36" s="428"/>
    </row>
    <row r="37" spans="2:17" x14ac:dyDescent="0.3">
      <c r="B37" s="69" t="s">
        <v>20</v>
      </c>
      <c r="C37" s="107">
        <v>5.01</v>
      </c>
      <c r="D37" s="107">
        <v>6.32</v>
      </c>
      <c r="E37" s="107">
        <v>20.68</v>
      </c>
      <c r="F37" s="107">
        <v>23.46</v>
      </c>
      <c r="G37" s="107">
        <v>42.64</v>
      </c>
      <c r="I37" s="7" t="s">
        <v>298</v>
      </c>
      <c r="J37" s="21"/>
      <c r="K37" s="21"/>
      <c r="L37" s="21"/>
      <c r="M37" s="6">
        <f>F132/F18</f>
        <v>2.805484061856111E-2</v>
      </c>
      <c r="N37" s="6">
        <f>G132/G18</f>
        <v>4.2005988644369843E-2</v>
      </c>
      <c r="O37" s="6">
        <f>IFERROR(AVERAGE(J37:N37),0)</f>
        <v>3.5030414631465473E-2</v>
      </c>
      <c r="P37" s="560"/>
      <c r="Q37" s="428"/>
    </row>
    <row r="38" spans="2:17" x14ac:dyDescent="0.3">
      <c r="B38" s="69" t="s">
        <v>21</v>
      </c>
      <c r="C38" s="107">
        <v>4.9000000000000004</v>
      </c>
      <c r="D38" s="107">
        <v>6.15</v>
      </c>
      <c r="E38" s="107">
        <v>20.14</v>
      </c>
      <c r="F38" s="107">
        <v>23.01</v>
      </c>
      <c r="G38" s="107">
        <v>41.83</v>
      </c>
    </row>
    <row r="39" spans="2:17" x14ac:dyDescent="0.3">
      <c r="B39" s="69" t="s">
        <v>22</v>
      </c>
    </row>
    <row r="40" spans="2:17" x14ac:dyDescent="0.3">
      <c r="B40" s="69" t="s">
        <v>23</v>
      </c>
      <c r="C40" s="107">
        <v>474</v>
      </c>
      <c r="D40" s="107">
        <v>480</v>
      </c>
      <c r="E40" s="107">
        <v>487</v>
      </c>
      <c r="F40" s="107">
        <v>494</v>
      </c>
      <c r="G40" s="107">
        <v>500</v>
      </c>
    </row>
    <row r="41" spans="2:17" x14ac:dyDescent="0.3">
      <c r="B41" s="69" t="s">
        <v>24</v>
      </c>
      <c r="C41" s="107">
        <v>484</v>
      </c>
      <c r="D41" s="107">
        <v>493</v>
      </c>
      <c r="E41" s="107">
        <v>500</v>
      </c>
      <c r="F41" s="107">
        <v>504</v>
      </c>
      <c r="G41" s="107">
        <v>510</v>
      </c>
    </row>
    <row r="43" spans="2:17" x14ac:dyDescent="0.3">
      <c r="B43" s="219" t="s">
        <v>328</v>
      </c>
      <c r="C43" s="219"/>
      <c r="D43" s="219"/>
      <c r="E43" s="220"/>
      <c r="F43" s="220"/>
      <c r="G43" s="220"/>
    </row>
    <row r="44" spans="2:17" x14ac:dyDescent="0.3">
      <c r="B44" s="69" t="s">
        <v>26</v>
      </c>
    </row>
    <row r="45" spans="2:17" x14ac:dyDescent="0.3">
      <c r="B45" s="69" t="s">
        <v>27</v>
      </c>
      <c r="C45" s="454">
        <v>19334</v>
      </c>
      <c r="D45" s="454">
        <v>20522</v>
      </c>
      <c r="E45" s="454">
        <v>31750</v>
      </c>
      <c r="F45" s="454">
        <v>36092</v>
      </c>
      <c r="G45" s="454">
        <v>42122</v>
      </c>
    </row>
    <row r="46" spans="2:17" x14ac:dyDescent="0.3">
      <c r="B46" s="69" t="s">
        <v>28</v>
      </c>
      <c r="C46" s="454">
        <v>6647</v>
      </c>
      <c r="D46" s="454">
        <v>10464</v>
      </c>
      <c r="E46" s="454">
        <v>9500</v>
      </c>
      <c r="F46" s="454">
        <v>18929</v>
      </c>
      <c r="G46" s="454">
        <v>42274</v>
      </c>
    </row>
    <row r="47" spans="2:17" x14ac:dyDescent="0.3">
      <c r="B47" s="69" t="s">
        <v>29</v>
      </c>
      <c r="C47" s="454">
        <v>11461</v>
      </c>
      <c r="D47" s="454">
        <v>16047</v>
      </c>
      <c r="E47" s="454">
        <v>17174</v>
      </c>
      <c r="F47" s="454">
        <v>20497</v>
      </c>
      <c r="G47" s="454">
        <v>23795</v>
      </c>
    </row>
    <row r="48" spans="2:17" x14ac:dyDescent="0.3">
      <c r="B48" s="69" t="s">
        <v>30</v>
      </c>
      <c r="C48" s="454">
        <v>8339</v>
      </c>
      <c r="D48" s="454">
        <v>13164</v>
      </c>
      <c r="E48" s="454">
        <v>16677</v>
      </c>
      <c r="F48" s="454">
        <v>20816</v>
      </c>
      <c r="G48" s="454">
        <v>24542</v>
      </c>
    </row>
    <row r="49" spans="2:7" x14ac:dyDescent="0.3">
      <c r="B49" s="69" t="s">
        <v>31</v>
      </c>
      <c r="C49" s="454">
        <v>45781</v>
      </c>
      <c r="D49" s="454">
        <v>60197</v>
      </c>
      <c r="E49" s="454">
        <v>75101</v>
      </c>
      <c r="F49" s="454">
        <v>96334</v>
      </c>
      <c r="G49" s="454">
        <v>132733</v>
      </c>
    </row>
    <row r="50" spans="2:7" x14ac:dyDescent="0.3">
      <c r="B50" s="69" t="s">
        <v>32</v>
      </c>
      <c r="C50" s="454">
        <v>29114</v>
      </c>
      <c r="D50" s="454">
        <v>48866</v>
      </c>
      <c r="E50" s="454">
        <v>61797</v>
      </c>
      <c r="F50" s="454">
        <v>72705</v>
      </c>
      <c r="G50" s="454">
        <v>113114</v>
      </c>
    </row>
    <row r="51" spans="2:7" x14ac:dyDescent="0.3">
      <c r="B51" s="69" t="s">
        <v>207</v>
      </c>
      <c r="C51" s="454">
        <v>0</v>
      </c>
      <c r="D51" s="454">
        <v>0</v>
      </c>
      <c r="E51" s="454">
        <v>0</v>
      </c>
      <c r="F51" s="454">
        <v>25141</v>
      </c>
      <c r="G51" s="454">
        <v>37553</v>
      </c>
    </row>
    <row r="52" spans="2:7" x14ac:dyDescent="0.3">
      <c r="B52" s="69" t="s">
        <v>33</v>
      </c>
      <c r="C52" s="454">
        <v>3784</v>
      </c>
      <c r="D52" s="454">
        <v>13350</v>
      </c>
      <c r="E52" s="454">
        <v>14548</v>
      </c>
      <c r="F52" s="454">
        <v>14754</v>
      </c>
      <c r="G52" s="454">
        <v>15017</v>
      </c>
    </row>
    <row r="53" spans="2:7" x14ac:dyDescent="0.3">
      <c r="B53" s="69" t="s">
        <v>34</v>
      </c>
      <c r="C53" s="454">
        <v>4723</v>
      </c>
      <c r="D53" s="454">
        <v>8897</v>
      </c>
      <c r="E53" s="454">
        <v>11202</v>
      </c>
      <c r="F53" s="454">
        <v>16314</v>
      </c>
      <c r="G53" s="454">
        <v>22778</v>
      </c>
    </row>
    <row r="54" spans="2:7" x14ac:dyDescent="0.3">
      <c r="B54" s="69" t="s">
        <v>35</v>
      </c>
      <c r="C54" s="454">
        <v>83402</v>
      </c>
      <c r="D54" s="454">
        <v>131310</v>
      </c>
      <c r="E54" s="454">
        <v>162648</v>
      </c>
      <c r="F54" s="454">
        <v>225248</v>
      </c>
      <c r="G54" s="454">
        <v>321195</v>
      </c>
    </row>
    <row r="55" spans="2:7" x14ac:dyDescent="0.3">
      <c r="B55" s="69" t="s">
        <v>36</v>
      </c>
      <c r="C55" s="107"/>
      <c r="D55" s="107"/>
      <c r="E55" s="107"/>
      <c r="F55" s="107"/>
      <c r="G55" s="107"/>
    </row>
    <row r="56" spans="2:7" x14ac:dyDescent="0.3">
      <c r="B56" s="69" t="s">
        <v>37</v>
      </c>
      <c r="C56" s="107"/>
      <c r="D56" s="107"/>
      <c r="E56" s="107"/>
      <c r="F56" s="107"/>
      <c r="G56" s="107"/>
    </row>
    <row r="57" spans="2:7" x14ac:dyDescent="0.3">
      <c r="B57" s="69" t="s">
        <v>38</v>
      </c>
      <c r="C57" s="454">
        <v>25309</v>
      </c>
      <c r="D57" s="454">
        <v>34616</v>
      </c>
      <c r="E57" s="454">
        <v>38192</v>
      </c>
      <c r="F57" s="454">
        <v>47183</v>
      </c>
      <c r="G57" s="454">
        <v>72539</v>
      </c>
    </row>
    <row r="58" spans="2:7" x14ac:dyDescent="0.3">
      <c r="B58" s="69" t="s">
        <v>39</v>
      </c>
      <c r="C58" s="454">
        <v>13739</v>
      </c>
      <c r="D58" s="454">
        <v>18170</v>
      </c>
      <c r="E58" s="454">
        <v>23663</v>
      </c>
      <c r="F58" s="454">
        <v>32439</v>
      </c>
      <c r="G58" s="454">
        <v>44138</v>
      </c>
    </row>
    <row r="59" spans="2:7" x14ac:dyDescent="0.3">
      <c r="B59" s="69" t="s">
        <v>40</v>
      </c>
      <c r="C59" s="454">
        <v>4768</v>
      </c>
      <c r="D59" s="454">
        <v>5097</v>
      </c>
      <c r="E59" s="454">
        <v>6536</v>
      </c>
      <c r="F59" s="454">
        <v>8190</v>
      </c>
      <c r="G59" s="454">
        <v>9708</v>
      </c>
    </row>
    <row r="60" spans="2:7" x14ac:dyDescent="0.3">
      <c r="B60" s="69" t="s">
        <v>41</v>
      </c>
      <c r="C60" s="454">
        <v>43816</v>
      </c>
      <c r="D60" s="454">
        <v>57883</v>
      </c>
      <c r="E60" s="454">
        <v>68391</v>
      </c>
      <c r="F60" s="454">
        <v>87812</v>
      </c>
      <c r="G60" s="454">
        <v>126385</v>
      </c>
    </row>
    <row r="61" spans="2:7" x14ac:dyDescent="0.3">
      <c r="B61" s="69" t="s">
        <v>208</v>
      </c>
      <c r="C61" s="454">
        <v>0</v>
      </c>
      <c r="D61" s="454">
        <v>0</v>
      </c>
      <c r="E61" s="454">
        <v>9650</v>
      </c>
      <c r="F61" s="454">
        <v>39791</v>
      </c>
      <c r="G61" s="454">
        <v>52573</v>
      </c>
    </row>
    <row r="62" spans="2:7" x14ac:dyDescent="0.3">
      <c r="B62" s="69" t="s">
        <v>42</v>
      </c>
      <c r="C62" s="454">
        <v>7694</v>
      </c>
      <c r="D62" s="454">
        <v>24743</v>
      </c>
      <c r="E62" s="454">
        <v>23495</v>
      </c>
      <c r="F62" s="454">
        <v>23414</v>
      </c>
      <c r="G62" s="454">
        <v>31816</v>
      </c>
    </row>
    <row r="63" spans="2:7" x14ac:dyDescent="0.3">
      <c r="B63" s="69" t="s">
        <v>43</v>
      </c>
      <c r="C63" s="454">
        <v>12607</v>
      </c>
      <c r="D63" s="454">
        <v>20975</v>
      </c>
      <c r="E63" s="454">
        <v>17563</v>
      </c>
      <c r="F63" s="454">
        <v>12171</v>
      </c>
      <c r="G63" s="454">
        <v>17017</v>
      </c>
    </row>
    <row r="64" spans="2:7" x14ac:dyDescent="0.3">
      <c r="B64" s="69" t="s">
        <v>319</v>
      </c>
      <c r="C64" s="107"/>
      <c r="D64" s="455"/>
      <c r="E64" s="107"/>
      <c r="F64" s="107"/>
      <c r="G64" s="107"/>
    </row>
    <row r="65" spans="2:7" x14ac:dyDescent="0.3">
      <c r="B65" s="69" t="s">
        <v>44</v>
      </c>
      <c r="C65" s="107"/>
      <c r="D65" s="107"/>
      <c r="E65" s="107"/>
      <c r="F65" s="107"/>
      <c r="G65" s="107"/>
    </row>
    <row r="66" spans="2:7" x14ac:dyDescent="0.3">
      <c r="B66" s="69" t="s">
        <v>45</v>
      </c>
      <c r="C66" s="107"/>
      <c r="D66" s="107"/>
      <c r="E66" s="107"/>
      <c r="F66" s="107"/>
      <c r="G66" s="107"/>
    </row>
    <row r="67" spans="2:7" x14ac:dyDescent="0.3">
      <c r="B67" s="69" t="s">
        <v>46</v>
      </c>
      <c r="C67" s="107"/>
      <c r="D67" s="107"/>
      <c r="E67" s="107"/>
      <c r="F67" s="107"/>
      <c r="G67" s="107"/>
    </row>
    <row r="68" spans="2:7" x14ac:dyDescent="0.3">
      <c r="B68" s="69" t="s">
        <v>47</v>
      </c>
      <c r="C68" s="107"/>
      <c r="D68" s="107"/>
      <c r="E68" s="107"/>
      <c r="F68" s="107"/>
      <c r="G68" s="107"/>
    </row>
    <row r="69" spans="2:7" x14ac:dyDescent="0.3">
      <c r="B69" s="69" t="s">
        <v>48</v>
      </c>
      <c r="C69" s="107"/>
      <c r="D69" s="107"/>
      <c r="E69" s="107"/>
      <c r="F69" s="107"/>
      <c r="G69" s="107"/>
    </row>
    <row r="70" spans="2:7" x14ac:dyDescent="0.3">
      <c r="B70" s="69" t="s">
        <v>49</v>
      </c>
      <c r="C70" s="107"/>
      <c r="D70" s="107"/>
      <c r="E70" s="107"/>
      <c r="F70" s="107"/>
      <c r="G70" s="107"/>
    </row>
    <row r="71" spans="2:7" x14ac:dyDescent="0.3">
      <c r="B71" s="69" t="s">
        <v>50</v>
      </c>
      <c r="C71" s="107"/>
      <c r="D71" s="107"/>
      <c r="E71" s="107"/>
      <c r="F71" s="107"/>
      <c r="G71" s="107"/>
    </row>
    <row r="72" spans="2:7" x14ac:dyDescent="0.3">
      <c r="B72" s="69" t="s">
        <v>51</v>
      </c>
      <c r="C72" s="454">
        <v>5</v>
      </c>
      <c r="D72" s="454">
        <v>5</v>
      </c>
      <c r="E72" s="454">
        <v>5</v>
      </c>
      <c r="F72" s="454">
        <v>5</v>
      </c>
      <c r="G72" s="454">
        <v>5</v>
      </c>
    </row>
    <row r="73" spans="2:7" x14ac:dyDescent="0.3">
      <c r="B73" s="69" t="s">
        <v>52</v>
      </c>
      <c r="C73" s="454">
        <v>-1837</v>
      </c>
      <c r="D73" s="454">
        <v>-1837</v>
      </c>
      <c r="E73" s="454">
        <v>-1837</v>
      </c>
      <c r="F73" s="454">
        <v>-1837</v>
      </c>
      <c r="G73" s="454">
        <v>-1837</v>
      </c>
    </row>
    <row r="74" spans="2:7" x14ac:dyDescent="0.3">
      <c r="B74" s="69" t="s">
        <v>53</v>
      </c>
      <c r="C74" s="454">
        <v>17186</v>
      </c>
      <c r="D74" s="454">
        <v>21389</v>
      </c>
      <c r="E74" s="454">
        <v>26791</v>
      </c>
      <c r="F74" s="454">
        <v>33658</v>
      </c>
      <c r="G74" s="454">
        <v>42865</v>
      </c>
    </row>
    <row r="75" spans="2:7" x14ac:dyDescent="0.3">
      <c r="B75" s="69" t="s">
        <v>54</v>
      </c>
      <c r="C75" s="454">
        <v>-985</v>
      </c>
      <c r="D75" s="454">
        <v>-484</v>
      </c>
      <c r="E75" s="454">
        <v>-1035</v>
      </c>
      <c r="F75" s="454">
        <v>-986</v>
      </c>
      <c r="G75" s="454">
        <v>-180</v>
      </c>
    </row>
    <row r="76" spans="2:7" x14ac:dyDescent="0.3">
      <c r="B76" s="69" t="s">
        <v>55</v>
      </c>
      <c r="C76" s="454">
        <v>4916</v>
      </c>
      <c r="D76" s="454">
        <v>8636</v>
      </c>
      <c r="E76" s="454">
        <v>19625</v>
      </c>
      <c r="F76" s="454">
        <v>31220</v>
      </c>
      <c r="G76" s="454">
        <v>52551</v>
      </c>
    </row>
    <row r="77" spans="2:7" x14ac:dyDescent="0.3">
      <c r="B77" s="69" t="s">
        <v>56</v>
      </c>
      <c r="C77" s="454">
        <v>19285</v>
      </c>
      <c r="D77" s="454">
        <v>27709</v>
      </c>
      <c r="E77" s="454">
        <v>43549</v>
      </c>
      <c r="F77" s="454">
        <v>62060</v>
      </c>
      <c r="G77" s="454">
        <v>93404</v>
      </c>
    </row>
    <row r="78" spans="2:7" x14ac:dyDescent="0.3">
      <c r="B78" s="69" t="s">
        <v>57</v>
      </c>
      <c r="C78" s="454">
        <v>83402</v>
      </c>
      <c r="D78" s="454">
        <v>131310</v>
      </c>
      <c r="E78" s="454">
        <v>162648</v>
      </c>
      <c r="F78" s="454">
        <v>225248</v>
      </c>
      <c r="G78" s="454">
        <v>321195</v>
      </c>
    </row>
    <row r="79" spans="2:7" x14ac:dyDescent="0.3">
      <c r="C79" s="144"/>
      <c r="D79" s="144"/>
      <c r="E79" s="144"/>
      <c r="F79" s="144"/>
      <c r="G79" s="144"/>
    </row>
    <row r="80" spans="2:7" x14ac:dyDescent="0.3">
      <c r="B80" s="331" t="s">
        <v>530</v>
      </c>
      <c r="C80" s="331"/>
      <c r="D80" s="331"/>
      <c r="E80" s="331"/>
      <c r="F80" s="331"/>
      <c r="G80" s="331"/>
    </row>
    <row r="81" spans="2:7" x14ac:dyDescent="0.3">
      <c r="B81" t="s">
        <v>495</v>
      </c>
      <c r="C81" s="454">
        <v>1056</v>
      </c>
      <c r="D81" s="454">
        <v>100</v>
      </c>
      <c r="E81" s="454">
        <v>1371</v>
      </c>
      <c r="F81" s="454">
        <v>1305</v>
      </c>
      <c r="G81" s="454">
        <v>1155</v>
      </c>
    </row>
    <row r="82" spans="2:7" x14ac:dyDescent="0.3">
      <c r="B82" s="69" t="s">
        <v>541</v>
      </c>
      <c r="C82" s="454">
        <f>21838-C141</f>
        <v>13437</v>
      </c>
      <c r="D82" s="331"/>
      <c r="E82" s="331"/>
      <c r="F82" s="331"/>
      <c r="G82" s="331"/>
    </row>
    <row r="83" spans="2:7" x14ac:dyDescent="0.3">
      <c r="B83" s="69" t="s">
        <v>573</v>
      </c>
      <c r="C83" s="454"/>
      <c r="D83" s="454">
        <v>18350</v>
      </c>
      <c r="E83" s="454">
        <v>-580.00000000000216</v>
      </c>
      <c r="F83" s="454">
        <v>2603.0000000000018</v>
      </c>
      <c r="G83" s="454">
        <v>16132</v>
      </c>
    </row>
    <row r="85" spans="2:7" x14ac:dyDescent="0.3">
      <c r="B85" s="219" t="s">
        <v>329</v>
      </c>
      <c r="C85" s="219"/>
      <c r="D85" s="219"/>
      <c r="E85" s="220"/>
      <c r="F85" s="220"/>
      <c r="G85" s="220"/>
    </row>
    <row r="86" spans="2:7" x14ac:dyDescent="0.3">
      <c r="B86" s="69" t="s">
        <v>209</v>
      </c>
      <c r="C86" s="454">
        <v>15890</v>
      </c>
      <c r="D86" s="454">
        <v>19934</v>
      </c>
      <c r="E86" s="454">
        <v>21856</v>
      </c>
      <c r="F86" s="454">
        <v>32173</v>
      </c>
      <c r="G86" s="454">
        <v>36410</v>
      </c>
    </row>
    <row r="87" spans="2:7" x14ac:dyDescent="0.3">
      <c r="B87" s="69" t="s">
        <v>58</v>
      </c>
      <c r="C87" s="107"/>
      <c r="D87" s="107"/>
      <c r="E87" s="107"/>
      <c r="F87" s="107"/>
      <c r="G87" s="107"/>
    </row>
    <row r="88" spans="2:7" x14ac:dyDescent="0.3">
      <c r="B88" s="69" t="s">
        <v>19</v>
      </c>
      <c r="C88" s="454">
        <v>2371</v>
      </c>
      <c r="D88" s="454">
        <v>3033</v>
      </c>
      <c r="E88" s="454">
        <v>10073</v>
      </c>
      <c r="F88" s="454">
        <v>11588</v>
      </c>
      <c r="G88" s="454">
        <v>21331</v>
      </c>
    </row>
    <row r="89" spans="2:7" x14ac:dyDescent="0.3">
      <c r="B89" s="69" t="s">
        <v>59</v>
      </c>
      <c r="C89" s="107"/>
      <c r="D89" s="107"/>
      <c r="E89" s="107"/>
      <c r="F89" s="107"/>
      <c r="G89" s="107"/>
    </row>
    <row r="90" spans="2:7" x14ac:dyDescent="0.3">
      <c r="B90" s="69" t="s">
        <v>60</v>
      </c>
      <c r="C90" s="454">
        <v>8116</v>
      </c>
      <c r="D90" s="454">
        <v>11478</v>
      </c>
      <c r="E90" s="454">
        <v>15341</v>
      </c>
      <c r="F90" s="454">
        <v>21789</v>
      </c>
      <c r="G90" s="454">
        <v>25251</v>
      </c>
    </row>
    <row r="91" spans="2:7" x14ac:dyDescent="0.3">
      <c r="B91" s="69" t="s">
        <v>61</v>
      </c>
      <c r="C91" s="454">
        <v>2975</v>
      </c>
      <c r="D91" s="454">
        <v>4215</v>
      </c>
      <c r="E91" s="454">
        <v>5418</v>
      </c>
      <c r="F91" s="454">
        <v>6864</v>
      </c>
      <c r="G91" s="454">
        <v>9208</v>
      </c>
    </row>
    <row r="92" spans="2:7" x14ac:dyDescent="0.3">
      <c r="B92" s="69" t="s">
        <v>9</v>
      </c>
      <c r="C92" s="454">
        <v>160</v>
      </c>
      <c r="D92" s="454">
        <v>202</v>
      </c>
      <c r="E92" s="454">
        <v>274</v>
      </c>
      <c r="F92" s="454">
        <v>164</v>
      </c>
      <c r="G92" s="454">
        <v>-71</v>
      </c>
    </row>
    <row r="93" spans="2:7" x14ac:dyDescent="0.3">
      <c r="B93" s="69" t="s">
        <v>62</v>
      </c>
      <c r="C93" s="454">
        <v>-20</v>
      </c>
      <c r="D93" s="454">
        <v>-292</v>
      </c>
      <c r="E93" s="454">
        <v>219</v>
      </c>
      <c r="F93" s="454">
        <v>-249</v>
      </c>
      <c r="G93" s="454">
        <v>-2582</v>
      </c>
    </row>
    <row r="94" spans="2:7" x14ac:dyDescent="0.3">
      <c r="B94" s="69" t="s">
        <v>63</v>
      </c>
      <c r="C94" s="454">
        <v>-246</v>
      </c>
      <c r="D94" s="454">
        <v>-29</v>
      </c>
      <c r="E94" s="454">
        <v>441</v>
      </c>
      <c r="F94" s="454">
        <v>796</v>
      </c>
      <c r="G94" s="454">
        <v>-554</v>
      </c>
    </row>
    <row r="95" spans="2:7" x14ac:dyDescent="0.3">
      <c r="B95" s="69" t="s">
        <v>64</v>
      </c>
      <c r="C95" s="107"/>
      <c r="D95" s="107"/>
      <c r="E95" s="107"/>
      <c r="F95" s="107"/>
      <c r="G95" s="107"/>
    </row>
    <row r="96" spans="2:7" x14ac:dyDescent="0.3">
      <c r="B96" s="69" t="s">
        <v>29</v>
      </c>
      <c r="C96" s="454">
        <v>-1426</v>
      </c>
      <c r="D96" s="454">
        <v>-3583</v>
      </c>
      <c r="E96" s="454">
        <v>-1314</v>
      </c>
      <c r="F96" s="454">
        <v>-3278</v>
      </c>
      <c r="G96" s="454">
        <v>-2849</v>
      </c>
    </row>
    <row r="97" spans="2:7" x14ac:dyDescent="0.3">
      <c r="B97" s="69" t="s">
        <v>30</v>
      </c>
      <c r="C97" s="454">
        <v>-3367</v>
      </c>
      <c r="D97" s="454">
        <v>-4780</v>
      </c>
      <c r="E97" s="454">
        <v>-4615</v>
      </c>
      <c r="F97" s="454">
        <v>-7681</v>
      </c>
      <c r="G97" s="454">
        <v>-8169</v>
      </c>
    </row>
    <row r="98" spans="2:7" x14ac:dyDescent="0.3">
      <c r="B98" s="69" t="s">
        <v>38</v>
      </c>
      <c r="C98" s="454">
        <v>5030</v>
      </c>
      <c r="D98" s="454">
        <v>7100</v>
      </c>
      <c r="E98" s="454">
        <v>3263</v>
      </c>
      <c r="F98" s="454">
        <v>8193</v>
      </c>
      <c r="G98" s="454">
        <v>17480</v>
      </c>
    </row>
    <row r="99" spans="2:7" x14ac:dyDescent="0.3">
      <c r="B99" s="69" t="s">
        <v>39</v>
      </c>
      <c r="C99" s="454">
        <v>1724</v>
      </c>
      <c r="D99" s="454">
        <v>283</v>
      </c>
      <c r="E99" s="454">
        <v>472</v>
      </c>
      <c r="F99" s="454">
        <v>-1383</v>
      </c>
      <c r="G99" s="454">
        <v>5754</v>
      </c>
    </row>
    <row r="100" spans="2:7" x14ac:dyDescent="0.3">
      <c r="B100" s="69" t="s">
        <v>40</v>
      </c>
      <c r="C100" s="454">
        <v>1955</v>
      </c>
      <c r="D100" s="454">
        <v>738</v>
      </c>
      <c r="E100" s="454">
        <v>1151</v>
      </c>
      <c r="F100" s="454">
        <v>1711</v>
      </c>
      <c r="G100" s="454">
        <v>1265</v>
      </c>
    </row>
    <row r="101" spans="2:7" x14ac:dyDescent="0.3">
      <c r="B101" s="69" t="s">
        <v>65</v>
      </c>
      <c r="C101" s="454">
        <v>17272</v>
      </c>
      <c r="D101" s="454">
        <v>18365</v>
      </c>
      <c r="E101" s="454">
        <v>30723</v>
      </c>
      <c r="F101" s="454">
        <v>38514</v>
      </c>
      <c r="G101" s="454">
        <v>66064</v>
      </c>
    </row>
    <row r="102" spans="2:7" x14ac:dyDescent="0.3">
      <c r="C102" s="107"/>
      <c r="D102" s="107"/>
      <c r="E102" s="107"/>
      <c r="F102" s="107"/>
      <c r="G102" s="107"/>
    </row>
    <row r="103" spans="2:7" x14ac:dyDescent="0.3">
      <c r="B103" s="69" t="s">
        <v>66</v>
      </c>
      <c r="C103" s="454">
        <v>-7804</v>
      </c>
      <c r="D103" s="454">
        <v>-11955</v>
      </c>
      <c r="E103" s="454">
        <v>-13427</v>
      </c>
      <c r="F103" s="454">
        <v>-16861</v>
      </c>
      <c r="G103" s="454">
        <v>-40140</v>
      </c>
    </row>
    <row r="104" spans="2:7" x14ac:dyDescent="0.3">
      <c r="B104" s="69" t="s">
        <v>67</v>
      </c>
      <c r="C104" s="454">
        <v>1067</v>
      </c>
      <c r="D104" s="454">
        <v>1897</v>
      </c>
      <c r="E104" s="454">
        <v>2104</v>
      </c>
      <c r="F104" s="454">
        <v>4172</v>
      </c>
      <c r="G104" s="454">
        <v>5096</v>
      </c>
    </row>
    <row r="105" spans="2:7" x14ac:dyDescent="0.3">
      <c r="B105" s="69" t="s">
        <v>68</v>
      </c>
      <c r="C105" s="454">
        <v>-116</v>
      </c>
      <c r="D105" s="454">
        <v>-13972</v>
      </c>
      <c r="E105" s="454">
        <v>-2186</v>
      </c>
      <c r="F105" s="454">
        <v>-2461</v>
      </c>
      <c r="G105" s="454">
        <v>-2325</v>
      </c>
    </row>
    <row r="106" spans="2:7" x14ac:dyDescent="0.3">
      <c r="B106" s="69" t="s">
        <v>69</v>
      </c>
      <c r="C106" s="454">
        <v>4733</v>
      </c>
      <c r="D106" s="454">
        <v>9677</v>
      </c>
      <c r="E106" s="454">
        <v>8240</v>
      </c>
      <c r="F106" s="454">
        <v>22681</v>
      </c>
      <c r="G106" s="454">
        <v>50237</v>
      </c>
    </row>
    <row r="107" spans="2:7" x14ac:dyDescent="0.3">
      <c r="B107" s="69" t="s">
        <v>70</v>
      </c>
      <c r="C107" s="454">
        <v>-7756</v>
      </c>
      <c r="D107" s="454">
        <v>-12731</v>
      </c>
      <c r="E107" s="454">
        <v>-7100</v>
      </c>
      <c r="F107" s="454">
        <v>-31812</v>
      </c>
      <c r="G107" s="454">
        <v>-72479</v>
      </c>
    </row>
    <row r="108" spans="2:7" x14ac:dyDescent="0.3">
      <c r="B108" s="69" t="s">
        <v>71</v>
      </c>
      <c r="C108" s="454">
        <v>-9876</v>
      </c>
      <c r="D108" s="454">
        <v>-27084</v>
      </c>
      <c r="E108" s="454">
        <v>-12369</v>
      </c>
      <c r="F108" s="454">
        <v>-24281</v>
      </c>
      <c r="G108" s="454">
        <v>-59611</v>
      </c>
    </row>
    <row r="109" spans="2:7" x14ac:dyDescent="0.3">
      <c r="C109" s="454"/>
      <c r="D109" s="454"/>
      <c r="E109" s="454"/>
      <c r="F109" s="454"/>
      <c r="G109" s="454"/>
    </row>
    <row r="110" spans="2:7" x14ac:dyDescent="0.3">
      <c r="B110" s="69" t="s">
        <v>72</v>
      </c>
      <c r="C110" s="454">
        <v>621</v>
      </c>
      <c r="D110" s="454">
        <v>16228</v>
      </c>
      <c r="E110" s="454">
        <v>768</v>
      </c>
      <c r="F110" s="454">
        <v>2273</v>
      </c>
      <c r="G110" s="454">
        <f>10525+6796</f>
        <v>17321</v>
      </c>
    </row>
    <row r="111" spans="2:7" x14ac:dyDescent="0.3">
      <c r="B111" s="69" t="s">
        <v>73</v>
      </c>
      <c r="C111" s="454">
        <v>-354</v>
      </c>
      <c r="D111" s="454">
        <v>-1301</v>
      </c>
      <c r="E111" s="454">
        <v>-668</v>
      </c>
      <c r="F111" s="454">
        <v>-2684</v>
      </c>
      <c r="G111" s="454">
        <f>-1553-6177</f>
        <v>-7730</v>
      </c>
    </row>
    <row r="112" spans="2:7" x14ac:dyDescent="0.3">
      <c r="B112" s="69" t="s">
        <v>300</v>
      </c>
      <c r="C112" s="454">
        <v>-3860</v>
      </c>
      <c r="D112" s="454">
        <v>0</v>
      </c>
      <c r="E112" s="454">
        <v>0</v>
      </c>
      <c r="F112" s="454">
        <v>0</v>
      </c>
      <c r="G112" s="454">
        <v>0</v>
      </c>
    </row>
    <row r="113" spans="2:9" x14ac:dyDescent="0.3">
      <c r="B113" s="69" t="s">
        <v>297</v>
      </c>
      <c r="C113" s="454">
        <v>-147</v>
      </c>
      <c r="D113" s="454">
        <v>-4799</v>
      </c>
      <c r="E113" s="454">
        <v>-7449</v>
      </c>
      <c r="F113" s="454">
        <v>-9628</v>
      </c>
      <c r="G113" s="454">
        <v>-10642</v>
      </c>
    </row>
    <row r="114" spans="2:9" x14ac:dyDescent="0.3">
      <c r="B114" s="69" t="s">
        <v>227</v>
      </c>
      <c r="C114" s="454">
        <v>0</v>
      </c>
      <c r="D114" s="454">
        <v>-200</v>
      </c>
      <c r="E114" s="454">
        <v>-337</v>
      </c>
      <c r="F114" s="454">
        <v>-27</v>
      </c>
      <c r="G114" s="454">
        <v>-53</v>
      </c>
      <c r="H114" s="183"/>
      <c r="I114" s="183"/>
    </row>
    <row r="115" spans="2:9" x14ac:dyDescent="0.3">
      <c r="B115" s="69" t="s">
        <v>74</v>
      </c>
      <c r="C115" s="454">
        <v>-3740</v>
      </c>
      <c r="D115" s="454">
        <v>9928</v>
      </c>
      <c r="E115" s="454">
        <v>-7686</v>
      </c>
      <c r="F115" s="454">
        <v>-10066</v>
      </c>
      <c r="G115" s="454">
        <v>-1104</v>
      </c>
    </row>
    <row r="116" spans="2:9" x14ac:dyDescent="0.3">
      <c r="B116" s="69" t="s">
        <v>210</v>
      </c>
      <c r="C116" s="454">
        <v>-212</v>
      </c>
      <c r="D116" s="454">
        <v>713</v>
      </c>
      <c r="E116" s="454">
        <v>-351</v>
      </c>
      <c r="F116" s="454">
        <v>70</v>
      </c>
      <c r="G116" s="454">
        <v>618</v>
      </c>
    </row>
    <row r="117" spans="2:9" x14ac:dyDescent="0.3">
      <c r="B117" s="69" t="s">
        <v>75</v>
      </c>
      <c r="C117" s="454">
        <v>3444</v>
      </c>
      <c r="D117" s="454">
        <v>1922</v>
      </c>
      <c r="E117" s="454">
        <v>10317</v>
      </c>
      <c r="F117" s="454">
        <v>4237</v>
      </c>
      <c r="G117" s="454">
        <v>5967</v>
      </c>
    </row>
    <row r="118" spans="2:9" x14ac:dyDescent="0.3">
      <c r="B118" s="69" t="s">
        <v>211</v>
      </c>
      <c r="C118" s="454">
        <v>19334</v>
      </c>
      <c r="D118" s="454">
        <v>21856</v>
      </c>
      <c r="E118" s="454">
        <v>32173</v>
      </c>
      <c r="F118" s="454">
        <v>36410</v>
      </c>
      <c r="G118" s="454">
        <v>42377</v>
      </c>
    </row>
    <row r="119" spans="2:9" x14ac:dyDescent="0.3">
      <c r="C119" s="144"/>
      <c r="D119" s="144"/>
      <c r="E119" s="144"/>
      <c r="F119" s="144"/>
      <c r="G119" s="144"/>
    </row>
    <row r="120" spans="2:9" x14ac:dyDescent="0.3">
      <c r="B120" s="69" t="s">
        <v>25</v>
      </c>
      <c r="C120" s="144"/>
      <c r="D120" s="144"/>
      <c r="E120" s="144"/>
      <c r="F120" s="144"/>
      <c r="G120" s="144"/>
    </row>
    <row r="121" spans="2:9" x14ac:dyDescent="0.3">
      <c r="B121" s="219" t="s">
        <v>480</v>
      </c>
      <c r="C121" s="219"/>
      <c r="D121" s="219"/>
      <c r="E121" s="220"/>
      <c r="F121" s="220"/>
      <c r="G121" s="220"/>
    </row>
    <row r="122" spans="2:9" x14ac:dyDescent="0.3">
      <c r="B122" s="69" t="s">
        <v>212</v>
      </c>
      <c r="C122" s="454">
        <v>19334</v>
      </c>
      <c r="D122" s="454">
        <v>20522</v>
      </c>
      <c r="E122" s="454">
        <v>31750</v>
      </c>
      <c r="F122" s="454">
        <v>36092</v>
      </c>
      <c r="G122" s="454">
        <v>42122</v>
      </c>
    </row>
    <row r="123" spans="2:9" x14ac:dyDescent="0.3">
      <c r="B123" s="69" t="s">
        <v>213</v>
      </c>
      <c r="C123" s="454">
        <v>265</v>
      </c>
      <c r="D123" s="454">
        <v>1329</v>
      </c>
      <c r="E123" s="454">
        <v>418</v>
      </c>
      <c r="F123" s="454">
        <v>276</v>
      </c>
      <c r="G123" s="454">
        <v>233</v>
      </c>
    </row>
    <row r="124" spans="2:9" x14ac:dyDescent="0.3">
      <c r="B124" s="69" t="s">
        <v>214</v>
      </c>
      <c r="C124" s="454">
        <v>0</v>
      </c>
      <c r="D124" s="454">
        <v>5</v>
      </c>
      <c r="E124" s="454">
        <v>5</v>
      </c>
      <c r="F124" s="454">
        <v>42</v>
      </c>
      <c r="G124" s="454">
        <v>22</v>
      </c>
    </row>
    <row r="125" spans="2:9" x14ac:dyDescent="0.3">
      <c r="B125" s="69" t="s">
        <v>215</v>
      </c>
      <c r="C125" s="454">
        <v>19599</v>
      </c>
      <c r="D125" s="454">
        <v>21856</v>
      </c>
      <c r="E125" s="454">
        <v>32173</v>
      </c>
      <c r="F125" s="454">
        <v>36410</v>
      </c>
      <c r="G125" s="454">
        <v>42377</v>
      </c>
    </row>
    <row r="126" spans="2:9" x14ac:dyDescent="0.3">
      <c r="C126" s="387"/>
      <c r="D126" s="387"/>
      <c r="E126" s="387"/>
      <c r="F126" s="387"/>
      <c r="G126" s="387"/>
    </row>
    <row r="127" spans="2:9" x14ac:dyDescent="0.3">
      <c r="B127" s="69" t="s">
        <v>216</v>
      </c>
      <c r="C127" s="454">
        <v>290</v>
      </c>
      <c r="D127" s="454">
        <v>328</v>
      </c>
      <c r="E127" s="454">
        <v>854</v>
      </c>
      <c r="F127" s="454">
        <v>875</v>
      </c>
      <c r="G127" s="454">
        <v>916</v>
      </c>
    </row>
    <row r="128" spans="2:9" x14ac:dyDescent="0.3">
      <c r="B128" s="69" t="s">
        <v>217</v>
      </c>
      <c r="C128" s="454">
        <v>0</v>
      </c>
      <c r="D128" s="454">
        <v>0</v>
      </c>
      <c r="E128" s="454">
        <v>0</v>
      </c>
      <c r="F128" s="454">
        <v>3361</v>
      </c>
      <c r="G128" s="454">
        <v>4475</v>
      </c>
    </row>
    <row r="129" spans="2:7" x14ac:dyDescent="0.3">
      <c r="B129" s="69" t="s">
        <v>218</v>
      </c>
      <c r="C129" s="454">
        <v>206</v>
      </c>
      <c r="D129" s="454">
        <v>200</v>
      </c>
      <c r="E129" s="454">
        <v>381</v>
      </c>
      <c r="F129" s="454">
        <v>647</v>
      </c>
      <c r="G129" s="454">
        <v>612</v>
      </c>
    </row>
    <row r="130" spans="2:7" x14ac:dyDescent="0.3">
      <c r="B130" s="69" t="s">
        <v>219</v>
      </c>
      <c r="C130" s="454">
        <v>0</v>
      </c>
      <c r="D130" s="454">
        <v>119</v>
      </c>
      <c r="E130" s="454">
        <v>194</v>
      </c>
      <c r="F130" s="454">
        <v>39</v>
      </c>
      <c r="G130" s="454">
        <v>102</v>
      </c>
    </row>
    <row r="131" spans="2:7" x14ac:dyDescent="0.3">
      <c r="B131" s="69" t="s">
        <v>220</v>
      </c>
      <c r="C131" s="454">
        <v>412</v>
      </c>
      <c r="D131" s="454">
        <v>957</v>
      </c>
      <c r="E131" s="454">
        <v>1184</v>
      </c>
      <c r="F131" s="454">
        <v>881</v>
      </c>
      <c r="G131" s="454">
        <v>1713</v>
      </c>
    </row>
    <row r="132" spans="2:7" x14ac:dyDescent="0.3">
      <c r="B132" s="69" t="s">
        <v>221</v>
      </c>
      <c r="C132" s="454">
        <v>0</v>
      </c>
      <c r="D132" s="454">
        <v>0</v>
      </c>
      <c r="E132" s="454">
        <v>0</v>
      </c>
      <c r="F132" s="454">
        <v>7870</v>
      </c>
      <c r="G132" s="454">
        <v>16217</v>
      </c>
    </row>
    <row r="133" spans="2:7" x14ac:dyDescent="0.3">
      <c r="B133" s="69" t="s">
        <v>222</v>
      </c>
      <c r="C133" s="454">
        <v>5704</v>
      </c>
      <c r="D133" s="454">
        <v>9637</v>
      </c>
      <c r="E133" s="454">
        <v>10615</v>
      </c>
      <c r="F133" s="454">
        <v>13723</v>
      </c>
      <c r="G133" s="454">
        <v>11588</v>
      </c>
    </row>
    <row r="134" spans="2:7" x14ac:dyDescent="0.3">
      <c r="B134" s="69" t="s">
        <v>223</v>
      </c>
      <c r="C134" s="454">
        <v>1209</v>
      </c>
      <c r="D134" s="454">
        <v>3541</v>
      </c>
      <c r="E134" s="454">
        <v>3641</v>
      </c>
      <c r="F134" s="454">
        <v>1362</v>
      </c>
      <c r="G134" s="454">
        <v>2267</v>
      </c>
    </row>
    <row r="137" spans="2:7" x14ac:dyDescent="0.3">
      <c r="B137" s="219" t="s">
        <v>519</v>
      </c>
      <c r="C137" s="219"/>
      <c r="D137" s="219"/>
      <c r="E137" s="220"/>
      <c r="F137" s="220"/>
      <c r="G137" s="220"/>
    </row>
    <row r="138" spans="2:7" x14ac:dyDescent="0.3">
      <c r="B138" s="331" t="s">
        <v>419</v>
      </c>
      <c r="C138" s="331"/>
      <c r="D138" s="331"/>
      <c r="E138" s="331"/>
      <c r="F138" s="331"/>
      <c r="G138" s="331"/>
    </row>
    <row r="139" spans="2:7" x14ac:dyDescent="0.3">
      <c r="B139" s="69" t="s">
        <v>523</v>
      </c>
      <c r="C139" s="454">
        <v>3800</v>
      </c>
      <c r="D139" s="454">
        <v>5400</v>
      </c>
      <c r="E139" s="454">
        <v>7300</v>
      </c>
      <c r="F139" s="454">
        <v>10100</v>
      </c>
      <c r="G139" s="454">
        <v>8500</v>
      </c>
    </row>
    <row r="140" spans="2:7" x14ac:dyDescent="0.3">
      <c r="B140" s="69" t="s">
        <v>526</v>
      </c>
      <c r="C140" s="454">
        <v>11039</v>
      </c>
      <c r="D140" s="454">
        <v>17765</v>
      </c>
      <c r="E140" s="454">
        <v>22700</v>
      </c>
      <c r="F140" s="454">
        <v>27400</v>
      </c>
      <c r="G140" s="454">
        <v>31600</v>
      </c>
    </row>
    <row r="141" spans="2:7" x14ac:dyDescent="0.3">
      <c r="B141" s="69" t="s">
        <v>525</v>
      </c>
      <c r="C141" s="454">
        <v>8401</v>
      </c>
      <c r="D141" s="387">
        <f>C140</f>
        <v>11039</v>
      </c>
      <c r="E141" s="387">
        <f>D140</f>
        <v>17765</v>
      </c>
      <c r="F141" s="387">
        <f>E140</f>
        <v>22700</v>
      </c>
      <c r="G141" s="387">
        <f>F140</f>
        <v>27400</v>
      </c>
    </row>
    <row r="142" spans="2:7" x14ac:dyDescent="0.3">
      <c r="C142" s="332"/>
      <c r="D142" s="332"/>
      <c r="E142" s="332"/>
      <c r="F142" s="332"/>
      <c r="G142" s="332"/>
    </row>
    <row r="143" spans="2:7" x14ac:dyDescent="0.3">
      <c r="B143" s="331" t="s">
        <v>421</v>
      </c>
      <c r="C143" s="331"/>
      <c r="D143" s="331"/>
      <c r="E143" s="331"/>
      <c r="F143" s="331"/>
      <c r="G143" s="331"/>
    </row>
    <row r="144" spans="2:7" x14ac:dyDescent="0.3">
      <c r="B144" s="69" t="s">
        <v>526</v>
      </c>
      <c r="C144" s="454">
        <v>11660</v>
      </c>
      <c r="D144" s="454">
        <v>19304</v>
      </c>
      <c r="E144" s="454">
        <v>24423</v>
      </c>
      <c r="F144" s="454">
        <v>26979</v>
      </c>
      <c r="G144" s="454">
        <v>28434</v>
      </c>
    </row>
    <row r="145" spans="2:10" x14ac:dyDescent="0.3">
      <c r="B145" s="69" t="s">
        <v>525</v>
      </c>
      <c r="C145" s="454">
        <v>9074</v>
      </c>
      <c r="D145" s="387">
        <f>C144</f>
        <v>11660</v>
      </c>
      <c r="E145" s="387">
        <f>D144</f>
        <v>19304</v>
      </c>
      <c r="F145" s="387">
        <f>E144</f>
        <v>24423</v>
      </c>
      <c r="G145" s="387">
        <f>F144</f>
        <v>26979</v>
      </c>
    </row>
    <row r="146" spans="2:10" x14ac:dyDescent="0.3">
      <c r="B146" s="69" t="s">
        <v>567</v>
      </c>
      <c r="C146" s="454">
        <f>3997+114</f>
        <v>4111</v>
      </c>
      <c r="D146" s="454">
        <f>5839+282</f>
        <v>6121</v>
      </c>
      <c r="E146" s="454">
        <f>7720+411</f>
        <v>8131</v>
      </c>
      <c r="F146" s="454">
        <v>9884</v>
      </c>
      <c r="G146" s="454">
        <v>10374</v>
      </c>
    </row>
    <row r="147" spans="2:10" x14ac:dyDescent="0.3">
      <c r="C147"/>
      <c r="D147" s="81"/>
      <c r="F147" s="330"/>
      <c r="G147" s="330"/>
    </row>
    <row r="148" spans="2:10" x14ac:dyDescent="0.3">
      <c r="B148" s="69" t="s">
        <v>521</v>
      </c>
      <c r="C148" s="334" t="s">
        <v>524</v>
      </c>
      <c r="D148" s="334" t="s">
        <v>524</v>
      </c>
      <c r="E148" s="334" t="s">
        <v>524</v>
      </c>
      <c r="F148" s="456">
        <v>2.7E-2</v>
      </c>
      <c r="G148" s="456">
        <v>2.1000000000000001E-2</v>
      </c>
    </row>
    <row r="149" spans="2:10" x14ac:dyDescent="0.3">
      <c r="B149" s="69" t="s">
        <v>527</v>
      </c>
      <c r="C149" s="334" t="s">
        <v>524</v>
      </c>
      <c r="D149" s="334" t="s">
        <v>524</v>
      </c>
      <c r="E149" s="334" t="s">
        <v>524</v>
      </c>
      <c r="F149" s="457">
        <v>5.5</v>
      </c>
      <c r="G149" s="457">
        <v>6.2</v>
      </c>
    </row>
    <row r="151" spans="2:10" x14ac:dyDescent="0.3">
      <c r="B151" s="219" t="s">
        <v>520</v>
      </c>
      <c r="C151" s="219"/>
      <c r="D151" s="219"/>
      <c r="E151" s="220"/>
      <c r="F151" s="220"/>
      <c r="G151" s="220"/>
    </row>
    <row r="152" spans="2:10" x14ac:dyDescent="0.3">
      <c r="B152" s="331" t="s">
        <v>416</v>
      </c>
      <c r="C152" s="331"/>
      <c r="D152" s="331"/>
      <c r="E152" s="331"/>
      <c r="F152" s="331"/>
      <c r="G152" s="331"/>
    </row>
    <row r="153" spans="2:10" x14ac:dyDescent="0.3">
      <c r="B153" s="69" t="s">
        <v>528</v>
      </c>
      <c r="C153" s="334" t="s">
        <v>524</v>
      </c>
      <c r="D153" s="334" t="s">
        <v>524</v>
      </c>
      <c r="E153" s="334" t="s">
        <v>524</v>
      </c>
      <c r="F153" s="458">
        <v>7870</v>
      </c>
      <c r="G153" s="458">
        <v>16217</v>
      </c>
      <c r="I153" s="183"/>
      <c r="J153" s="183"/>
    </row>
    <row r="154" spans="2:10" x14ac:dyDescent="0.3">
      <c r="C154" s="334"/>
      <c r="D154" s="334"/>
      <c r="E154" s="333"/>
      <c r="F154" s="335"/>
      <c r="G154" s="335"/>
    </row>
    <row r="155" spans="2:10" x14ac:dyDescent="0.3">
      <c r="B155" s="331" t="s">
        <v>417</v>
      </c>
      <c r="C155" s="331"/>
      <c r="D155" s="331"/>
      <c r="E155" s="331"/>
      <c r="F155" s="331"/>
      <c r="G155" s="331"/>
    </row>
    <row r="156" spans="2:10" x14ac:dyDescent="0.3">
      <c r="B156" s="69" t="s">
        <v>526</v>
      </c>
      <c r="C156" s="334" t="s">
        <v>524</v>
      </c>
      <c r="D156" s="334" t="s">
        <v>524</v>
      </c>
      <c r="E156" s="454">
        <v>20865.193986420902</v>
      </c>
      <c r="F156" s="454">
        <v>25835</v>
      </c>
      <c r="G156" s="454">
        <v>39099</v>
      </c>
    </row>
    <row r="157" spans="2:10" x14ac:dyDescent="0.3">
      <c r="B157" s="69" t="s">
        <v>529</v>
      </c>
      <c r="C157" s="459">
        <v>0</v>
      </c>
      <c r="D157" s="454">
        <v>2200</v>
      </c>
      <c r="E157" s="454">
        <v>3400</v>
      </c>
      <c r="F157" s="454">
        <v>3669</v>
      </c>
      <c r="G157" s="454">
        <v>5019</v>
      </c>
    </row>
    <row r="158" spans="2:10" x14ac:dyDescent="0.3">
      <c r="B158" s="69" t="s">
        <v>521</v>
      </c>
      <c r="C158" s="334" t="s">
        <v>524</v>
      </c>
      <c r="D158" s="334" t="s">
        <v>524</v>
      </c>
      <c r="E158" s="334" t="s">
        <v>524</v>
      </c>
      <c r="F158" s="456">
        <v>3.1E-2</v>
      </c>
      <c r="G158" s="456">
        <v>2.5000000000000001E-2</v>
      </c>
    </row>
    <row r="159" spans="2:10" x14ac:dyDescent="0.3">
      <c r="B159" s="69" t="s">
        <v>522</v>
      </c>
      <c r="C159" s="334" t="s">
        <v>524</v>
      </c>
      <c r="D159" s="334" t="s">
        <v>524</v>
      </c>
      <c r="E159" s="334" t="s">
        <v>524</v>
      </c>
      <c r="F159" s="457">
        <v>11.5</v>
      </c>
      <c r="G159" s="457">
        <v>11.3</v>
      </c>
    </row>
    <row r="160" spans="2:10" x14ac:dyDescent="0.3">
      <c r="B160" s="69" t="s">
        <v>567</v>
      </c>
      <c r="C160" s="334" t="s">
        <v>524</v>
      </c>
      <c r="D160" s="334" t="s">
        <v>524</v>
      </c>
      <c r="E160" s="334" t="s">
        <v>524</v>
      </c>
      <c r="F160" s="460">
        <v>3139</v>
      </c>
      <c r="G160" s="460">
        <v>4586</v>
      </c>
    </row>
    <row r="161" spans="2:7" x14ac:dyDescent="0.3">
      <c r="C161"/>
      <c r="D161"/>
      <c r="F161" s="330"/>
      <c r="G161" s="330"/>
    </row>
    <row r="162" spans="2:7" x14ac:dyDescent="0.3">
      <c r="B162" s="219" t="s">
        <v>422</v>
      </c>
      <c r="C162" s="219"/>
      <c r="D162" s="219"/>
      <c r="E162" s="220"/>
      <c r="F162" s="220"/>
      <c r="G162" s="220"/>
    </row>
    <row r="163" spans="2:7" x14ac:dyDescent="0.3">
      <c r="C163" s="143">
        <v>2022</v>
      </c>
      <c r="D163" s="143">
        <v>2023</v>
      </c>
      <c r="E163" s="143">
        <v>2024</v>
      </c>
      <c r="F163" s="143">
        <v>2025</v>
      </c>
      <c r="G163" s="125" t="s">
        <v>301</v>
      </c>
    </row>
    <row r="164" spans="2:7" x14ac:dyDescent="0.3">
      <c r="B164" s="69" t="s">
        <v>423</v>
      </c>
      <c r="C164" s="454">
        <v>1629</v>
      </c>
      <c r="D164" s="454">
        <v>2283</v>
      </c>
      <c r="E164" s="454">
        <v>3355</v>
      </c>
      <c r="F164" s="454">
        <v>2251</v>
      </c>
      <c r="G164" s="454">
        <v>22500</v>
      </c>
    </row>
  </sheetData>
  <pageMargins left="0.7" right="0.7" top="0.75" bottom="0.75" header="0.3" footer="0.3"/>
  <pageSetup scale="41" orientation="portrait" horizontalDpi="1200" verticalDpi="1200" r:id="rId1"/>
  <rowBreaks count="1" manualBreakCount="1">
    <brk id="78" max="7" man="1"/>
  </rowBreaks>
  <colBreaks count="1" manualBreakCount="1">
    <brk id="10" max="164" man="1"/>
  </col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89CE4-7A82-422C-8C48-01B08C7A5A62}">
  <dimension ref="A1:U60"/>
  <sheetViews>
    <sheetView showGridLines="0" zoomScaleNormal="100" workbookViewId="0"/>
  </sheetViews>
  <sheetFormatPr defaultColWidth="10.75" defaultRowHeight="13.8" outlineLevelRow="1" x14ac:dyDescent="0.25"/>
  <cols>
    <col min="1" max="1" width="3.375" customWidth="1"/>
    <col min="2" max="2" width="65.75" customWidth="1"/>
    <col min="19" max="19" width="10.75" style="89"/>
  </cols>
  <sheetData>
    <row r="1" spans="1:19" x14ac:dyDescent="0.25">
      <c r="A1" s="2" t="s">
        <v>76</v>
      </c>
      <c r="B1" s="67"/>
      <c r="C1" s="17"/>
      <c r="D1" s="17"/>
      <c r="E1" s="17"/>
      <c r="F1" s="17"/>
      <c r="G1" s="17"/>
      <c r="H1" s="17"/>
      <c r="I1" s="17"/>
      <c r="J1" s="43"/>
      <c r="K1" s="44"/>
      <c r="L1" s="17"/>
      <c r="M1" s="43"/>
      <c r="N1" s="44"/>
      <c r="O1" s="17"/>
      <c r="P1" s="17"/>
      <c r="Q1" s="17"/>
      <c r="R1" s="17"/>
    </row>
    <row r="2" spans="1:19" ht="18" x14ac:dyDescent="0.35">
      <c r="A2" s="70" t="s">
        <v>516</v>
      </c>
      <c r="B2" s="3"/>
      <c r="C2" s="17"/>
      <c r="D2" s="17"/>
      <c r="E2" s="17"/>
      <c r="F2" s="17"/>
      <c r="G2" s="17"/>
      <c r="H2" s="17"/>
      <c r="I2" s="17"/>
      <c r="J2" s="17"/>
      <c r="K2" s="17"/>
      <c r="L2" s="17"/>
      <c r="M2" s="17"/>
      <c r="N2" s="17"/>
      <c r="O2" s="17"/>
      <c r="P2" s="17"/>
      <c r="Q2" s="17"/>
      <c r="R2" s="17"/>
    </row>
    <row r="3" spans="1:19" x14ac:dyDescent="0.25">
      <c r="A3" s="71" t="s">
        <v>229</v>
      </c>
      <c r="B3" s="4"/>
      <c r="C3" s="17"/>
      <c r="D3" s="17"/>
      <c r="E3" s="17"/>
      <c r="F3" s="17"/>
      <c r="G3" s="17"/>
      <c r="H3" s="17"/>
      <c r="I3" s="17"/>
      <c r="J3" s="17"/>
      <c r="K3" s="17"/>
      <c r="L3" s="17"/>
      <c r="M3" s="17"/>
      <c r="N3" s="17"/>
      <c r="O3" s="17"/>
      <c r="P3" s="17"/>
      <c r="Q3" s="17"/>
      <c r="R3" s="17"/>
    </row>
    <row r="4" spans="1:19" outlineLevel="1" x14ac:dyDescent="0.25"/>
    <row r="5" spans="1:19" x14ac:dyDescent="0.25">
      <c r="B5" s="57"/>
      <c r="C5" s="78">
        <f>'Financial Statements'!C5</f>
        <v>2016</v>
      </c>
      <c r="D5" s="78">
        <f>'Financial Statements'!D5</f>
        <v>2017</v>
      </c>
      <c r="E5" s="78">
        <f>'Financial Statements'!E5</f>
        <v>2018</v>
      </c>
      <c r="F5" s="78">
        <f>'Financial Statements'!F5</f>
        <v>2019</v>
      </c>
      <c r="G5" s="78">
        <f>'Financial Statements'!G5</f>
        <v>2020</v>
      </c>
      <c r="H5" s="79">
        <f>'Financial Statements'!H5</f>
        <v>2021</v>
      </c>
      <c r="I5" s="79">
        <f>'Financial Statements'!I5</f>
        <v>2022</v>
      </c>
      <c r="J5" s="79">
        <f>'Financial Statements'!J5</f>
        <v>2023</v>
      </c>
      <c r="K5" s="79">
        <f>'Financial Statements'!K5</f>
        <v>2024</v>
      </c>
      <c r="L5" s="79">
        <f>'Financial Statements'!L5</f>
        <v>2025</v>
      </c>
      <c r="M5" s="79">
        <f>'Financial Statements'!M5</f>
        <v>2026</v>
      </c>
      <c r="N5" s="79">
        <f>'Financial Statements'!N5</f>
        <v>2027</v>
      </c>
      <c r="O5" s="79">
        <f>'Financial Statements'!O5</f>
        <v>2028</v>
      </c>
      <c r="P5" s="79">
        <f>'Financial Statements'!P5</f>
        <v>2029</v>
      </c>
      <c r="Q5" s="79">
        <f>'Financial Statements'!Q5</f>
        <v>2030</v>
      </c>
      <c r="R5" s="79">
        <f>'Financial Statements'!R5</f>
        <v>2031</v>
      </c>
      <c r="S5" s="92"/>
    </row>
    <row r="6" spans="1:19" ht="5.4" customHeight="1" x14ac:dyDescent="0.25"/>
    <row r="7" spans="1:19" x14ac:dyDescent="0.25">
      <c r="B7" s="219" t="s">
        <v>89</v>
      </c>
      <c r="C7" s="219"/>
      <c r="D7" s="219"/>
      <c r="E7" s="219"/>
      <c r="F7" s="219"/>
      <c r="G7" s="219"/>
      <c r="H7" s="219"/>
      <c r="I7" s="219"/>
      <c r="J7" s="219"/>
      <c r="K7" s="219"/>
      <c r="L7" s="219"/>
      <c r="M7" s="219"/>
      <c r="N7" s="219"/>
      <c r="O7" s="219"/>
      <c r="P7" s="219"/>
      <c r="Q7" s="219"/>
      <c r="R7" s="219"/>
      <c r="S7" s="93"/>
    </row>
    <row r="8" spans="1:19" outlineLevel="1" x14ac:dyDescent="0.25">
      <c r="B8" t="s">
        <v>90</v>
      </c>
      <c r="C8" s="436">
        <f>'Financial Statements'!C8</f>
        <v>42370</v>
      </c>
      <c r="D8" s="436">
        <f>'Financial Statements'!D8</f>
        <v>42736</v>
      </c>
      <c r="E8" s="436">
        <f>'Financial Statements'!E8</f>
        <v>43101</v>
      </c>
      <c r="F8" s="436">
        <f>'Financial Statements'!F8</f>
        <v>43466</v>
      </c>
      <c r="G8" s="436">
        <f>'Financial Statements'!G8</f>
        <v>43831</v>
      </c>
      <c r="H8" s="436">
        <f>'Financial Statements'!H8</f>
        <v>44197</v>
      </c>
      <c r="I8" s="436">
        <f>'Financial Statements'!I8</f>
        <v>44562</v>
      </c>
      <c r="J8" s="436">
        <f>'Financial Statements'!J8</f>
        <v>44927</v>
      </c>
      <c r="K8" s="436">
        <f>'Financial Statements'!K8</f>
        <v>45292</v>
      </c>
      <c r="L8" s="436">
        <f>'Financial Statements'!L8</f>
        <v>45658</v>
      </c>
      <c r="M8" s="436">
        <f>'Financial Statements'!M8</f>
        <v>46023</v>
      </c>
      <c r="N8" s="436">
        <f>'Financial Statements'!N8</f>
        <v>46388</v>
      </c>
      <c r="O8" s="436">
        <f>'Financial Statements'!O8</f>
        <v>46753</v>
      </c>
      <c r="P8" s="436">
        <f>'Financial Statements'!P8</f>
        <v>47119</v>
      </c>
      <c r="Q8" s="436">
        <f>'Financial Statements'!Q8</f>
        <v>47484</v>
      </c>
      <c r="R8" s="436">
        <f>'Financial Statements'!R8</f>
        <v>47849</v>
      </c>
      <c r="S8" s="94"/>
    </row>
    <row r="9" spans="1:19" outlineLevel="1" x14ac:dyDescent="0.25">
      <c r="B9" t="s">
        <v>92</v>
      </c>
      <c r="C9" s="436">
        <f>'Financial Statements'!C9</f>
        <v>42735</v>
      </c>
      <c r="D9" s="436">
        <f>'Financial Statements'!D9</f>
        <v>43100</v>
      </c>
      <c r="E9" s="436">
        <f>'Financial Statements'!E9</f>
        <v>43465</v>
      </c>
      <c r="F9" s="436">
        <f>'Financial Statements'!F9</f>
        <v>43830</v>
      </c>
      <c r="G9" s="436">
        <f>'Financial Statements'!G9</f>
        <v>44196</v>
      </c>
      <c r="H9" s="436">
        <f>'Financial Statements'!H9</f>
        <v>44561</v>
      </c>
      <c r="I9" s="436">
        <f>'Financial Statements'!I9</f>
        <v>44926</v>
      </c>
      <c r="J9" s="436">
        <f>'Financial Statements'!J9</f>
        <v>45291</v>
      </c>
      <c r="K9" s="436">
        <f>'Financial Statements'!K9</f>
        <v>45657</v>
      </c>
      <c r="L9" s="436">
        <f>'Financial Statements'!L9</f>
        <v>46022</v>
      </c>
      <c r="M9" s="436">
        <f>'Financial Statements'!M9</f>
        <v>46387</v>
      </c>
      <c r="N9" s="436">
        <f>'Financial Statements'!N9</f>
        <v>46752</v>
      </c>
      <c r="O9" s="436">
        <f>'Financial Statements'!O9</f>
        <v>47118</v>
      </c>
      <c r="P9" s="436">
        <f>'Financial Statements'!P9</f>
        <v>47483</v>
      </c>
      <c r="Q9" s="436">
        <f>'Financial Statements'!Q9</f>
        <v>47848</v>
      </c>
      <c r="R9" s="436">
        <f>'Financial Statements'!R9</f>
        <v>48213</v>
      </c>
      <c r="S9" s="94"/>
    </row>
    <row r="10" spans="1:19" outlineLevel="1" x14ac:dyDescent="0.25">
      <c r="B10" t="s">
        <v>91</v>
      </c>
      <c r="C10">
        <f>C9-C8+1</f>
        <v>366</v>
      </c>
      <c r="D10">
        <f>D9-D8+1</f>
        <v>365</v>
      </c>
      <c r="E10">
        <f t="shared" ref="E10:R10" si="0">E9-E8+1</f>
        <v>365</v>
      </c>
      <c r="F10">
        <f t="shared" si="0"/>
        <v>365</v>
      </c>
      <c r="G10">
        <f t="shared" si="0"/>
        <v>366</v>
      </c>
      <c r="H10">
        <f t="shared" si="0"/>
        <v>365</v>
      </c>
      <c r="I10">
        <f t="shared" si="0"/>
        <v>365</v>
      </c>
      <c r="J10">
        <f t="shared" si="0"/>
        <v>365</v>
      </c>
      <c r="K10">
        <f t="shared" si="0"/>
        <v>366</v>
      </c>
      <c r="L10">
        <f t="shared" si="0"/>
        <v>365</v>
      </c>
      <c r="M10">
        <f t="shared" si="0"/>
        <v>365</v>
      </c>
      <c r="N10">
        <f t="shared" si="0"/>
        <v>365</v>
      </c>
      <c r="O10">
        <f t="shared" si="0"/>
        <v>366</v>
      </c>
      <c r="P10">
        <f t="shared" si="0"/>
        <v>365</v>
      </c>
      <c r="Q10">
        <f t="shared" si="0"/>
        <v>365</v>
      </c>
      <c r="R10">
        <f t="shared" si="0"/>
        <v>365</v>
      </c>
    </row>
    <row r="11" spans="1:19" outlineLevel="1" x14ac:dyDescent="0.25"/>
    <row r="12" spans="1:19" x14ac:dyDescent="0.25">
      <c r="B12" s="219" t="s">
        <v>146</v>
      </c>
      <c r="C12" s="219"/>
      <c r="D12" s="219"/>
      <c r="E12" s="219"/>
      <c r="F12" s="219"/>
      <c r="G12" s="219"/>
      <c r="H12" s="219"/>
      <c r="I12" s="219"/>
      <c r="J12" s="219"/>
      <c r="K12" s="219"/>
      <c r="L12" s="219"/>
      <c r="M12" s="219"/>
      <c r="N12" s="219"/>
      <c r="O12" s="219"/>
      <c r="P12" s="219"/>
      <c r="Q12" s="219"/>
      <c r="R12" s="219"/>
      <c r="S12" s="93"/>
    </row>
    <row r="13" spans="1:19" outlineLevel="1" x14ac:dyDescent="0.25">
      <c r="B13" s="1" t="s">
        <v>109</v>
      </c>
    </row>
    <row r="14" spans="1:19" outlineLevel="1" x14ac:dyDescent="0.25">
      <c r="B14" t="s">
        <v>103</v>
      </c>
      <c r="C14" t="s">
        <v>304</v>
      </c>
      <c r="D14" s="29"/>
      <c r="E14" s="29"/>
      <c r="F14" s="29"/>
      <c r="G14" s="29"/>
      <c r="H14" s="499">
        <f>CHOOSE('Control Panel'!$W$12,H24,H34,H44,H54)</f>
        <v>0.21644473829595079</v>
      </c>
      <c r="I14" s="499">
        <f>CHOOSE('Control Panel'!$W$12,I24,I34,I44,I54)</f>
        <v>0.17315579063676065</v>
      </c>
      <c r="J14" s="499">
        <f>CHOOSE('Control Panel'!$W$12,J24,J34,J44,J54)</f>
        <v>0.13852463250940852</v>
      </c>
      <c r="K14" s="499">
        <f>CHOOSE('Control Panel'!$W$12,K24,K34,K44,K54)</f>
        <v>0.11081970600752683</v>
      </c>
      <c r="L14" s="499">
        <f>CHOOSE('Control Panel'!$W$12,L24,L34,L44,L54)</f>
        <v>8.865576480602147E-2</v>
      </c>
      <c r="M14" s="499">
        <f>CHOOSE('Control Panel'!$W$12,M24,M34,M44,M54)</f>
        <v>7.0924611844817173E-2</v>
      </c>
      <c r="N14" s="499">
        <f>CHOOSE('Control Panel'!$W$12,N24,N34,N44,N54)</f>
        <v>5.6739689475853741E-2</v>
      </c>
      <c r="O14" s="499">
        <f>CHOOSE('Control Panel'!$W$12,O24,O34,O44,O54)</f>
        <v>4.5391751580682996E-2</v>
      </c>
      <c r="P14" s="499">
        <f>CHOOSE('Control Panel'!$W$12,P24,P34,P44,P54)</f>
        <v>3.6313401264546401E-2</v>
      </c>
      <c r="Q14" s="499">
        <f>CHOOSE('Control Panel'!$W$12,Q24,Q34,Q44,Q54)</f>
        <v>2.9050721011637123E-2</v>
      </c>
      <c r="R14" s="499">
        <f>CHOOSE('Control Panel'!$W$12,R24,R34,R44,R54)</f>
        <v>2.3240576809309701E-2</v>
      </c>
      <c r="S14" s="88"/>
    </row>
    <row r="15" spans="1:19" outlineLevel="1" x14ac:dyDescent="0.25">
      <c r="B15" t="s">
        <v>104</v>
      </c>
      <c r="D15" s="29"/>
      <c r="E15" s="29"/>
      <c r="F15" s="29"/>
      <c r="G15" s="29"/>
      <c r="H15" s="499">
        <f>CHOOSE('Control Panel'!$W$12,H25,H35,H45,H55)</f>
        <v>0.05</v>
      </c>
      <c r="I15" s="499">
        <f>CHOOSE('Control Panel'!$W$12,I25,I35,I45,I55)</f>
        <v>4.0000000000000008E-2</v>
      </c>
      <c r="J15" s="499">
        <f>CHOOSE('Control Panel'!$W$12,J25,J35,J45,J55)</f>
        <v>3.2000000000000008E-2</v>
      </c>
      <c r="K15" s="499">
        <f>CHOOSE('Control Panel'!$W$12,K25,K35,K45,K55)</f>
        <v>2.5600000000000008E-2</v>
      </c>
      <c r="L15" s="499">
        <f>CHOOSE('Control Panel'!$W$12,L25,L35,L45,L55)</f>
        <v>2.0480000000000009E-2</v>
      </c>
      <c r="M15" s="499">
        <f>CHOOSE('Control Panel'!$W$12,M25,M35,M45,M55)</f>
        <v>1.6384000000000006E-2</v>
      </c>
      <c r="N15" s="499">
        <f>CHOOSE('Control Panel'!$W$12,N25,N35,N45,N55)</f>
        <v>1.3107200000000006E-2</v>
      </c>
      <c r="O15" s="499">
        <f>CHOOSE('Control Panel'!$W$12,O25,O35,O45,O55)</f>
        <v>1.0485760000000005E-2</v>
      </c>
      <c r="P15" s="499">
        <f>CHOOSE('Control Panel'!$W$12,P25,P35,P45,P55)</f>
        <v>8.388608000000004E-3</v>
      </c>
      <c r="Q15" s="499">
        <f>CHOOSE('Control Panel'!$W$12,Q25,Q35,Q45,Q55)</f>
        <v>6.7108864000000037E-3</v>
      </c>
      <c r="R15" s="499">
        <f>CHOOSE('Control Panel'!$W$12,R25,R35,R45,R55)</f>
        <v>5.3687091200000031E-3</v>
      </c>
      <c r="S15" s="88"/>
    </row>
    <row r="16" spans="1:19" outlineLevel="1" x14ac:dyDescent="0.25">
      <c r="B16" t="s">
        <v>105</v>
      </c>
      <c r="D16" s="29"/>
      <c r="E16" s="29"/>
      <c r="F16" s="29"/>
      <c r="G16" s="29"/>
      <c r="H16" s="499">
        <f>CHOOSE('Control Panel'!$W$12,H26,H36,H46,H56)</f>
        <v>0.37041802837721766</v>
      </c>
      <c r="I16" s="499">
        <f>CHOOSE('Control Panel'!$W$12,I26,I36,I46,I56)</f>
        <v>0.29633442270177413</v>
      </c>
      <c r="J16" s="499">
        <f>CHOOSE('Control Panel'!$W$12,J26,J36,J46,J56)</f>
        <v>0.23706753816141932</v>
      </c>
      <c r="K16" s="499">
        <f>CHOOSE('Control Panel'!$W$12,K26,K36,K46,K56)</f>
        <v>0.18965403052913546</v>
      </c>
      <c r="L16" s="499">
        <f>CHOOSE('Control Panel'!$W$12,L26,L36,L46,L56)</f>
        <v>0.15172322442330838</v>
      </c>
      <c r="M16" s="499">
        <f>CHOOSE('Control Panel'!$W$12,M26,M36,M46,M56)</f>
        <v>0.12137857953864671</v>
      </c>
      <c r="N16" s="499">
        <f>CHOOSE('Control Panel'!$W$12,N26,N36,N46,N56)</f>
        <v>9.7102863630917371E-2</v>
      </c>
      <c r="O16" s="499">
        <f>CHOOSE('Control Panel'!$W$12,O26,O36,O46,O56)</f>
        <v>7.76822909047339E-2</v>
      </c>
      <c r="P16" s="499">
        <f>CHOOSE('Control Panel'!$W$12,P26,P36,P46,P56)</f>
        <v>6.2145832723787126E-2</v>
      </c>
      <c r="Q16" s="499">
        <f>CHOOSE('Control Panel'!$W$12,Q26,Q36,Q46,Q56)</f>
        <v>4.97166661790297E-2</v>
      </c>
      <c r="R16" s="499">
        <f>CHOOSE('Control Panel'!$W$12,R26,R36,R46,R56)</f>
        <v>3.9773332943223765E-2</v>
      </c>
      <c r="S16" s="88"/>
    </row>
    <row r="17" spans="2:21" outlineLevel="1" x14ac:dyDescent="0.25">
      <c r="B17" t="s">
        <v>106</v>
      </c>
      <c r="D17" s="29"/>
      <c r="E17" s="29"/>
      <c r="F17" s="29"/>
      <c r="G17" s="29"/>
      <c r="H17" s="499">
        <f>CHOOSE('Control Panel'!$W$12,H27,H37,H47,H57)</f>
        <v>0.4114620822289059</v>
      </c>
      <c r="I17" s="499">
        <f>CHOOSE('Control Panel'!$W$12,I27,I37,I47,I57)</f>
        <v>0.32916966578312473</v>
      </c>
      <c r="J17" s="499">
        <f>CHOOSE('Control Panel'!$W$12,J27,J37,J47,J57)</f>
        <v>0.26333573262649979</v>
      </c>
      <c r="K17" s="499">
        <f>CHOOSE('Control Panel'!$W$12,K27,K37,K47,K57)</f>
        <v>0.21066858610119985</v>
      </c>
      <c r="L17" s="499">
        <f>CHOOSE('Control Panel'!$W$12,L27,L37,L47,L57)</f>
        <v>0.16853486888095989</v>
      </c>
      <c r="M17" s="499">
        <f>CHOOSE('Control Panel'!$W$12,M27,M37,M47,M57)</f>
        <v>0.13482789510476792</v>
      </c>
      <c r="N17" s="499">
        <f>CHOOSE('Control Panel'!$W$12,N27,N37,N47,N57)</f>
        <v>0.10786231608381434</v>
      </c>
      <c r="O17" s="499">
        <f>CHOOSE('Control Panel'!$W$12,O27,O37,O47,O57)</f>
        <v>8.6289852867051486E-2</v>
      </c>
      <c r="P17" s="499">
        <f>CHOOSE('Control Panel'!$W$12,P27,P37,P47,P57)</f>
        <v>6.9031882293641197E-2</v>
      </c>
      <c r="Q17" s="499">
        <f>CHOOSE('Control Panel'!$W$12,Q27,Q37,Q47,Q57)</f>
        <v>5.5225505834912959E-2</v>
      </c>
      <c r="R17" s="499">
        <f>CHOOSE('Control Panel'!$W$12,R27,R37,R47,R57)</f>
        <v>4.418040466793037E-2</v>
      </c>
      <c r="S17" s="88"/>
    </row>
    <row r="18" spans="2:21" outlineLevel="1" x14ac:dyDescent="0.25">
      <c r="B18" t="s">
        <v>107</v>
      </c>
      <c r="D18" s="29"/>
      <c r="E18" s="29"/>
      <c r="F18" s="29"/>
      <c r="G18" s="29"/>
      <c r="H18" s="499">
        <f>CHOOSE('Control Panel'!$W$12,H28,H38,H48,H58)</f>
        <v>0.38971910670626514</v>
      </c>
      <c r="I18" s="499">
        <f>CHOOSE('Control Panel'!$W$12,I28,I38,I48,I58)</f>
        <v>0.31177528536501214</v>
      </c>
      <c r="J18" s="499">
        <f>CHOOSE('Control Panel'!$W$12,J28,J38,J48,J58)</f>
        <v>0.24942022829200972</v>
      </c>
      <c r="K18" s="499">
        <f>CHOOSE('Control Panel'!$W$12,K28,K38,K48,K58)</f>
        <v>0.19953618263360778</v>
      </c>
      <c r="L18" s="499">
        <f>CHOOSE('Control Panel'!$W$12,L28,L38,L48,L58)</f>
        <v>0.15962894610688624</v>
      </c>
      <c r="M18" s="499">
        <f>CHOOSE('Control Panel'!$W$12,M28,M38,M48,M58)</f>
        <v>0.12770315688550901</v>
      </c>
      <c r="N18" s="499">
        <f>CHOOSE('Control Panel'!$W$12,N28,N38,N48,N58)</f>
        <v>0.10216252550840721</v>
      </c>
      <c r="O18" s="499">
        <f>CHOOSE('Control Panel'!$W$12,O28,O38,O48,O58)</f>
        <v>8.1730020406725779E-2</v>
      </c>
      <c r="P18" s="499">
        <f>CHOOSE('Control Panel'!$W$12,P28,P38,P48,P58)</f>
        <v>6.5384016325380628E-2</v>
      </c>
      <c r="Q18" s="499">
        <f>CHOOSE('Control Panel'!$W$12,Q28,Q38,Q48,Q58)</f>
        <v>5.2307213060304503E-2</v>
      </c>
      <c r="R18" s="499">
        <f>CHOOSE('Control Panel'!$W$12,R28,R38,R48,R58)</f>
        <v>4.1845770448243606E-2</v>
      </c>
      <c r="S18" s="88"/>
    </row>
    <row r="19" spans="2:21" outlineLevel="1" x14ac:dyDescent="0.25">
      <c r="B19" t="s">
        <v>108</v>
      </c>
      <c r="D19" s="29"/>
      <c r="E19" s="29"/>
      <c r="F19" s="29"/>
      <c r="G19" s="29"/>
      <c r="H19" s="499">
        <f>CHOOSE('Control Panel'!$W$12,H29,H39,H49,H59)</f>
        <v>0.66655261897254725</v>
      </c>
      <c r="I19" s="499">
        <f>CHOOSE('Control Panel'!$W$12,I29,I39,I49,I59)</f>
        <v>0.53324209517803778</v>
      </c>
      <c r="J19" s="499">
        <f>CHOOSE('Control Panel'!$W$12,J29,J39,J49,J59)</f>
        <v>0.42659367614243027</v>
      </c>
      <c r="K19" s="499">
        <f>CHOOSE('Control Panel'!$W$12,K29,K39,K49,K59)</f>
        <v>0.34127494091394422</v>
      </c>
      <c r="L19" s="499">
        <f>CHOOSE('Control Panel'!$W$12,L29,L39,L49,L59)</f>
        <v>0.27301995273115537</v>
      </c>
      <c r="M19" s="499">
        <f>CHOOSE('Control Panel'!$W$12,M29,M39,M49,M59)</f>
        <v>0.21841596218492432</v>
      </c>
      <c r="N19" s="499">
        <f>CHOOSE('Control Panel'!$W$12,N29,N39,N49,N59)</f>
        <v>0.17473276974793947</v>
      </c>
      <c r="O19" s="499">
        <f>CHOOSE('Control Panel'!$W$12,O29,O39,O49,O59)</f>
        <v>0.13978621579835157</v>
      </c>
      <c r="P19" s="499">
        <f>CHOOSE('Control Panel'!$W$12,P29,P39,P49,P59)</f>
        <v>0.11182897263868126</v>
      </c>
      <c r="Q19" s="499">
        <f>CHOOSE('Control Panel'!$W$12,Q29,Q39,Q49,Q59)</f>
        <v>8.9463178110945007E-2</v>
      </c>
      <c r="R19" s="499">
        <f>CHOOSE('Control Panel'!$W$12,R29,R39,R49,R59)</f>
        <v>7.1570542488756009E-2</v>
      </c>
      <c r="S19" s="88"/>
    </row>
    <row r="20" spans="2:21" outlineLevel="1" x14ac:dyDescent="0.25">
      <c r="B20" s="11" t="s">
        <v>2</v>
      </c>
      <c r="C20" s="9"/>
      <c r="D20" s="19"/>
      <c r="E20" s="19"/>
      <c r="F20" s="19"/>
      <c r="G20" s="19"/>
      <c r="H20" s="37">
        <f>'Financial Statements'!H19</f>
        <v>0.29964692957084149</v>
      </c>
      <c r="I20" s="37">
        <f>'Financial Statements'!I19</f>
        <v>0.24984488843604979</v>
      </c>
      <c r="J20" s="37">
        <f>'Financial Statements'!J19</f>
        <v>0.20719534654500515</v>
      </c>
      <c r="K20" s="37">
        <f>'Financial Statements'!K19</f>
        <v>0.17097099331638388</v>
      </c>
      <c r="L20" s="37">
        <f>'Financial Statements'!L19</f>
        <v>0.14043616712752516</v>
      </c>
      <c r="M20" s="37">
        <f>'Financial Statements'!M19</f>
        <v>0.11487977409699712</v>
      </c>
      <c r="N20" s="37">
        <f>'Financial Statements'!N19</f>
        <v>9.3631234626913029E-2</v>
      </c>
      <c r="O20" s="37">
        <f>'Financial Statements'!O19</f>
        <v>7.6070546451739496E-2</v>
      </c>
      <c r="P20" s="37">
        <f>'Financial Statements'!P19</f>
        <v>6.1635239921952856E-2</v>
      </c>
      <c r="Q20" s="37">
        <f>'Financial Statements'!Q19</f>
        <v>4.9824345813065385E-2</v>
      </c>
      <c r="R20" s="37">
        <f>'Financial Statements'!R19</f>
        <v>4.0199268164111013E-2</v>
      </c>
      <c r="S20" s="85"/>
    </row>
    <row r="21" spans="2:21" outlineLevel="1" x14ac:dyDescent="0.25"/>
    <row r="22" spans="2:21" x14ac:dyDescent="0.25">
      <c r="B22" s="219" t="s">
        <v>404</v>
      </c>
      <c r="C22" s="219"/>
      <c r="D22" s="219"/>
      <c r="E22" s="219"/>
      <c r="F22" s="219"/>
      <c r="G22" s="219"/>
      <c r="H22" s="219"/>
      <c r="I22" s="219"/>
      <c r="J22" s="219"/>
      <c r="K22" s="219"/>
      <c r="L22" s="219"/>
      <c r="M22" s="219"/>
      <c r="N22" s="219"/>
      <c r="O22" s="219"/>
      <c r="P22" s="219"/>
      <c r="Q22" s="219"/>
      <c r="R22" s="219"/>
      <c r="S22" s="247"/>
    </row>
    <row r="23" spans="2:21" outlineLevel="1" x14ac:dyDescent="0.25">
      <c r="B23" s="1" t="s">
        <v>109</v>
      </c>
    </row>
    <row r="24" spans="2:21" outlineLevel="1" x14ac:dyDescent="0.25">
      <c r="B24" t="s">
        <v>103</v>
      </c>
      <c r="D24" s="29"/>
      <c r="E24" s="29"/>
      <c r="F24" s="29"/>
      <c r="G24" s="29"/>
      <c r="H24" s="438">
        <f>'Raw Data'!O8</f>
        <v>0.21644473829595079</v>
      </c>
      <c r="I24" s="238">
        <f>H24*(1-'Control Panel'!$W$24)</f>
        <v>0.17315579063676065</v>
      </c>
      <c r="J24" s="238">
        <f>I24*(1-'Control Panel'!$W$24)</f>
        <v>0.13852463250940852</v>
      </c>
      <c r="K24" s="238">
        <f>J24*(1-'Control Panel'!$W$24)</f>
        <v>0.11081970600752683</v>
      </c>
      <c r="L24" s="238">
        <f>K24*(1-'Control Panel'!$W$24)</f>
        <v>8.865576480602147E-2</v>
      </c>
      <c r="M24" s="238">
        <f>L24*(1-'Control Panel'!$W$24)</f>
        <v>7.0924611844817173E-2</v>
      </c>
      <c r="N24" s="238">
        <f>M24*(1-'Control Panel'!$W$24)</f>
        <v>5.6739689475853741E-2</v>
      </c>
      <c r="O24" s="238">
        <f>N24*(1-'Control Panel'!$W$24)</f>
        <v>4.5391751580682996E-2</v>
      </c>
      <c r="P24" s="238">
        <f>O24*(1-'Control Panel'!$W$24)</f>
        <v>3.6313401264546401E-2</v>
      </c>
      <c r="Q24" s="238">
        <f>P24*(1-'Control Panel'!$W$24)</f>
        <v>2.9050721011637123E-2</v>
      </c>
      <c r="R24" s="238">
        <f>Q24*(1-'Control Panel'!$W$24)</f>
        <v>2.3240576809309701E-2</v>
      </c>
      <c r="S24" s="95"/>
    </row>
    <row r="25" spans="2:21" outlineLevel="1" x14ac:dyDescent="0.25">
      <c r="B25" t="s">
        <v>104</v>
      </c>
      <c r="D25" s="29"/>
      <c r="E25" s="29"/>
      <c r="F25" s="29"/>
      <c r="G25" s="29"/>
      <c r="H25" s="36">
        <v>0.05</v>
      </c>
      <c r="I25" s="238">
        <f>H25*(1-'Control Panel'!$W$24)</f>
        <v>4.0000000000000008E-2</v>
      </c>
      <c r="J25" s="238">
        <f>I25*(1-'Control Panel'!$W$24)</f>
        <v>3.2000000000000008E-2</v>
      </c>
      <c r="K25" s="238">
        <f>J25*(1-'Control Panel'!$W$24)</f>
        <v>2.5600000000000008E-2</v>
      </c>
      <c r="L25" s="238">
        <f>K25*(1-'Control Panel'!$W$24)</f>
        <v>2.0480000000000009E-2</v>
      </c>
      <c r="M25" s="238">
        <f>L25*(1-'Control Panel'!$W$24)</f>
        <v>1.6384000000000006E-2</v>
      </c>
      <c r="N25" s="238">
        <f>M25*(1-'Control Panel'!$W$24)</f>
        <v>1.3107200000000006E-2</v>
      </c>
      <c r="O25" s="238">
        <f>N25*(1-'Control Panel'!$W$24)</f>
        <v>1.0485760000000005E-2</v>
      </c>
      <c r="P25" s="238">
        <f>O25*(1-'Control Panel'!$W$24)</f>
        <v>8.388608000000004E-3</v>
      </c>
      <c r="Q25" s="238">
        <f>P25*(1-'Control Panel'!$W$24)</f>
        <v>6.7108864000000037E-3</v>
      </c>
      <c r="R25" s="238">
        <f>Q25*(1-'Control Panel'!$W$24)</f>
        <v>5.3687091200000031E-3</v>
      </c>
      <c r="S25" s="95"/>
    </row>
    <row r="26" spans="2:21" outlineLevel="1" x14ac:dyDescent="0.25">
      <c r="B26" t="s">
        <v>105</v>
      </c>
      <c r="D26" s="29"/>
      <c r="E26" s="29"/>
      <c r="F26" s="29"/>
      <c r="G26" s="29"/>
      <c r="H26" s="438">
        <f>'Raw Data'!O10</f>
        <v>0.37041802837721766</v>
      </c>
      <c r="I26" s="238">
        <f>H26*(1-'Control Panel'!$W$24)</f>
        <v>0.29633442270177413</v>
      </c>
      <c r="J26" s="238">
        <f>I26*(1-'Control Panel'!$W$24)</f>
        <v>0.23706753816141932</v>
      </c>
      <c r="K26" s="238">
        <f>J26*(1-'Control Panel'!$W$24)</f>
        <v>0.18965403052913546</v>
      </c>
      <c r="L26" s="238">
        <f>K26*(1-'Control Panel'!$W$24)</f>
        <v>0.15172322442330838</v>
      </c>
      <c r="M26" s="238">
        <f>L26*(1-'Control Panel'!$W$24)</f>
        <v>0.12137857953864671</v>
      </c>
      <c r="N26" s="238">
        <f>M26*(1-'Control Panel'!$W$24)</f>
        <v>9.7102863630917371E-2</v>
      </c>
      <c r="O26" s="238">
        <f>N26*(1-'Control Panel'!$W$24)</f>
        <v>7.76822909047339E-2</v>
      </c>
      <c r="P26" s="238">
        <f>O26*(1-'Control Panel'!$W$24)</f>
        <v>6.2145832723787126E-2</v>
      </c>
      <c r="Q26" s="238">
        <f>P26*(1-'Control Panel'!$W$24)</f>
        <v>4.97166661790297E-2</v>
      </c>
      <c r="R26" s="238">
        <f>Q26*(1-'Control Panel'!$W$24)</f>
        <v>3.9773332943223765E-2</v>
      </c>
      <c r="S26" s="95"/>
    </row>
    <row r="27" spans="2:21" outlineLevel="1" x14ac:dyDescent="0.25">
      <c r="B27" t="s">
        <v>106</v>
      </c>
      <c r="D27" s="29"/>
      <c r="E27" s="29"/>
      <c r="F27" s="29"/>
      <c r="G27" s="29"/>
      <c r="H27" s="438">
        <f>'Raw Data'!O11</f>
        <v>0.4114620822289059</v>
      </c>
      <c r="I27" s="238">
        <f>H27*(1-'Control Panel'!$W$24)</f>
        <v>0.32916966578312473</v>
      </c>
      <c r="J27" s="238">
        <f>I27*(1-'Control Panel'!$W$24)</f>
        <v>0.26333573262649979</v>
      </c>
      <c r="K27" s="238">
        <f>J27*(1-'Control Panel'!$W$24)</f>
        <v>0.21066858610119985</v>
      </c>
      <c r="L27" s="238">
        <f>K27*(1-'Control Panel'!$W$24)</f>
        <v>0.16853486888095989</v>
      </c>
      <c r="M27" s="238">
        <f>L27*(1-'Control Panel'!$W$24)</f>
        <v>0.13482789510476792</v>
      </c>
      <c r="N27" s="238">
        <f>M27*(1-'Control Panel'!$W$24)</f>
        <v>0.10786231608381434</v>
      </c>
      <c r="O27" s="238">
        <f>N27*(1-'Control Panel'!$W$24)</f>
        <v>8.6289852867051486E-2</v>
      </c>
      <c r="P27" s="238">
        <f>O27*(1-'Control Panel'!$W$24)</f>
        <v>6.9031882293641197E-2</v>
      </c>
      <c r="Q27" s="238">
        <f>P27*(1-'Control Panel'!$W$24)</f>
        <v>5.5225505834912959E-2</v>
      </c>
      <c r="R27" s="238">
        <f>Q27*(1-'Control Panel'!$W$24)</f>
        <v>4.418040466793037E-2</v>
      </c>
      <c r="S27" s="95"/>
    </row>
    <row r="28" spans="2:21" outlineLevel="1" x14ac:dyDescent="0.25">
      <c r="B28" t="s">
        <v>107</v>
      </c>
      <c r="D28" s="29"/>
      <c r="E28" s="29"/>
      <c r="F28" s="29"/>
      <c r="G28" s="29"/>
      <c r="H28" s="438">
        <f>'Raw Data'!O12</f>
        <v>0.38971910670626514</v>
      </c>
      <c r="I28" s="238">
        <f>H28*(1-'Control Panel'!$W$24)</f>
        <v>0.31177528536501214</v>
      </c>
      <c r="J28" s="238">
        <f>I28*(1-'Control Panel'!$W$24)</f>
        <v>0.24942022829200972</v>
      </c>
      <c r="K28" s="238">
        <f>J28*(1-'Control Panel'!$W$24)</f>
        <v>0.19953618263360778</v>
      </c>
      <c r="L28" s="238">
        <f>K28*(1-'Control Panel'!$W$24)</f>
        <v>0.15962894610688624</v>
      </c>
      <c r="M28" s="238">
        <f>L28*(1-'Control Panel'!$W$24)</f>
        <v>0.12770315688550901</v>
      </c>
      <c r="N28" s="238">
        <f>M28*(1-'Control Panel'!$W$24)</f>
        <v>0.10216252550840721</v>
      </c>
      <c r="O28" s="238">
        <f>N28*(1-'Control Panel'!$W$24)</f>
        <v>8.1730020406725779E-2</v>
      </c>
      <c r="P28" s="238">
        <f>O28*(1-'Control Panel'!$W$24)</f>
        <v>6.5384016325380628E-2</v>
      </c>
      <c r="Q28" s="238">
        <f>P28*(1-'Control Panel'!$W$24)</f>
        <v>5.2307213060304503E-2</v>
      </c>
      <c r="R28" s="238">
        <f>Q28*(1-'Control Panel'!$W$24)</f>
        <v>4.1845770448243606E-2</v>
      </c>
      <c r="S28" s="95"/>
    </row>
    <row r="29" spans="2:21" outlineLevel="1" x14ac:dyDescent="0.25">
      <c r="B29" t="s">
        <v>108</v>
      </c>
      <c r="D29" s="29"/>
      <c r="E29" s="29"/>
      <c r="F29" s="29"/>
      <c r="G29" s="29"/>
      <c r="H29" s="438">
        <f>'Raw Data'!O13</f>
        <v>0.66655261897254725</v>
      </c>
      <c r="I29" s="238">
        <f>H29*(1-'Control Panel'!$W$24)</f>
        <v>0.53324209517803778</v>
      </c>
      <c r="J29" s="238">
        <f>I29*(1-'Control Panel'!$W$24)</f>
        <v>0.42659367614243027</v>
      </c>
      <c r="K29" s="238">
        <f>J29*(1-'Control Panel'!$W$24)</f>
        <v>0.34127494091394422</v>
      </c>
      <c r="L29" s="238">
        <f>K29*(1-'Control Panel'!$W$24)</f>
        <v>0.27301995273115537</v>
      </c>
      <c r="M29" s="238">
        <f>L29*(1-'Control Panel'!$W$24)</f>
        <v>0.21841596218492432</v>
      </c>
      <c r="N29" s="238">
        <f>M29*(1-'Control Panel'!$W$24)</f>
        <v>0.17473276974793947</v>
      </c>
      <c r="O29" s="238">
        <f>N29*(1-'Control Panel'!$W$24)</f>
        <v>0.13978621579835157</v>
      </c>
      <c r="P29" s="238">
        <f>O29*(1-'Control Panel'!$W$24)</f>
        <v>0.11182897263868126</v>
      </c>
      <c r="Q29" s="238">
        <f>P29*(1-'Control Panel'!$W$24)</f>
        <v>8.9463178110945007E-2</v>
      </c>
      <c r="R29" s="238">
        <f>Q29*(1-'Control Panel'!$W$24)</f>
        <v>7.1570542488756009E-2</v>
      </c>
      <c r="S29" s="95"/>
    </row>
    <row r="30" spans="2:21" outlineLevel="1" x14ac:dyDescent="0.25">
      <c r="B30" s="11" t="s">
        <v>2</v>
      </c>
      <c r="C30" s="9"/>
      <c r="D30" s="19"/>
      <c r="E30" s="19"/>
      <c r="F30" s="19"/>
      <c r="G30" s="19"/>
      <c r="H30" s="13"/>
      <c r="I30" s="13"/>
      <c r="J30" s="13"/>
      <c r="K30" s="13"/>
      <c r="L30" s="13"/>
      <c r="M30" s="13"/>
      <c r="N30" s="13"/>
      <c r="O30" s="13"/>
      <c r="P30" s="13"/>
      <c r="Q30" s="13"/>
      <c r="R30" s="13"/>
      <c r="S30" s="85"/>
    </row>
    <row r="31" spans="2:21" outlineLevel="1" x14ac:dyDescent="0.25">
      <c r="B31" s="8" t="s">
        <v>304</v>
      </c>
      <c r="H31" s="7"/>
      <c r="I31" s="7"/>
      <c r="J31" s="7"/>
      <c r="K31" s="7"/>
      <c r="L31" s="7"/>
      <c r="M31" s="7"/>
      <c r="N31" s="7"/>
      <c r="O31" s="7"/>
      <c r="P31" s="7"/>
      <c r="Q31" s="7"/>
      <c r="R31" s="7"/>
      <c r="S31" s="91"/>
      <c r="T31" s="7"/>
      <c r="U31" s="7"/>
    </row>
    <row r="32" spans="2:21" x14ac:dyDescent="0.25">
      <c r="B32" s="219" t="s">
        <v>140</v>
      </c>
      <c r="C32" s="219"/>
      <c r="D32" s="219"/>
      <c r="E32" s="219"/>
      <c r="F32" s="219"/>
      <c r="G32" s="219"/>
      <c r="H32" s="219"/>
      <c r="I32" s="219"/>
      <c r="J32" s="219"/>
      <c r="K32" s="219"/>
      <c r="L32" s="219"/>
      <c r="M32" s="219"/>
      <c r="N32" s="219"/>
      <c r="O32" s="219"/>
      <c r="P32" s="219"/>
      <c r="Q32" s="219"/>
      <c r="R32" s="219"/>
      <c r="S32" s="93"/>
    </row>
    <row r="33" spans="1:21" outlineLevel="1" x14ac:dyDescent="0.25">
      <c r="A33" s="387"/>
      <c r="B33" t="s">
        <v>109</v>
      </c>
      <c r="C33" s="387"/>
      <c r="D33" s="387"/>
      <c r="E33" s="387"/>
      <c r="F33" s="387"/>
    </row>
    <row r="34" spans="1:21" outlineLevel="1" x14ac:dyDescent="0.25">
      <c r="B34" t="s">
        <v>103</v>
      </c>
      <c r="D34" s="29"/>
      <c r="E34" s="29"/>
      <c r="F34" s="29"/>
      <c r="G34" s="29"/>
      <c r="H34" s="36">
        <f t="shared" ref="H34:R34" si="1">H24*(1+$T$34)</f>
        <v>0.27055592286993846</v>
      </c>
      <c r="I34" s="36">
        <f t="shared" si="1"/>
        <v>0.21644473829595082</v>
      </c>
      <c r="J34" s="36">
        <f t="shared" si="1"/>
        <v>0.17315579063676065</v>
      </c>
      <c r="K34" s="36">
        <f t="shared" si="1"/>
        <v>0.13852463250940855</v>
      </c>
      <c r="L34" s="36">
        <f t="shared" si="1"/>
        <v>0.11081970600752683</v>
      </c>
      <c r="M34" s="36">
        <f t="shared" si="1"/>
        <v>8.865576480602147E-2</v>
      </c>
      <c r="N34" s="36">
        <f t="shared" si="1"/>
        <v>7.0924611844817173E-2</v>
      </c>
      <c r="O34" s="36">
        <f t="shared" si="1"/>
        <v>5.6739689475853741E-2</v>
      </c>
      <c r="P34" s="36">
        <f t="shared" si="1"/>
        <v>4.5391751580683003E-2</v>
      </c>
      <c r="Q34" s="36">
        <f t="shared" si="1"/>
        <v>3.6313401264546408E-2</v>
      </c>
      <c r="R34" s="36">
        <f t="shared" si="1"/>
        <v>2.9050721011637127E-2</v>
      </c>
      <c r="S34" s="88"/>
      <c r="T34" s="437">
        <f>'Control Panel'!$O$10</f>
        <v>0.25</v>
      </c>
      <c r="U34" s="96" t="s">
        <v>309</v>
      </c>
    </row>
    <row r="35" spans="1:21" outlineLevel="1" x14ac:dyDescent="0.25">
      <c r="B35" t="s">
        <v>104</v>
      </c>
      <c r="D35" s="29"/>
      <c r="E35" s="29"/>
      <c r="F35" s="29"/>
      <c r="G35" s="29"/>
      <c r="H35" s="36">
        <f t="shared" ref="H35:R35" si="2">H25*(1+$T$34)</f>
        <v>6.25E-2</v>
      </c>
      <c r="I35" s="36">
        <f t="shared" si="2"/>
        <v>5.000000000000001E-2</v>
      </c>
      <c r="J35" s="36">
        <f t="shared" si="2"/>
        <v>4.0000000000000008E-2</v>
      </c>
      <c r="K35" s="36">
        <f t="shared" si="2"/>
        <v>3.2000000000000008E-2</v>
      </c>
      <c r="L35" s="36">
        <f t="shared" si="2"/>
        <v>2.5600000000000012E-2</v>
      </c>
      <c r="M35" s="36">
        <f t="shared" si="2"/>
        <v>2.0480000000000009E-2</v>
      </c>
      <c r="N35" s="36">
        <f t="shared" si="2"/>
        <v>1.638400000000001E-2</v>
      </c>
      <c r="O35" s="36">
        <f t="shared" si="2"/>
        <v>1.3107200000000006E-2</v>
      </c>
      <c r="P35" s="36">
        <f t="shared" si="2"/>
        <v>1.0485760000000005E-2</v>
      </c>
      <c r="Q35" s="36">
        <f t="shared" si="2"/>
        <v>8.388608000000004E-3</v>
      </c>
      <c r="R35" s="36">
        <f t="shared" si="2"/>
        <v>6.7108864000000037E-3</v>
      </c>
      <c r="S35" s="88"/>
    </row>
    <row r="36" spans="1:21" outlineLevel="1" x14ac:dyDescent="0.25">
      <c r="B36" t="s">
        <v>105</v>
      </c>
      <c r="D36" s="29"/>
      <c r="E36" s="29"/>
      <c r="F36" s="29"/>
      <c r="G36" s="29"/>
      <c r="H36" s="36">
        <f t="shared" ref="H36:R36" si="3">H26*(1+$T$34)</f>
        <v>0.46302253547152206</v>
      </c>
      <c r="I36" s="36">
        <f>I26*(1+$T$34)</f>
        <v>0.37041802837721766</v>
      </c>
      <c r="J36" s="36">
        <f t="shared" si="3"/>
        <v>0.29633442270177413</v>
      </c>
      <c r="K36" s="36">
        <f t="shared" si="3"/>
        <v>0.23706753816141932</v>
      </c>
      <c r="L36" s="36">
        <f t="shared" si="3"/>
        <v>0.18965403052913549</v>
      </c>
      <c r="M36" s="36">
        <f t="shared" si="3"/>
        <v>0.15172322442330838</v>
      </c>
      <c r="N36" s="36">
        <f t="shared" si="3"/>
        <v>0.12137857953864671</v>
      </c>
      <c r="O36" s="36">
        <f t="shared" si="3"/>
        <v>9.7102863630917371E-2</v>
      </c>
      <c r="P36" s="36">
        <f t="shared" si="3"/>
        <v>7.7682290904733914E-2</v>
      </c>
      <c r="Q36" s="36">
        <f t="shared" si="3"/>
        <v>6.2145832723787126E-2</v>
      </c>
      <c r="R36" s="36">
        <f t="shared" si="3"/>
        <v>4.9716666179029707E-2</v>
      </c>
      <c r="S36" s="88"/>
    </row>
    <row r="37" spans="1:21" outlineLevel="1" x14ac:dyDescent="0.25">
      <c r="B37" t="s">
        <v>106</v>
      </c>
      <c r="D37" s="29"/>
      <c r="E37" s="29"/>
      <c r="F37" s="29"/>
      <c r="G37" s="29"/>
      <c r="H37" s="36">
        <f t="shared" ref="H37:R37" si="4">H27*(1+$T$34)</f>
        <v>0.51432760278613232</v>
      </c>
      <c r="I37" s="36">
        <f>I27*(1+$T$34)</f>
        <v>0.4114620822289059</v>
      </c>
      <c r="J37" s="36">
        <f t="shared" si="4"/>
        <v>0.32916966578312473</v>
      </c>
      <c r="K37" s="36">
        <f>K27*(1+$T$34)</f>
        <v>0.26333573262649979</v>
      </c>
      <c r="L37" s="36">
        <f t="shared" si="4"/>
        <v>0.21066858610119987</v>
      </c>
      <c r="M37" s="36">
        <f t="shared" si="4"/>
        <v>0.16853486888095989</v>
      </c>
      <c r="N37" s="36">
        <f t="shared" si="4"/>
        <v>0.13482789510476792</v>
      </c>
      <c r="O37" s="36">
        <f t="shared" si="4"/>
        <v>0.10786231608381436</v>
      </c>
      <c r="P37" s="36">
        <f t="shared" si="4"/>
        <v>8.62898528670515E-2</v>
      </c>
      <c r="Q37" s="36">
        <f t="shared" si="4"/>
        <v>6.9031882293641197E-2</v>
      </c>
      <c r="R37" s="36">
        <f t="shared" si="4"/>
        <v>5.5225505834912966E-2</v>
      </c>
      <c r="S37" s="88"/>
    </row>
    <row r="38" spans="1:21" outlineLevel="1" x14ac:dyDescent="0.25">
      <c r="B38" t="s">
        <v>107</v>
      </c>
      <c r="D38" s="29"/>
      <c r="E38" s="29"/>
      <c r="F38" s="29"/>
      <c r="G38" s="29"/>
      <c r="H38" s="36">
        <f t="shared" ref="H38:R38" si="5">H28*(1+$T$34)</f>
        <v>0.48714888338283141</v>
      </c>
      <c r="I38" s="36">
        <f>I28*(1+$T$34)</f>
        <v>0.38971910670626519</v>
      </c>
      <c r="J38" s="36">
        <f t="shared" si="5"/>
        <v>0.31177528536501214</v>
      </c>
      <c r="K38" s="36">
        <f t="shared" si="5"/>
        <v>0.24942022829200972</v>
      </c>
      <c r="L38" s="36">
        <f t="shared" si="5"/>
        <v>0.19953618263360781</v>
      </c>
      <c r="M38" s="36">
        <f t="shared" si="5"/>
        <v>0.15962894610688627</v>
      </c>
      <c r="N38" s="36">
        <f t="shared" si="5"/>
        <v>0.12770315688550901</v>
      </c>
      <c r="O38" s="36">
        <f t="shared" si="5"/>
        <v>0.10216252550840722</v>
      </c>
      <c r="P38" s="36">
        <f t="shared" si="5"/>
        <v>8.1730020406725779E-2</v>
      </c>
      <c r="Q38" s="36">
        <f t="shared" si="5"/>
        <v>6.5384016325380628E-2</v>
      </c>
      <c r="R38" s="36">
        <f t="shared" si="5"/>
        <v>5.230721306030451E-2</v>
      </c>
      <c r="S38" s="88"/>
    </row>
    <row r="39" spans="1:21" outlineLevel="1" x14ac:dyDescent="0.25">
      <c r="B39" t="s">
        <v>108</v>
      </c>
      <c r="D39" s="29"/>
      <c r="E39" s="29"/>
      <c r="F39" s="29"/>
      <c r="G39" s="29"/>
      <c r="H39" s="36">
        <f t="shared" ref="H39:R39" si="6">H29*(1+$T$34)</f>
        <v>0.83319077371568406</v>
      </c>
      <c r="I39" s="36">
        <f>I29*(1+$T$34)</f>
        <v>0.66655261897254725</v>
      </c>
      <c r="J39" s="36">
        <f t="shared" si="6"/>
        <v>0.53324209517803789</v>
      </c>
      <c r="K39" s="36">
        <f t="shared" si="6"/>
        <v>0.42659367614243027</v>
      </c>
      <c r="L39" s="36">
        <f t="shared" si="6"/>
        <v>0.34127494091394422</v>
      </c>
      <c r="M39" s="36">
        <f t="shared" si="6"/>
        <v>0.27301995273115542</v>
      </c>
      <c r="N39" s="36">
        <f t="shared" si="6"/>
        <v>0.21841596218492434</v>
      </c>
      <c r="O39" s="36">
        <f t="shared" si="6"/>
        <v>0.17473276974793947</v>
      </c>
      <c r="P39" s="36">
        <f t="shared" si="6"/>
        <v>0.13978621579835157</v>
      </c>
      <c r="Q39" s="36">
        <f t="shared" si="6"/>
        <v>0.11182897263868126</v>
      </c>
      <c r="R39" s="36">
        <f t="shared" si="6"/>
        <v>8.9463178110945007E-2</v>
      </c>
      <c r="S39" s="88"/>
    </row>
    <row r="40" spans="1:21" outlineLevel="1" x14ac:dyDescent="0.25">
      <c r="B40" s="11" t="s">
        <v>2</v>
      </c>
      <c r="C40" s="9"/>
      <c r="D40" s="19"/>
      <c r="E40" s="19"/>
      <c r="F40" s="19"/>
      <c r="G40" s="19"/>
      <c r="H40" s="19"/>
      <c r="I40" s="19"/>
      <c r="J40" s="19"/>
      <c r="K40" s="19"/>
      <c r="L40" s="19"/>
      <c r="M40" s="19"/>
      <c r="N40" s="19"/>
      <c r="O40" s="19"/>
      <c r="P40" s="19"/>
      <c r="Q40" s="19"/>
      <c r="R40" s="19"/>
      <c r="S40" s="86"/>
    </row>
    <row r="41" spans="1:21" outlineLevel="1" x14ac:dyDescent="0.25">
      <c r="B41" s="1"/>
      <c r="C41" s="28"/>
      <c r="D41" s="28"/>
      <c r="E41" s="27"/>
      <c r="F41" s="27"/>
      <c r="G41" s="27"/>
      <c r="H41" s="20"/>
      <c r="I41" s="20"/>
      <c r="J41" s="20"/>
      <c r="K41" s="20"/>
      <c r="L41" s="20"/>
      <c r="M41" s="20"/>
      <c r="N41" s="20"/>
      <c r="O41" s="20"/>
      <c r="P41" s="20"/>
      <c r="Q41" s="20"/>
      <c r="R41" s="20"/>
      <c r="S41" s="90"/>
    </row>
    <row r="42" spans="1:21" x14ac:dyDescent="0.25">
      <c r="B42" s="219" t="s">
        <v>141</v>
      </c>
      <c r="C42" s="219"/>
      <c r="D42" s="219"/>
      <c r="E42" s="219"/>
      <c r="F42" s="219"/>
      <c r="G42" s="219"/>
      <c r="H42" s="219"/>
      <c r="I42" s="219"/>
      <c r="J42" s="219"/>
      <c r="K42" s="219"/>
      <c r="L42" s="219"/>
      <c r="M42" s="219"/>
      <c r="N42" s="219"/>
      <c r="O42" s="219"/>
      <c r="P42" s="219"/>
      <c r="Q42" s="219"/>
      <c r="R42" s="219"/>
      <c r="S42" s="93"/>
    </row>
    <row r="43" spans="1:21" outlineLevel="1" x14ac:dyDescent="0.25">
      <c r="B43" s="1" t="s">
        <v>109</v>
      </c>
    </row>
    <row r="44" spans="1:21" outlineLevel="1" x14ac:dyDescent="0.25">
      <c r="B44" t="s">
        <v>103</v>
      </c>
      <c r="D44" s="29"/>
      <c r="E44" s="29"/>
      <c r="F44" s="29"/>
      <c r="G44" s="29"/>
      <c r="H44" s="36">
        <f>H24*(1+$T$44)</f>
        <v>0.16233355372196309</v>
      </c>
      <c r="I44" s="36">
        <f>I24*(1+$T$44)</f>
        <v>0.12986684297757048</v>
      </c>
      <c r="J44" s="36">
        <f t="shared" ref="J44:R44" si="7">J24*(1+$T$44)</f>
        <v>0.1038934743820564</v>
      </c>
      <c r="K44" s="36">
        <f t="shared" si="7"/>
        <v>8.3114779505645123E-2</v>
      </c>
      <c r="L44" s="36">
        <f t="shared" si="7"/>
        <v>6.6491823604516109E-2</v>
      </c>
      <c r="M44" s="36">
        <f t="shared" si="7"/>
        <v>5.3193458883612876E-2</v>
      </c>
      <c r="N44" s="36">
        <f t="shared" si="7"/>
        <v>4.2554767106890309E-2</v>
      </c>
      <c r="O44" s="36">
        <f t="shared" si="7"/>
        <v>3.404381368551225E-2</v>
      </c>
      <c r="P44" s="36">
        <f t="shared" si="7"/>
        <v>2.7235050948409799E-2</v>
      </c>
      <c r="Q44" s="36">
        <f t="shared" si="7"/>
        <v>2.1788040758727843E-2</v>
      </c>
      <c r="R44" s="36">
        <f t="shared" si="7"/>
        <v>1.7430432606982276E-2</v>
      </c>
      <c r="S44" s="88"/>
      <c r="T44" s="437">
        <f>'Control Panel'!$O$11</f>
        <v>-0.25</v>
      </c>
      <c r="U44" s="96" t="s">
        <v>312</v>
      </c>
    </row>
    <row r="45" spans="1:21" outlineLevel="1" x14ac:dyDescent="0.25">
      <c r="B45" t="s">
        <v>104</v>
      </c>
      <c r="D45" s="29"/>
      <c r="E45" s="29"/>
      <c r="F45" s="29"/>
      <c r="G45" s="29"/>
      <c r="H45" s="36">
        <f>H25*(1+$T$44)</f>
        <v>3.7500000000000006E-2</v>
      </c>
      <c r="I45" s="36">
        <f t="shared" ref="I45:R45" si="8">I25*(1+$T$44)</f>
        <v>3.0000000000000006E-2</v>
      </c>
      <c r="J45" s="36">
        <f t="shared" si="8"/>
        <v>2.4000000000000007E-2</v>
      </c>
      <c r="K45" s="36">
        <f t="shared" si="8"/>
        <v>1.9200000000000005E-2</v>
      </c>
      <c r="L45" s="36">
        <f t="shared" si="8"/>
        <v>1.5360000000000006E-2</v>
      </c>
      <c r="M45" s="36">
        <f t="shared" si="8"/>
        <v>1.2288000000000004E-2</v>
      </c>
      <c r="N45" s="36">
        <f t="shared" si="8"/>
        <v>9.8304000000000048E-3</v>
      </c>
      <c r="O45" s="36">
        <f t="shared" si="8"/>
        <v>7.8643200000000045E-3</v>
      </c>
      <c r="P45" s="36">
        <f t="shared" si="8"/>
        <v>6.2914560000000026E-3</v>
      </c>
      <c r="Q45" s="36">
        <f t="shared" si="8"/>
        <v>5.0331648000000026E-3</v>
      </c>
      <c r="R45" s="36">
        <f t="shared" si="8"/>
        <v>4.0265318400000026E-3</v>
      </c>
      <c r="S45" s="88"/>
    </row>
    <row r="46" spans="1:21" outlineLevel="1" x14ac:dyDescent="0.25">
      <c r="B46" t="s">
        <v>105</v>
      </c>
      <c r="D46" s="29"/>
      <c r="E46" s="29"/>
      <c r="F46" s="29"/>
      <c r="G46" s="29"/>
      <c r="H46" s="36">
        <f>H26*(1+$T$44)</f>
        <v>0.27781352128291326</v>
      </c>
      <c r="I46" s="36">
        <f>I26*(1+$T$44)</f>
        <v>0.22225081702633059</v>
      </c>
      <c r="J46" s="36">
        <f t="shared" ref="J46:R46" si="9">J26*(1+$T$44)</f>
        <v>0.17780065362106448</v>
      </c>
      <c r="K46" s="36">
        <f t="shared" si="9"/>
        <v>0.1422405228968516</v>
      </c>
      <c r="L46" s="36">
        <f t="shared" si="9"/>
        <v>0.11379241831748128</v>
      </c>
      <c r="M46" s="36">
        <f t="shared" si="9"/>
        <v>9.103393465398503E-2</v>
      </c>
      <c r="N46" s="36">
        <f t="shared" si="9"/>
        <v>7.2827147723188032E-2</v>
      </c>
      <c r="O46" s="36">
        <f t="shared" si="9"/>
        <v>5.8261718178550428E-2</v>
      </c>
      <c r="P46" s="36">
        <f t="shared" si="9"/>
        <v>4.6609374542840344E-2</v>
      </c>
      <c r="Q46" s="36">
        <f t="shared" si="9"/>
        <v>3.7287499634272275E-2</v>
      </c>
      <c r="R46" s="36">
        <f t="shared" si="9"/>
        <v>2.9829999707417822E-2</v>
      </c>
      <c r="S46" s="88"/>
    </row>
    <row r="47" spans="1:21" outlineLevel="1" x14ac:dyDescent="0.25">
      <c r="B47" t="s">
        <v>106</v>
      </c>
      <c r="D47" s="29"/>
      <c r="E47" s="29"/>
      <c r="F47" s="29"/>
      <c r="G47" s="29"/>
      <c r="H47" s="36">
        <f>H27*(1+$T$44)</f>
        <v>0.30859656167167943</v>
      </c>
      <c r="I47" s="36">
        <f>I27*(1+$T$44)</f>
        <v>0.24687724933734356</v>
      </c>
      <c r="J47" s="36">
        <f t="shared" ref="J47:R47" si="10">J27*(1+$T$44)</f>
        <v>0.19750179946987484</v>
      </c>
      <c r="K47" s="36">
        <f>K27*(1+$T$44)</f>
        <v>0.15800143957589988</v>
      </c>
      <c r="L47" s="36">
        <f t="shared" si="10"/>
        <v>0.12640115166071991</v>
      </c>
      <c r="M47" s="36">
        <f t="shared" si="10"/>
        <v>0.10112092132857595</v>
      </c>
      <c r="N47" s="36">
        <f t="shared" si="10"/>
        <v>8.0896737062860755E-2</v>
      </c>
      <c r="O47" s="36">
        <f t="shared" si="10"/>
        <v>6.4717389650288615E-2</v>
      </c>
      <c r="P47" s="36">
        <f t="shared" si="10"/>
        <v>5.1773911720230895E-2</v>
      </c>
      <c r="Q47" s="36">
        <f t="shared" si="10"/>
        <v>4.1419129376184721E-2</v>
      </c>
      <c r="R47" s="36">
        <f t="shared" si="10"/>
        <v>3.3135303500947774E-2</v>
      </c>
      <c r="S47" s="88"/>
    </row>
    <row r="48" spans="1:21" outlineLevel="1" x14ac:dyDescent="0.25">
      <c r="B48" t="s">
        <v>107</v>
      </c>
      <c r="D48" s="29"/>
      <c r="E48" s="29"/>
      <c r="F48" s="29"/>
      <c r="G48" s="29"/>
      <c r="H48" s="36">
        <f>H28*(1+$T$44)</f>
        <v>0.29228933002969887</v>
      </c>
      <c r="I48" s="36">
        <f t="shared" ref="I48:R48" si="11">I28*(1+$T$44)</f>
        <v>0.23383146402375909</v>
      </c>
      <c r="J48" s="36">
        <f t="shared" si="11"/>
        <v>0.18706517121900729</v>
      </c>
      <c r="K48" s="36">
        <f t="shared" si="11"/>
        <v>0.14965213697520585</v>
      </c>
      <c r="L48" s="36">
        <f t="shared" si="11"/>
        <v>0.11972170958016468</v>
      </c>
      <c r="M48" s="36">
        <f t="shared" si="11"/>
        <v>9.5777367664131752E-2</v>
      </c>
      <c r="N48" s="36">
        <f t="shared" si="11"/>
        <v>7.6621894131305407E-2</v>
      </c>
      <c r="O48" s="36">
        <f t="shared" si="11"/>
        <v>6.1297515305044334E-2</v>
      </c>
      <c r="P48" s="36">
        <f t="shared" si="11"/>
        <v>4.9038012244035471E-2</v>
      </c>
      <c r="Q48" s="36">
        <f t="shared" si="11"/>
        <v>3.9230409795228377E-2</v>
      </c>
      <c r="R48" s="36">
        <f t="shared" si="11"/>
        <v>3.1384327836182703E-2</v>
      </c>
      <c r="S48" s="88"/>
    </row>
    <row r="49" spans="2:19" outlineLevel="1" x14ac:dyDescent="0.25">
      <c r="B49" t="s">
        <v>108</v>
      </c>
      <c r="D49" s="29"/>
      <c r="E49" s="29"/>
      <c r="F49" s="29"/>
      <c r="G49" s="29"/>
      <c r="H49" s="36">
        <f>H29*(1+$T$44)</f>
        <v>0.49991446422941044</v>
      </c>
      <c r="I49" s="36">
        <f t="shared" ref="I49:R49" si="12">I29*(1+$T$44)</f>
        <v>0.39993157138352831</v>
      </c>
      <c r="J49" s="36">
        <f t="shared" si="12"/>
        <v>0.3199452571068227</v>
      </c>
      <c r="K49" s="36">
        <f t="shared" si="12"/>
        <v>0.25595620568545818</v>
      </c>
      <c r="L49" s="36">
        <f t="shared" si="12"/>
        <v>0.20476496454836651</v>
      </c>
      <c r="M49" s="36">
        <f t="shared" si="12"/>
        <v>0.16381197163869324</v>
      </c>
      <c r="N49" s="36">
        <f t="shared" si="12"/>
        <v>0.1310495773109546</v>
      </c>
      <c r="O49" s="36">
        <f t="shared" si="12"/>
        <v>0.10483966184876367</v>
      </c>
      <c r="P49" s="36">
        <f t="shared" si="12"/>
        <v>8.3871729479010948E-2</v>
      </c>
      <c r="Q49" s="36">
        <f t="shared" si="12"/>
        <v>6.7097383583208756E-2</v>
      </c>
      <c r="R49" s="36">
        <f t="shared" si="12"/>
        <v>5.367790686656701E-2</v>
      </c>
      <c r="S49" s="88"/>
    </row>
    <row r="50" spans="2:19" outlineLevel="1" x14ac:dyDescent="0.25">
      <c r="B50" s="11" t="s">
        <v>2</v>
      </c>
      <c r="C50" s="9"/>
      <c r="D50" s="19"/>
      <c r="E50" s="19"/>
      <c r="F50" s="19"/>
      <c r="G50" s="19"/>
      <c r="H50" s="19"/>
      <c r="I50" s="19"/>
      <c r="J50" s="19"/>
      <c r="K50" s="19"/>
      <c r="L50" s="19"/>
      <c r="M50" s="19"/>
      <c r="N50" s="19"/>
      <c r="O50" s="19"/>
      <c r="P50" s="19"/>
      <c r="Q50" s="19"/>
      <c r="R50" s="19"/>
      <c r="S50" s="86"/>
    </row>
    <row r="51" spans="2:19" outlineLevel="1" x14ac:dyDescent="0.25">
      <c r="B51" s="1"/>
      <c r="C51" s="28"/>
      <c r="D51" s="28"/>
      <c r="E51" s="27"/>
      <c r="F51" s="27"/>
      <c r="G51" s="27"/>
      <c r="H51" s="20"/>
      <c r="I51" s="20"/>
      <c r="J51" s="20"/>
      <c r="K51" s="20"/>
      <c r="L51" s="20"/>
      <c r="M51" s="20"/>
      <c r="N51" s="20"/>
      <c r="O51" s="20"/>
      <c r="P51" s="20"/>
      <c r="Q51" s="20"/>
      <c r="R51" s="20"/>
      <c r="S51" s="90"/>
    </row>
    <row r="52" spans="2:19" x14ac:dyDescent="0.25">
      <c r="B52" s="219" t="s">
        <v>142</v>
      </c>
      <c r="C52" s="219"/>
      <c r="D52" s="219"/>
      <c r="E52" s="219"/>
      <c r="F52" s="219"/>
      <c r="G52" s="219"/>
      <c r="H52" s="219"/>
      <c r="I52" s="219"/>
      <c r="J52" s="219"/>
      <c r="K52" s="219"/>
      <c r="L52" s="219"/>
      <c r="M52" s="219"/>
      <c r="N52" s="219"/>
      <c r="O52" s="219"/>
      <c r="P52" s="219"/>
      <c r="Q52" s="219"/>
      <c r="R52" s="219"/>
      <c r="S52" s="93"/>
    </row>
    <row r="53" spans="2:19" outlineLevel="1" x14ac:dyDescent="0.25">
      <c r="B53" s="1" t="s">
        <v>109</v>
      </c>
    </row>
    <row r="54" spans="2:19" outlineLevel="1" x14ac:dyDescent="0.25">
      <c r="B54" t="s">
        <v>103</v>
      </c>
      <c r="D54" s="29"/>
      <c r="E54" s="29"/>
      <c r="F54" s="29"/>
      <c r="G54" s="29"/>
      <c r="H54" s="36">
        <v>0</v>
      </c>
      <c r="I54" s="36">
        <v>0</v>
      </c>
      <c r="J54" s="36">
        <v>0</v>
      </c>
      <c r="K54" s="36">
        <v>0</v>
      </c>
      <c r="L54" s="36">
        <v>0</v>
      </c>
      <c r="M54" s="36">
        <v>0</v>
      </c>
      <c r="N54" s="36">
        <v>0</v>
      </c>
      <c r="O54" s="36">
        <v>0</v>
      </c>
      <c r="P54" s="36">
        <v>0</v>
      </c>
      <c r="Q54" s="36">
        <v>0</v>
      </c>
      <c r="R54" s="36">
        <v>0</v>
      </c>
      <c r="S54" s="88"/>
    </row>
    <row r="55" spans="2:19" outlineLevel="1" x14ac:dyDescent="0.25">
      <c r="B55" t="s">
        <v>104</v>
      </c>
      <c r="D55" s="29"/>
      <c r="E55" s="29"/>
      <c r="F55" s="29"/>
      <c r="G55" s="29"/>
      <c r="H55" s="36">
        <v>0</v>
      </c>
      <c r="I55" s="36">
        <v>0</v>
      </c>
      <c r="J55" s="36">
        <v>0</v>
      </c>
      <c r="K55" s="36">
        <v>0</v>
      </c>
      <c r="L55" s="36">
        <v>0</v>
      </c>
      <c r="M55" s="36">
        <v>0</v>
      </c>
      <c r="N55" s="36">
        <v>0</v>
      </c>
      <c r="O55" s="36">
        <v>0</v>
      </c>
      <c r="P55" s="36">
        <v>0</v>
      </c>
      <c r="Q55" s="36">
        <v>0</v>
      </c>
      <c r="R55" s="36">
        <v>0</v>
      </c>
      <c r="S55" s="88"/>
    </row>
    <row r="56" spans="2:19" outlineLevel="1" x14ac:dyDescent="0.25">
      <c r="B56" t="s">
        <v>105</v>
      </c>
      <c r="D56" s="29"/>
      <c r="E56" s="29"/>
      <c r="F56" s="29"/>
      <c r="G56" s="29"/>
      <c r="H56" s="36">
        <v>0</v>
      </c>
      <c r="I56" s="36">
        <v>0</v>
      </c>
      <c r="J56" s="36">
        <v>0</v>
      </c>
      <c r="K56" s="36">
        <v>0</v>
      </c>
      <c r="L56" s="36">
        <v>0</v>
      </c>
      <c r="M56" s="36">
        <v>0</v>
      </c>
      <c r="N56" s="36">
        <v>0</v>
      </c>
      <c r="O56" s="36">
        <v>0</v>
      </c>
      <c r="P56" s="36">
        <v>0</v>
      </c>
      <c r="Q56" s="36">
        <v>0</v>
      </c>
      <c r="R56" s="36">
        <v>0</v>
      </c>
      <c r="S56" s="88"/>
    </row>
    <row r="57" spans="2:19" outlineLevel="1" x14ac:dyDescent="0.25">
      <c r="B57" t="s">
        <v>106</v>
      </c>
      <c r="D57" s="29"/>
      <c r="E57" s="29"/>
      <c r="F57" s="29"/>
      <c r="G57" s="29"/>
      <c r="H57" s="36">
        <v>0</v>
      </c>
      <c r="I57" s="36">
        <v>0</v>
      </c>
      <c r="J57" s="36">
        <v>0</v>
      </c>
      <c r="K57" s="36">
        <v>0</v>
      </c>
      <c r="L57" s="36">
        <v>0</v>
      </c>
      <c r="M57" s="36">
        <v>0</v>
      </c>
      <c r="N57" s="36">
        <v>0</v>
      </c>
      <c r="O57" s="36">
        <v>0</v>
      </c>
      <c r="P57" s="36">
        <v>0</v>
      </c>
      <c r="Q57" s="36">
        <v>0</v>
      </c>
      <c r="R57" s="36">
        <v>0</v>
      </c>
      <c r="S57" s="88"/>
    </row>
    <row r="58" spans="2:19" outlineLevel="1" x14ac:dyDescent="0.25">
      <c r="B58" t="s">
        <v>107</v>
      </c>
      <c r="D58" s="29"/>
      <c r="E58" s="29"/>
      <c r="F58" s="29"/>
      <c r="G58" s="29"/>
      <c r="H58" s="36">
        <v>0</v>
      </c>
      <c r="I58" s="36">
        <v>0</v>
      </c>
      <c r="J58" s="36">
        <v>0</v>
      </c>
      <c r="K58" s="36">
        <v>0</v>
      </c>
      <c r="L58" s="36">
        <v>0</v>
      </c>
      <c r="M58" s="36">
        <v>0</v>
      </c>
      <c r="N58" s="36">
        <v>0</v>
      </c>
      <c r="O58" s="36">
        <v>0</v>
      </c>
      <c r="P58" s="36">
        <v>0</v>
      </c>
      <c r="Q58" s="36">
        <v>0</v>
      </c>
      <c r="R58" s="36">
        <v>0</v>
      </c>
      <c r="S58" s="88"/>
    </row>
    <row r="59" spans="2:19" outlineLevel="1" x14ac:dyDescent="0.25">
      <c r="B59" t="s">
        <v>108</v>
      </c>
      <c r="D59" s="29"/>
      <c r="E59" s="29"/>
      <c r="F59" s="29"/>
      <c r="G59" s="29"/>
      <c r="H59" s="36">
        <v>0</v>
      </c>
      <c r="I59" s="36">
        <v>0</v>
      </c>
      <c r="J59" s="36">
        <v>0</v>
      </c>
      <c r="K59" s="36">
        <v>0</v>
      </c>
      <c r="L59" s="36">
        <v>0</v>
      </c>
      <c r="M59" s="36">
        <v>0</v>
      </c>
      <c r="N59" s="36">
        <v>0</v>
      </c>
      <c r="O59" s="36">
        <v>0</v>
      </c>
      <c r="P59" s="36">
        <v>0</v>
      </c>
      <c r="Q59" s="36">
        <v>0</v>
      </c>
      <c r="R59" s="36">
        <v>0</v>
      </c>
      <c r="S59" s="88"/>
    </row>
    <row r="60" spans="2:19" outlineLevel="1" x14ac:dyDescent="0.25">
      <c r="B60" s="11" t="s">
        <v>2</v>
      </c>
      <c r="C60" s="9"/>
      <c r="D60" s="19"/>
      <c r="E60" s="19"/>
      <c r="F60" s="19"/>
      <c r="G60" s="19"/>
      <c r="H60" s="19"/>
      <c r="I60" s="19"/>
      <c r="J60" s="19"/>
      <c r="K60" s="19"/>
      <c r="L60" s="19"/>
      <c r="M60" s="19"/>
      <c r="N60" s="19"/>
      <c r="O60" s="19"/>
      <c r="P60" s="19"/>
      <c r="Q60" s="19"/>
      <c r="R60" s="19"/>
      <c r="S60" s="86"/>
    </row>
  </sheetData>
  <pageMargins left="0.7" right="0.7" top="0.75" bottom="0.75" header="0.3" footer="0.3"/>
  <pageSetup scale="45"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C1280-A4C5-4C21-B0D0-2335E7D2B7B6}">
  <dimension ref="A1:Q59"/>
  <sheetViews>
    <sheetView showGridLines="0" zoomScaleNormal="100" workbookViewId="0">
      <selection activeCell="O20" sqref="O20"/>
    </sheetView>
  </sheetViews>
  <sheetFormatPr defaultColWidth="12.75" defaultRowHeight="15.6" x14ac:dyDescent="0.3"/>
  <cols>
    <col min="1" max="1" width="3.375" style="69" customWidth="1"/>
    <col min="2" max="2" width="30.75" style="69" customWidth="1"/>
    <col min="3" max="16384" width="12.75" style="69"/>
  </cols>
  <sheetData>
    <row r="1" spans="1:15" ht="16.5" customHeight="1" x14ac:dyDescent="0.3">
      <c r="A1" s="67" t="s">
        <v>76</v>
      </c>
      <c r="B1" s="68"/>
      <c r="C1" s="68"/>
      <c r="D1" s="68"/>
      <c r="E1" s="68"/>
      <c r="F1" s="68"/>
      <c r="G1" s="68"/>
      <c r="H1" s="68"/>
      <c r="I1" s="68"/>
      <c r="J1" s="68"/>
      <c r="K1" s="68"/>
      <c r="L1" s="68"/>
      <c r="M1" s="68"/>
      <c r="N1" s="68"/>
      <c r="O1" s="68"/>
    </row>
    <row r="2" spans="1:15" ht="20.100000000000001" customHeight="1" x14ac:dyDescent="0.3">
      <c r="A2" s="101" t="s">
        <v>349</v>
      </c>
      <c r="B2" s="102"/>
      <c r="C2" s="102"/>
      <c r="D2" s="102"/>
      <c r="E2" s="102"/>
      <c r="F2" s="102"/>
      <c r="G2" s="102"/>
      <c r="H2" s="102"/>
      <c r="I2" s="102"/>
      <c r="J2" s="102"/>
      <c r="K2" s="102"/>
      <c r="L2" s="102"/>
      <c r="M2" s="102"/>
      <c r="N2" s="102"/>
      <c r="O2" s="102"/>
    </row>
    <row r="3" spans="1:15" ht="16.5" customHeight="1" x14ac:dyDescent="0.3">
      <c r="A3" s="71" t="s">
        <v>229</v>
      </c>
      <c r="B3" s="72"/>
      <c r="C3" s="72"/>
      <c r="D3" s="72"/>
      <c r="E3" s="72"/>
      <c r="F3" s="72"/>
      <c r="G3" s="72"/>
      <c r="H3" s="72"/>
      <c r="I3" s="72"/>
      <c r="J3" s="72"/>
      <c r="K3" s="72"/>
      <c r="L3" s="72"/>
      <c r="M3" s="72"/>
      <c r="N3" s="72"/>
      <c r="O3" s="72"/>
    </row>
    <row r="5" spans="1:15" x14ac:dyDescent="0.3">
      <c r="E5" s="145">
        <f>+Scenarios!H5</f>
        <v>2021</v>
      </c>
      <c r="F5" s="145">
        <f>+Scenarios!I5</f>
        <v>2022</v>
      </c>
      <c r="G5" s="145">
        <f>+Scenarios!J5</f>
        <v>2023</v>
      </c>
      <c r="H5" s="145">
        <f>+Scenarios!K5</f>
        <v>2024</v>
      </c>
      <c r="I5" s="145">
        <f>+Scenarios!L5</f>
        <v>2025</v>
      </c>
      <c r="J5" s="145">
        <f>+Scenarios!M5</f>
        <v>2026</v>
      </c>
      <c r="K5" s="145">
        <f>+Scenarios!N5</f>
        <v>2027</v>
      </c>
      <c r="L5" s="145">
        <f>+Scenarios!O5</f>
        <v>2028</v>
      </c>
      <c r="M5" s="145">
        <f>+Scenarios!P5</f>
        <v>2029</v>
      </c>
      <c r="N5" s="145">
        <f>+Scenarios!Q5</f>
        <v>2030</v>
      </c>
      <c r="O5" s="145">
        <f>+Scenarios!R5</f>
        <v>2031</v>
      </c>
    </row>
    <row r="6" spans="1:15" ht="5.25" customHeight="1" x14ac:dyDescent="0.3"/>
    <row r="7" spans="1:15" x14ac:dyDescent="0.3">
      <c r="B7" s="74" t="s">
        <v>277</v>
      </c>
      <c r="C7" s="74"/>
      <c r="D7" s="74"/>
      <c r="E7" s="74"/>
      <c r="F7" s="74"/>
      <c r="G7" s="74"/>
      <c r="H7" s="74"/>
      <c r="I7" s="74"/>
      <c r="J7" s="74"/>
      <c r="K7" s="74"/>
      <c r="L7" s="74"/>
      <c r="M7" s="74"/>
      <c r="N7" s="74"/>
      <c r="O7" s="74"/>
    </row>
    <row r="8" spans="1:15" ht="5.25" customHeight="1" x14ac:dyDescent="0.3"/>
    <row r="9" spans="1:15" x14ac:dyDescent="0.3">
      <c r="B9" s="112" t="s">
        <v>89</v>
      </c>
    </row>
    <row r="10" spans="1:15" x14ac:dyDescent="0.3">
      <c r="B10" s="69" t="s">
        <v>354</v>
      </c>
      <c r="D10" s="450">
        <f>+_Vdate</f>
        <v>44275</v>
      </c>
      <c r="E10" s="450">
        <f>+_YEdate_After</f>
        <v>44561</v>
      </c>
      <c r="F10" s="150">
        <f>+DATE(YEAR(E10)+1,12,31)</f>
        <v>44926</v>
      </c>
      <c r="G10" s="150">
        <f t="shared" ref="G10:O10" si="0">+DATE(YEAR(F10)+1,12,31)</f>
        <v>45291</v>
      </c>
      <c r="H10" s="150">
        <f t="shared" si="0"/>
        <v>45657</v>
      </c>
      <c r="I10" s="150">
        <f t="shared" si="0"/>
        <v>46022</v>
      </c>
      <c r="J10" s="150">
        <f t="shared" si="0"/>
        <v>46387</v>
      </c>
      <c r="K10" s="150">
        <f t="shared" si="0"/>
        <v>46752</v>
      </c>
      <c r="L10" s="150">
        <f t="shared" si="0"/>
        <v>47118</v>
      </c>
      <c r="M10" s="150">
        <f t="shared" si="0"/>
        <v>47483</v>
      </c>
      <c r="N10" s="150">
        <f t="shared" si="0"/>
        <v>47848</v>
      </c>
      <c r="O10" s="150">
        <f t="shared" si="0"/>
        <v>48213</v>
      </c>
    </row>
    <row r="11" spans="1:15" x14ac:dyDescent="0.3">
      <c r="B11" s="69" t="s">
        <v>353</v>
      </c>
      <c r="D11" s="150">
        <f>+D10</f>
        <v>44275</v>
      </c>
      <c r="E11" s="150">
        <f>+AVERAGE(D10:E10)</f>
        <v>44418</v>
      </c>
      <c r="F11" s="150">
        <f>+AVERAGE(E10:F10)</f>
        <v>44743.5</v>
      </c>
      <c r="G11" s="150">
        <f>+AVERAGE(F10:G10)</f>
        <v>45108.5</v>
      </c>
      <c r="H11" s="150">
        <f>+AVERAGE(G10:H10)</f>
        <v>45474</v>
      </c>
      <c r="I11" s="150">
        <f t="shared" ref="I11:O11" si="1">+AVERAGE(H10:I10)</f>
        <v>45839.5</v>
      </c>
      <c r="J11" s="150">
        <f t="shared" si="1"/>
        <v>46204.5</v>
      </c>
      <c r="K11" s="150">
        <f t="shared" si="1"/>
        <v>46569.5</v>
      </c>
      <c r="L11" s="150">
        <f t="shared" si="1"/>
        <v>46935</v>
      </c>
      <c r="M11" s="150">
        <f t="shared" si="1"/>
        <v>47300.5</v>
      </c>
      <c r="N11" s="150">
        <f t="shared" si="1"/>
        <v>47665.5</v>
      </c>
      <c r="O11" s="150">
        <f t="shared" si="1"/>
        <v>48030.5</v>
      </c>
    </row>
    <row r="12" spans="1:15" x14ac:dyDescent="0.3">
      <c r="B12" s="69" t="s">
        <v>352</v>
      </c>
      <c r="E12" s="151">
        <f>+YEARFRAC(D10,E10)</f>
        <v>0.78055555555555556</v>
      </c>
      <c r="F12" s="151">
        <f t="shared" ref="F12:O12" si="2">+YEARFRAC(E10,F10)</f>
        <v>1</v>
      </c>
      <c r="G12" s="151">
        <f>+YEARFRAC(F10,G10)</f>
        <v>1</v>
      </c>
      <c r="H12" s="151">
        <f t="shared" si="2"/>
        <v>1</v>
      </c>
      <c r="I12" s="151">
        <f t="shared" si="2"/>
        <v>1</v>
      </c>
      <c r="J12" s="151">
        <f t="shared" si="2"/>
        <v>1</v>
      </c>
      <c r="K12" s="151">
        <f t="shared" si="2"/>
        <v>1</v>
      </c>
      <c r="L12" s="151">
        <f t="shared" si="2"/>
        <v>1</v>
      </c>
      <c r="M12" s="151">
        <f t="shared" si="2"/>
        <v>1</v>
      </c>
      <c r="N12" s="151">
        <f t="shared" si="2"/>
        <v>1</v>
      </c>
      <c r="O12" s="151">
        <f t="shared" si="2"/>
        <v>1</v>
      </c>
    </row>
    <row r="13" spans="1:15" x14ac:dyDescent="0.3">
      <c r="E13" s="151"/>
      <c r="F13" s="151"/>
      <c r="G13" s="151"/>
      <c r="H13" s="151"/>
      <c r="I13" s="151"/>
      <c r="J13" s="151"/>
      <c r="K13" s="151"/>
      <c r="L13" s="151"/>
      <c r="M13" s="151"/>
      <c r="N13" s="151"/>
      <c r="O13" s="151"/>
    </row>
    <row r="14" spans="1:15" x14ac:dyDescent="0.3">
      <c r="B14" s="69" t="s">
        <v>127</v>
      </c>
      <c r="E14" s="451">
        <f>+'Financial Statements'!H334</f>
        <v>52050.653549403178</v>
      </c>
      <c r="F14" s="451">
        <f>+'Financial Statements'!I334</f>
        <v>66876.696503684972</v>
      </c>
      <c r="G14" s="451">
        <f>+'Financial Statements'!J334</f>
        <v>83338.572240235488</v>
      </c>
      <c r="H14" s="451">
        <f>+'Financial Statements'!K334</f>
        <v>101090.50096847929</v>
      </c>
      <c r="I14" s="451">
        <f>+'Financial Statements'!L334</f>
        <v>119784.17885472803</v>
      </c>
      <c r="J14" s="451">
        <f>+'Financial Statements'!M334</f>
        <v>139105.05923457351</v>
      </c>
      <c r="K14" s="451">
        <f>+'Financial Statements'!N334</f>
        <v>154715.98602949275</v>
      </c>
      <c r="L14" s="451">
        <f>+'Financial Statements'!O334</f>
        <v>173554.43966811278</v>
      </c>
      <c r="M14" s="451">
        <f>+'Financial Statements'!P334</f>
        <v>193442.11218799016</v>
      </c>
      <c r="N14" s="451">
        <f>+'Financial Statements'!Q334</f>
        <v>213269.36750927678</v>
      </c>
      <c r="O14" s="451">
        <f>+'Financial Statements'!R334</f>
        <v>219701.27222934866</v>
      </c>
    </row>
    <row r="15" spans="1:15" x14ac:dyDescent="0.3">
      <c r="B15" s="69" t="s">
        <v>128</v>
      </c>
      <c r="E15" s="451">
        <f>'Financial Statements'!H345</f>
        <v>20613.91861976662</v>
      </c>
      <c r="F15" s="451">
        <f>'Financial Statements'!I345</f>
        <v>40835.291584577695</v>
      </c>
      <c r="G15" s="451">
        <f>'Financial Statements'!J345</f>
        <v>48539.052532119618</v>
      </c>
      <c r="H15" s="451">
        <f>'Financial Statements'!K345</f>
        <v>56623.673220765355</v>
      </c>
      <c r="I15" s="451">
        <f>'Financial Statements'!L345</f>
        <v>65479.927654103223</v>
      </c>
      <c r="J15" s="451">
        <f>'Financial Statements'!M345</f>
        <v>74757.792302876289</v>
      </c>
      <c r="K15" s="451">
        <f>'Financial Statements'!N345</f>
        <v>80788.986434201812</v>
      </c>
      <c r="L15" s="451">
        <f>'Financial Statements'!O345</f>
        <v>90596.367911423586</v>
      </c>
      <c r="M15" s="451">
        <f>'Financial Statements'!P345</f>
        <v>102613.82876121055</v>
      </c>
      <c r="N15" s="451">
        <f>'Financial Statements'!Q345</f>
        <v>115156.95899070214</v>
      </c>
      <c r="O15" s="451">
        <f>'Financial Statements'!R345</f>
        <v>115341.71151043949</v>
      </c>
    </row>
    <row r="16" spans="1:15" x14ac:dyDescent="0.3">
      <c r="E16" s="151"/>
      <c r="F16" s="151"/>
      <c r="G16" s="151"/>
      <c r="H16" s="151"/>
      <c r="I16" s="151"/>
      <c r="J16" s="151"/>
      <c r="K16" s="151"/>
      <c r="L16" s="151"/>
      <c r="M16" s="151"/>
      <c r="N16" s="151"/>
      <c r="O16" s="151"/>
    </row>
    <row r="17" spans="1:17" x14ac:dyDescent="0.3">
      <c r="B17" s="112" t="s">
        <v>138</v>
      </c>
    </row>
    <row r="18" spans="1:17" x14ac:dyDescent="0.3">
      <c r="B18" s="69" t="s">
        <v>356</v>
      </c>
      <c r="O18" s="152">
        <f>+O14*'Control Panel'!W23</f>
        <v>5492531.8057337161</v>
      </c>
    </row>
    <row r="19" spans="1:17" x14ac:dyDescent="0.3">
      <c r="B19" s="124" t="s">
        <v>357</v>
      </c>
      <c r="C19" s="124"/>
      <c r="D19" s="124"/>
      <c r="E19" s="124"/>
      <c r="F19" s="124"/>
      <c r="G19" s="124"/>
      <c r="H19" s="124"/>
      <c r="I19" s="124"/>
      <c r="J19" s="124"/>
      <c r="K19" s="124"/>
      <c r="L19" s="124"/>
      <c r="M19" s="124"/>
      <c r="N19" s="124"/>
      <c r="O19" s="153">
        <f>IF(_WACC=_LTGrowth,"0",(O15*(1+_LTGrowth)/(_WACC-_LTGrowth)))</f>
        <v>2998884.4992714268</v>
      </c>
    </row>
    <row r="20" spans="1:17" x14ac:dyDescent="0.3">
      <c r="B20" s="69" t="s">
        <v>358</v>
      </c>
      <c r="O20" s="152">
        <f>+AVERAGE(O18:O19)</f>
        <v>4245708.1525025712</v>
      </c>
    </row>
    <row r="21" spans="1:17" x14ac:dyDescent="0.3">
      <c r="Q21" s="418"/>
    </row>
    <row r="22" spans="1:17" x14ac:dyDescent="0.3">
      <c r="B22" s="124" t="s">
        <v>361</v>
      </c>
      <c r="C22" s="124"/>
      <c r="D22" s="124"/>
      <c r="E22" s="124"/>
      <c r="F22" s="124"/>
      <c r="G22" s="124"/>
      <c r="H22" s="124"/>
      <c r="I22" s="124"/>
      <c r="J22" s="124"/>
      <c r="K22" s="124"/>
      <c r="L22" s="124"/>
      <c r="M22" s="124"/>
      <c r="N22" s="124"/>
      <c r="O22" s="153">
        <f>+CHOOSE('Control Panel'!$W$18,O18,O19,O20)</f>
        <v>4245708.1525025712</v>
      </c>
    </row>
    <row r="23" spans="1:17" s="112" customFormat="1" x14ac:dyDescent="0.3">
      <c r="A23" s="112" t="s">
        <v>304</v>
      </c>
      <c r="B23" s="112" t="s">
        <v>360</v>
      </c>
      <c r="D23" s="157">
        <v>0</v>
      </c>
      <c r="E23" s="157">
        <f>+(E15*E12)</f>
        <v>16090.308700428945</v>
      </c>
      <c r="F23" s="157">
        <f>+(F15*F12)</f>
        <v>40835.291584577695</v>
      </c>
      <c r="G23" s="157">
        <f t="shared" ref="G23:K23" si="3">+(G15*G12)</f>
        <v>48539.052532119618</v>
      </c>
      <c r="H23" s="157">
        <f t="shared" si="3"/>
        <v>56623.673220765355</v>
      </c>
      <c r="I23" s="157">
        <f t="shared" si="3"/>
        <v>65479.927654103223</v>
      </c>
      <c r="J23" s="157">
        <f t="shared" si="3"/>
        <v>74757.792302876289</v>
      </c>
      <c r="K23" s="157">
        <f t="shared" si="3"/>
        <v>80788.986434201812</v>
      </c>
      <c r="L23" s="157">
        <f>+(L15*L12)</f>
        <v>90596.367911423586</v>
      </c>
      <c r="M23" s="157">
        <f>+(M15*M12)</f>
        <v>102613.82876121055</v>
      </c>
      <c r="N23" s="157">
        <f>+(N15*N12)</f>
        <v>115156.95899070214</v>
      </c>
      <c r="O23" s="157">
        <f>+(O15*O12)</f>
        <v>115341.71151043949</v>
      </c>
      <c r="Q23" s="468"/>
    </row>
    <row r="24" spans="1:17" s="112" customFormat="1" x14ac:dyDescent="0.3">
      <c r="B24" s="112" t="s">
        <v>138</v>
      </c>
      <c r="D24" s="157">
        <v>0</v>
      </c>
      <c r="E24" s="157">
        <v>0</v>
      </c>
      <c r="F24" s="157">
        <v>0</v>
      </c>
      <c r="G24" s="157">
        <v>0</v>
      </c>
      <c r="H24" s="157">
        <v>0</v>
      </c>
      <c r="I24" s="157">
        <v>0</v>
      </c>
      <c r="J24" s="157">
        <v>0</v>
      </c>
      <c r="K24" s="157">
        <v>0</v>
      </c>
      <c r="L24" s="157">
        <v>0</v>
      </c>
      <c r="M24" s="157">
        <v>0</v>
      </c>
      <c r="N24" s="157">
        <v>0</v>
      </c>
      <c r="O24" s="157">
        <f>+O22</f>
        <v>4245708.1525025712</v>
      </c>
    </row>
    <row r="27" spans="1:17" x14ac:dyDescent="0.3">
      <c r="B27" s="337" t="s">
        <v>539</v>
      </c>
      <c r="C27" s="336"/>
      <c r="D27" s="336"/>
      <c r="E27" s="336"/>
      <c r="F27" s="336"/>
      <c r="I27" s="336" t="s">
        <v>503</v>
      </c>
      <c r="J27" s="336"/>
      <c r="K27" s="336"/>
      <c r="L27" s="336"/>
      <c r="M27" s="336"/>
      <c r="N27" s="336"/>
      <c r="O27" s="336"/>
    </row>
    <row r="28" spans="1:17" x14ac:dyDescent="0.3">
      <c r="B28" s="69" t="s">
        <v>588</v>
      </c>
      <c r="D28" s="152"/>
      <c r="E28" s="152"/>
      <c r="F28" s="152">
        <f>+XNPV(_WACC,$D$23:$O$23,$D$11:$O$11)</f>
        <v>498504.56568773341</v>
      </c>
      <c r="I28" s="312"/>
      <c r="J28"/>
      <c r="K28"/>
      <c r="L28"/>
      <c r="M28"/>
      <c r="N28"/>
      <c r="O28" s="313"/>
    </row>
    <row r="29" spans="1:17" x14ac:dyDescent="0.3">
      <c r="B29" s="69" t="s">
        <v>589</v>
      </c>
      <c r="D29" s="152"/>
      <c r="E29" s="152"/>
      <c r="F29" s="152">
        <f>+XNPV(_WACC,$D$24:$O$24,$D$11:$O$11)</f>
        <v>1923523.6477875779</v>
      </c>
      <c r="I29" s="312"/>
      <c r="J29"/>
      <c r="K29" s="325" t="s">
        <v>472</v>
      </c>
      <c r="L29" s="326"/>
      <c r="M29" s="326"/>
      <c r="N29" s="326"/>
      <c r="O29" s="327"/>
    </row>
    <row r="30" spans="1:17" s="112" customFormat="1" x14ac:dyDescent="0.3">
      <c r="A30" s="69"/>
      <c r="B30" s="328" t="s">
        <v>173</v>
      </c>
      <c r="C30" s="328"/>
      <c r="D30" s="392"/>
      <c r="E30" s="392"/>
      <c r="F30" s="392">
        <f>SUM(F28:F29)</f>
        <v>2422028.2134753112</v>
      </c>
      <c r="G30" s="69"/>
      <c r="H30" s="69"/>
      <c r="I30" s="312"/>
      <c r="J30" s="314">
        <f>+$F$34</f>
        <v>4559.8633992190489</v>
      </c>
      <c r="K30" s="305">
        <f>L30-5</f>
        <v>15</v>
      </c>
      <c r="L30" s="305">
        <f>M30-5</f>
        <v>20</v>
      </c>
      <c r="M30" s="374">
        <f>'Control Panel'!$F$26</f>
        <v>25</v>
      </c>
      <c r="N30" s="305">
        <f>M30+5</f>
        <v>30</v>
      </c>
      <c r="O30" s="383">
        <f>N30+5</f>
        <v>35</v>
      </c>
    </row>
    <row r="31" spans="1:17" x14ac:dyDescent="0.3">
      <c r="A31" s="112"/>
      <c r="B31" s="124" t="s">
        <v>284</v>
      </c>
      <c r="C31" s="124"/>
      <c r="D31" s="452"/>
      <c r="E31" s="452"/>
      <c r="F31" s="452">
        <f>-Comps!$I$10</f>
        <v>-59107</v>
      </c>
      <c r="G31" s="112"/>
      <c r="H31" s="112"/>
      <c r="I31" s="591" t="s">
        <v>473</v>
      </c>
      <c r="J31" s="277">
        <f>J32+1%</f>
        <v>9.9999999999999992E-2</v>
      </c>
      <c r="K31" s="280">
        <f t="dataTable" ref="K31:O35" dt2D="1" dtr="1" r1="L48" r2="L47" ca="1"/>
        <v>2666.4140304812245</v>
      </c>
      <c r="L31" s="281">
        <v>3064.0089583715539</v>
      </c>
      <c r="M31" s="281">
        <v>3461.6038862618825</v>
      </c>
      <c r="N31" s="281">
        <v>3859.198814152212</v>
      </c>
      <c r="O31" s="315">
        <v>4256.7937420425415</v>
      </c>
    </row>
    <row r="32" spans="1:17" x14ac:dyDescent="0.3">
      <c r="B32" s="112" t="s">
        <v>139</v>
      </c>
      <c r="C32" s="112"/>
      <c r="D32" s="392"/>
      <c r="E32" s="392"/>
      <c r="F32" s="392">
        <f>+F30+F31</f>
        <v>2362921.2134753112</v>
      </c>
      <c r="I32" s="591"/>
      <c r="J32" s="277">
        <f>J33+1%</f>
        <v>0.09</v>
      </c>
      <c r="K32" s="316">
        <v>3061.2584773372587</v>
      </c>
      <c r="L32" s="317">
        <v>3498.0192902264312</v>
      </c>
      <c r="M32" s="317">
        <v>3934.7801031156032</v>
      </c>
      <c r="N32" s="317">
        <v>4371.5409160047757</v>
      </c>
      <c r="O32" s="318">
        <v>4808.3017288939482</v>
      </c>
    </row>
    <row r="33" spans="2:15" x14ac:dyDescent="0.3">
      <c r="B33" s="124" t="s">
        <v>538</v>
      </c>
      <c r="C33" s="124"/>
      <c r="D33" s="453"/>
      <c r="E33" s="453"/>
      <c r="F33" s="453">
        <f>Comps!$E$10</f>
        <v>518.20000000000005</v>
      </c>
      <c r="I33" s="591"/>
      <c r="J33" s="375">
        <f>WACC!$R$33</f>
        <v>0.08</v>
      </c>
      <c r="K33" s="316">
        <v>3599.4624963238221</v>
      </c>
      <c r="L33" s="317">
        <v>4079.6629477714355</v>
      </c>
      <c r="M33" s="319">
        <v>4559.8633992190489</v>
      </c>
      <c r="N33" s="317">
        <v>5040.0638506666628</v>
      </c>
      <c r="O33" s="318">
        <v>5520.2643021142758</v>
      </c>
    </row>
    <row r="34" spans="2:15" ht="16.5" customHeight="1" x14ac:dyDescent="0.3">
      <c r="B34" s="112" t="s">
        <v>537</v>
      </c>
      <c r="C34" s="112"/>
      <c r="D34" s="157"/>
      <c r="E34" s="157"/>
      <c r="F34" s="157">
        <f>+F32/F33</f>
        <v>4559.8633992190489</v>
      </c>
      <c r="I34" s="591"/>
      <c r="J34" s="277">
        <f>J33-1%</f>
        <v>7.0000000000000007E-2</v>
      </c>
      <c r="K34" s="316">
        <v>4411.5903262461088</v>
      </c>
      <c r="L34" s="317">
        <v>4940.0167514784016</v>
      </c>
      <c r="M34" s="317">
        <v>5468.4431767106935</v>
      </c>
      <c r="N34" s="317">
        <v>5996.8696019429863</v>
      </c>
      <c r="O34" s="318">
        <v>6525.2960271752791</v>
      </c>
    </row>
    <row r="35" spans="2:15" x14ac:dyDescent="0.3">
      <c r="I35" s="591"/>
      <c r="J35" s="277">
        <f>J34-1%</f>
        <v>6.0000000000000005E-2</v>
      </c>
      <c r="K35" s="316">
        <v>5886.1408808991519</v>
      </c>
      <c r="L35" s="316">
        <v>6468.1593278267828</v>
      </c>
      <c r="M35" s="316">
        <v>7050.1777747544138</v>
      </c>
      <c r="N35" s="316">
        <v>7632.196221682043</v>
      </c>
      <c r="O35" s="318">
        <v>8214.214668609673</v>
      </c>
    </row>
    <row r="36" spans="2:15" x14ac:dyDescent="0.3">
      <c r="B36" s="466"/>
      <c r="C36" s="185"/>
      <c r="D36" s="185"/>
      <c r="E36" s="185"/>
      <c r="F36" s="185"/>
      <c r="I36" s="320"/>
      <c r="O36" s="321"/>
    </row>
    <row r="37" spans="2:15" x14ac:dyDescent="0.3">
      <c r="B37" s="149"/>
      <c r="C37" s="185"/>
      <c r="D37" s="185"/>
      <c r="E37" s="185"/>
      <c r="F37" s="185"/>
      <c r="I37" s="312"/>
      <c r="J37"/>
      <c r="K37" s="325" t="s">
        <v>501</v>
      </c>
      <c r="L37" s="326"/>
      <c r="M37" s="326"/>
      <c r="N37" s="326"/>
      <c r="O37" s="327"/>
    </row>
    <row r="38" spans="2:15" x14ac:dyDescent="0.3">
      <c r="I38" s="312"/>
      <c r="J38" s="314">
        <f>+$F$34</f>
        <v>4559.8633992190489</v>
      </c>
      <c r="K38" s="306">
        <f>L38-1%</f>
        <v>0.59406673065772186</v>
      </c>
      <c r="L38" s="306">
        <f>M38-1%</f>
        <v>0.60406673065772187</v>
      </c>
      <c r="M38" s="373">
        <f>'Control Panel'!$O$14</f>
        <v>0.61406673065772188</v>
      </c>
      <c r="N38" s="306">
        <f>M38+1%</f>
        <v>0.62406673065772189</v>
      </c>
      <c r="O38" s="322">
        <f>N38+1%</f>
        <v>0.6340667306577219</v>
      </c>
    </row>
    <row r="39" spans="2:15" x14ac:dyDescent="0.3">
      <c r="I39" s="592" t="s">
        <v>412</v>
      </c>
      <c r="J39" s="277">
        <f>J40+5%</f>
        <v>0.3</v>
      </c>
      <c r="K39" s="280">
        <f t="dataTable" ref="K39:O43" dt2D="1" dtr="1" r1="L50" r2="L49"/>
        <v>3842.1430724146503</v>
      </c>
      <c r="L39" s="281">
        <v>3578.2780320176162</v>
      </c>
      <c r="M39" s="281">
        <v>3314.4129916205807</v>
      </c>
      <c r="N39" s="281">
        <v>3050.5479512235465</v>
      </c>
      <c r="O39" s="315">
        <v>2786.6829108265106</v>
      </c>
    </row>
    <row r="40" spans="2:15" ht="16.5" customHeight="1" x14ac:dyDescent="0.3">
      <c r="I40" s="592"/>
      <c r="J40" s="277">
        <f>J41+5%</f>
        <v>0.25</v>
      </c>
      <c r="K40" s="316">
        <v>4416.9710376105468</v>
      </c>
      <c r="L40" s="317">
        <v>4108.2667211227836</v>
      </c>
      <c r="M40" s="317">
        <v>3799.5624046350208</v>
      </c>
      <c r="N40" s="317">
        <v>3490.858088147259</v>
      </c>
      <c r="O40" s="318">
        <v>3182.1537716594967</v>
      </c>
    </row>
    <row r="41" spans="2:15" x14ac:dyDescent="0.3">
      <c r="I41" s="592"/>
      <c r="J41" s="375">
        <f>'Control Panel'!$O$9</f>
        <v>0.2</v>
      </c>
      <c r="K41" s="316">
        <v>5321.4046131061141</v>
      </c>
      <c r="L41" s="317">
        <v>4940.6340061625833</v>
      </c>
      <c r="M41" s="319">
        <v>4559.8633992190489</v>
      </c>
      <c r="N41" s="317">
        <v>4179.0927922755163</v>
      </c>
      <c r="O41" s="318">
        <v>3798.3221853319797</v>
      </c>
    </row>
    <row r="42" spans="2:15" ht="16.5" customHeight="1" x14ac:dyDescent="0.3">
      <c r="I42" s="592"/>
      <c r="J42" s="277">
        <f>J41-5%</f>
        <v>0.15000000000000002</v>
      </c>
      <c r="K42" s="316">
        <v>6880.5130432081532</v>
      </c>
      <c r="L42" s="317">
        <v>6373.9734217750902</v>
      </c>
      <c r="M42" s="317">
        <v>5867.4338003420235</v>
      </c>
      <c r="N42" s="317">
        <v>5360.8941789089613</v>
      </c>
      <c r="O42" s="318">
        <v>4854.3545574758937</v>
      </c>
    </row>
    <row r="43" spans="2:15" x14ac:dyDescent="0.3">
      <c r="I43" s="592"/>
      <c r="J43" s="277">
        <f>J42-5%</f>
        <v>0.10000000000000002</v>
      </c>
      <c r="K43" s="316">
        <v>9907.1443998385075</v>
      </c>
      <c r="L43" s="316">
        <v>9157.0588586645536</v>
      </c>
      <c r="M43" s="316">
        <v>8406.973317490605</v>
      </c>
      <c r="N43" s="316">
        <v>7656.8877763166511</v>
      </c>
      <c r="O43" s="318">
        <v>6906.8022351427035</v>
      </c>
    </row>
    <row r="44" spans="2:15" x14ac:dyDescent="0.3">
      <c r="I44" s="323"/>
      <c r="J44" s="124"/>
      <c r="K44" s="124"/>
      <c r="L44" s="124"/>
      <c r="M44" s="124"/>
      <c r="N44" s="124"/>
      <c r="O44" s="324"/>
    </row>
    <row r="46" spans="2:15" x14ac:dyDescent="0.3">
      <c r="I46" s="500" t="s">
        <v>644</v>
      </c>
      <c r="J46" s="338"/>
      <c r="K46" s="339"/>
      <c r="L46" s="339"/>
    </row>
    <row r="47" spans="2:15" x14ac:dyDescent="0.3">
      <c r="I47" s="279" t="s">
        <v>473</v>
      </c>
      <c r="L47" s="586"/>
    </row>
    <row r="48" spans="2:15" x14ac:dyDescent="0.3">
      <c r="G48" s="185"/>
      <c r="H48" s="185"/>
      <c r="I48" s="279" t="s">
        <v>355</v>
      </c>
      <c r="L48" s="587"/>
    </row>
    <row r="49" spans="2:17" x14ac:dyDescent="0.3">
      <c r="I49" s="279" t="s">
        <v>412</v>
      </c>
      <c r="L49" s="588"/>
    </row>
    <row r="50" spans="2:17" x14ac:dyDescent="0.3">
      <c r="I50" s="307" t="s">
        <v>502</v>
      </c>
      <c r="L50" s="588"/>
      <c r="Q50" s="418"/>
    </row>
    <row r="55" spans="2:17" x14ac:dyDescent="0.3">
      <c r="B55" s="186" t="s">
        <v>605</v>
      </c>
    </row>
    <row r="56" spans="2:17" x14ac:dyDescent="0.3">
      <c r="C56" s="181"/>
      <c r="D56" s="181"/>
      <c r="E56" s="181"/>
      <c r="F56" s="181"/>
    </row>
    <row r="57" spans="2:17" x14ac:dyDescent="0.3">
      <c r="B57" s="186" t="str">
        <f>B28</f>
        <v>NPV - Future Cash Flows</v>
      </c>
      <c r="C57" s="187">
        <f>F28/_RoundBillions</f>
        <v>498.50456568773342</v>
      </c>
      <c r="D57" s="187"/>
      <c r="E57" s="187"/>
      <c r="F57" s="187"/>
      <c r="G57" s="465"/>
      <c r="H57" s="464"/>
    </row>
    <row r="58" spans="2:17" x14ac:dyDescent="0.3">
      <c r="B58" s="186" t="str">
        <f>B29</f>
        <v>NPV - Terminal Value</v>
      </c>
      <c r="C58" s="187">
        <f>F29/_RoundBillions</f>
        <v>1923.5236477875778</v>
      </c>
      <c r="D58" s="187"/>
      <c r="E58" s="187"/>
      <c r="F58" s="187"/>
    </row>
    <row r="59" spans="2:17" x14ac:dyDescent="0.3">
      <c r="B59" s="186" t="str">
        <f>B30</f>
        <v>Enterprise Value</v>
      </c>
      <c r="C59" s="187">
        <f>F30/_RoundBillions</f>
        <v>2422.0282134753111</v>
      </c>
      <c r="D59" s="187"/>
      <c r="E59" s="187"/>
      <c r="F59" s="419"/>
    </row>
  </sheetData>
  <mergeCells count="2">
    <mergeCell ref="I31:I35"/>
    <mergeCell ref="I39:I43"/>
  </mergeCells>
  <dataValidations count="1">
    <dataValidation allowBlank="1" showErrorMessage="1" sqref="O22" xr:uid="{02E12F0B-8A79-4169-907B-82B45000B7F9}"/>
  </dataValidations>
  <pageMargins left="0.7" right="0.7" top="0.75" bottom="0.75" header="0.3" footer="0.3"/>
  <pageSetup scale="43" orientation="portrait" r:id="rId1"/>
  <customProperties>
    <customPr name="Guid" r:id="rId2"/>
  </customProperties>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6C688-2CDD-4A6C-9B9C-22F9AE96E406}">
  <dimension ref="A1:S33"/>
  <sheetViews>
    <sheetView showGridLines="0" topLeftCell="A16" zoomScaleNormal="100" workbookViewId="0"/>
  </sheetViews>
  <sheetFormatPr defaultColWidth="10.75" defaultRowHeight="16.5" customHeight="1" outlineLevelCol="1" x14ac:dyDescent="0.3"/>
  <cols>
    <col min="1" max="1" width="3.375" style="69" customWidth="1"/>
    <col min="2" max="2" width="12.875" style="69" hidden="1" customWidth="1" outlineLevel="1"/>
    <col min="3" max="3" width="28.75" style="69" customWidth="1" collapsed="1"/>
    <col min="4" max="4" width="16.625" style="69" bestFit="1" customWidth="1"/>
    <col min="5" max="5" width="11.25" style="69" bestFit="1" customWidth="1"/>
    <col min="6" max="10" width="10.75" style="69"/>
    <col min="11" max="11" width="11.25" style="69" bestFit="1" customWidth="1"/>
    <col min="12" max="12" width="5.75" style="69" customWidth="1"/>
    <col min="13" max="16384" width="10.75" style="69"/>
  </cols>
  <sheetData>
    <row r="1" spans="1:18" ht="15.6" x14ac:dyDescent="0.3">
      <c r="A1" s="67" t="s">
        <v>76</v>
      </c>
      <c r="B1" s="68"/>
      <c r="C1" s="68"/>
      <c r="D1" s="68"/>
      <c r="E1" s="68"/>
      <c r="F1" s="68"/>
      <c r="G1" s="68"/>
      <c r="H1" s="68"/>
      <c r="I1" s="68"/>
      <c r="J1" s="68"/>
      <c r="K1" s="68"/>
      <c r="L1" s="68"/>
      <c r="M1" s="68"/>
      <c r="N1" s="68"/>
      <c r="O1" s="68"/>
      <c r="P1" s="68"/>
      <c r="Q1" s="68"/>
      <c r="R1" s="68"/>
    </row>
    <row r="2" spans="1:18" s="117" customFormat="1" ht="20.100000000000001" customHeight="1" x14ac:dyDescent="0.3">
      <c r="A2" s="70" t="s">
        <v>350</v>
      </c>
      <c r="B2" s="116"/>
      <c r="C2" s="116"/>
      <c r="D2" s="116"/>
      <c r="E2" s="116"/>
      <c r="F2" s="116"/>
      <c r="G2" s="116"/>
      <c r="H2" s="116"/>
      <c r="I2" s="116"/>
      <c r="J2" s="116"/>
      <c r="K2" s="116"/>
      <c r="L2" s="116"/>
      <c r="M2" s="116"/>
      <c r="N2" s="116"/>
      <c r="O2" s="116"/>
      <c r="P2" s="116"/>
      <c r="Q2" s="116"/>
      <c r="R2" s="116"/>
    </row>
    <row r="3" spans="1:18" ht="16.5" customHeight="1" x14ac:dyDescent="0.3">
      <c r="A3" s="71" t="s">
        <v>229</v>
      </c>
      <c r="B3" s="72"/>
      <c r="C3" s="72"/>
      <c r="D3" s="72"/>
      <c r="E3" s="72"/>
      <c r="F3" s="72"/>
      <c r="G3" s="72"/>
      <c r="H3" s="72"/>
      <c r="I3" s="72"/>
      <c r="J3" s="72"/>
      <c r="K3" s="72"/>
      <c r="L3" s="72"/>
      <c r="M3" s="72"/>
      <c r="N3" s="72"/>
      <c r="O3" s="72"/>
      <c r="P3" s="72"/>
      <c r="Q3" s="72"/>
      <c r="R3" s="72"/>
    </row>
    <row r="6" spans="1:18" ht="16.5" customHeight="1" x14ac:dyDescent="0.3">
      <c r="B6" s="74"/>
      <c r="C6" s="74" t="s">
        <v>334</v>
      </c>
      <c r="D6" s="74"/>
      <c r="E6" s="74"/>
      <c r="F6" s="74"/>
      <c r="G6" s="74"/>
      <c r="H6" s="74"/>
      <c r="I6" s="74"/>
      <c r="J6" s="74"/>
      <c r="K6" s="74"/>
      <c r="M6" s="74" t="s">
        <v>336</v>
      </c>
      <c r="N6" s="74"/>
      <c r="O6" s="74"/>
      <c r="P6" s="74"/>
      <c r="Q6" s="74"/>
      <c r="R6" s="74"/>
    </row>
    <row r="7" spans="1:18" ht="5.25" customHeight="1" x14ac:dyDescent="0.3"/>
    <row r="8" spans="1:18" ht="16.5" customHeight="1" x14ac:dyDescent="0.3">
      <c r="B8" s="118"/>
      <c r="C8" s="118"/>
      <c r="E8" s="119" t="s">
        <v>149</v>
      </c>
      <c r="F8" s="119" t="s">
        <v>150</v>
      </c>
      <c r="G8" s="119" t="s">
        <v>239</v>
      </c>
      <c r="H8" s="119" t="s">
        <v>239</v>
      </c>
      <c r="I8" s="119" t="s">
        <v>335</v>
      </c>
      <c r="J8" s="119" t="s">
        <v>148</v>
      </c>
      <c r="K8" s="119" t="s">
        <v>151</v>
      </c>
      <c r="M8" s="501" t="s">
        <v>337</v>
      </c>
      <c r="N8" s="106"/>
      <c r="O8" s="106"/>
      <c r="P8" s="106"/>
      <c r="Q8" s="106"/>
      <c r="R8" s="106"/>
    </row>
    <row r="9" spans="1:18" ht="16.5" customHeight="1" x14ac:dyDescent="0.3">
      <c r="B9" s="120" t="s">
        <v>147</v>
      </c>
      <c r="C9" s="121" t="s">
        <v>143</v>
      </c>
      <c r="D9" s="122" t="s">
        <v>158</v>
      </c>
      <c r="E9" s="123" t="s">
        <v>153</v>
      </c>
      <c r="F9" s="123" t="s">
        <v>154</v>
      </c>
      <c r="G9" s="123" t="s">
        <v>154</v>
      </c>
      <c r="H9" s="123" t="s">
        <v>402</v>
      </c>
      <c r="I9" s="123" t="s">
        <v>77</v>
      </c>
      <c r="J9" s="123" t="s">
        <v>653</v>
      </c>
      <c r="K9" s="123" t="s">
        <v>152</v>
      </c>
      <c r="M9" s="124"/>
      <c r="N9" s="124"/>
      <c r="O9" s="124"/>
      <c r="P9" s="124"/>
      <c r="Q9" s="125" t="s">
        <v>195</v>
      </c>
      <c r="R9" s="125" t="s">
        <v>276</v>
      </c>
    </row>
    <row r="10" spans="1:18" ht="16.5" customHeight="1" x14ac:dyDescent="0.3">
      <c r="B10" s="127" t="s">
        <v>254</v>
      </c>
      <c r="C10" s="232" t="str">
        <f>Comps!B13</f>
        <v>Walmart Inc.</v>
      </c>
      <c r="D10" s="127" t="s">
        <v>166</v>
      </c>
      <c r="E10" s="443">
        <f>Comps!G13</f>
        <v>63702</v>
      </c>
      <c r="F10" s="443">
        <f>Comps!F13</f>
        <v>375499.31244000001</v>
      </c>
      <c r="G10" s="128">
        <f t="shared" ref="G10:G27" si="0">E10/F10</f>
        <v>0.16964611622339193</v>
      </c>
      <c r="H10" s="128">
        <f>E10/(F10+E10)</f>
        <v>0.14504055018893514</v>
      </c>
      <c r="I10" s="302">
        <v>0.32200000000000001</v>
      </c>
      <c r="J10" s="129">
        <v>0.47127999999999998</v>
      </c>
      <c r="K10" s="130">
        <f t="shared" ref="K10:K27" si="1">J10/(1+(1-I10)*G10)</f>
        <v>0.42266503898244318</v>
      </c>
      <c r="M10" s="69" t="s">
        <v>339</v>
      </c>
      <c r="Q10" s="439">
        <f>+'Control Panel'!F36</f>
        <v>0.05</v>
      </c>
      <c r="R10" s="439">
        <f>+'Control Panel'!G36</f>
        <v>0.1</v>
      </c>
    </row>
    <row r="11" spans="1:18" ht="16.5" customHeight="1" x14ac:dyDescent="0.3">
      <c r="B11" s="127" t="s">
        <v>253</v>
      </c>
      <c r="C11" s="232" t="str">
        <f>Comps!B14</f>
        <v>The Home Depot, Inc.</v>
      </c>
      <c r="D11" s="127" t="s">
        <v>166</v>
      </c>
      <c r="E11" s="443">
        <f>Comps!G14</f>
        <v>43422</v>
      </c>
      <c r="F11" s="443">
        <f>Comps!F14</f>
        <v>311425.20292000001</v>
      </c>
      <c r="G11" s="128">
        <f t="shared" si="0"/>
        <v>0.13942994848478718</v>
      </c>
      <c r="H11" s="128">
        <f t="shared" ref="H11:H27" si="2">E11/(F11+E11)</f>
        <v>0.12236816196572768</v>
      </c>
      <c r="I11" s="302">
        <v>0.32200000000000001</v>
      </c>
      <c r="J11" s="129">
        <v>1.01098</v>
      </c>
      <c r="K11" s="130">
        <f t="shared" si="1"/>
        <v>0.92366290781830651</v>
      </c>
      <c r="M11" s="69" t="s">
        <v>340</v>
      </c>
      <c r="Q11" s="131">
        <f>1-Q10</f>
        <v>0.95</v>
      </c>
      <c r="R11" s="131">
        <f>1-R10</f>
        <v>0.9</v>
      </c>
    </row>
    <row r="12" spans="1:18" ht="16.5" customHeight="1" x14ac:dyDescent="0.3">
      <c r="B12" s="127" t="s">
        <v>252</v>
      </c>
      <c r="C12" s="232" t="str">
        <f>Comps!B15</f>
        <v>Lowe's Companies, Inc.</v>
      </c>
      <c r="D12" s="127" t="s">
        <v>166</v>
      </c>
      <c r="E12" s="443">
        <f>Comps!G15</f>
        <v>26211</v>
      </c>
      <c r="F12" s="443">
        <f>Comps!F15</f>
        <v>131995.55592000001</v>
      </c>
      <c r="G12" s="128">
        <f t="shared" si="0"/>
        <v>0.19857486729239571</v>
      </c>
      <c r="H12" s="128">
        <f t="shared" si="2"/>
        <v>0.16567581442866416</v>
      </c>
      <c r="I12" s="302">
        <v>0.32200000000000001</v>
      </c>
      <c r="J12" s="129">
        <v>1.3357300000000001</v>
      </c>
      <c r="K12" s="130">
        <f t="shared" si="1"/>
        <v>1.177234493684957</v>
      </c>
      <c r="M12" s="69" t="s">
        <v>341</v>
      </c>
      <c r="Q12" s="583">
        <f>Q10/Q11</f>
        <v>5.2631578947368425E-2</v>
      </c>
      <c r="R12" s="583">
        <f>R10/R11</f>
        <v>0.11111111111111112</v>
      </c>
    </row>
    <row r="13" spans="1:18" ht="16.5" customHeight="1" x14ac:dyDescent="0.3">
      <c r="B13" s="127" t="s">
        <v>251</v>
      </c>
      <c r="C13" s="232" t="str">
        <f>Comps!B16</f>
        <v>Target Corporation</v>
      </c>
      <c r="D13" s="127" t="s">
        <v>166</v>
      </c>
      <c r="E13" s="443">
        <f>Comps!G16</f>
        <v>15109</v>
      </c>
      <c r="F13" s="443">
        <f>Comps!F16</f>
        <v>95746.137521500015</v>
      </c>
      <c r="G13" s="128">
        <f t="shared" si="0"/>
        <v>0.15780271028277501</v>
      </c>
      <c r="H13" s="128">
        <f t="shared" si="2"/>
        <v>0.13629499126343744</v>
      </c>
      <c r="I13" s="302">
        <v>0.32200000000000001</v>
      </c>
      <c r="J13" s="129">
        <v>0.99399000000000004</v>
      </c>
      <c r="K13" s="130">
        <f t="shared" si="1"/>
        <v>0.89792119773377832</v>
      </c>
      <c r="M13" s="502" t="s">
        <v>346</v>
      </c>
      <c r="N13" s="106"/>
      <c r="O13" s="106"/>
      <c r="P13" s="106"/>
      <c r="Q13" s="106"/>
      <c r="R13" s="106"/>
    </row>
    <row r="14" spans="1:18" ht="16.5" customHeight="1" x14ac:dyDescent="0.3">
      <c r="B14" s="127" t="s">
        <v>259</v>
      </c>
      <c r="C14" s="232" t="str">
        <f>Comps!B23</f>
        <v>Alibaba Group Holding Limited</v>
      </c>
      <c r="D14" s="127" t="s">
        <v>162</v>
      </c>
      <c r="E14" s="443">
        <f>Comps!G23</f>
        <v>22676.377759999999</v>
      </c>
      <c r="F14" s="443">
        <f>Comps!F23</f>
        <v>666540.62970659998</v>
      </c>
      <c r="G14" s="128">
        <f t="shared" si="0"/>
        <v>3.4020998494843087E-2</v>
      </c>
      <c r="H14" s="128">
        <f t="shared" si="2"/>
        <v>3.2901651460043112E-2</v>
      </c>
      <c r="I14" s="302">
        <v>0.25</v>
      </c>
      <c r="J14" s="129">
        <v>0.88324000000000003</v>
      </c>
      <c r="K14" s="130">
        <f t="shared" si="1"/>
        <v>0.86126419898695195</v>
      </c>
      <c r="M14" s="69" t="s">
        <v>156</v>
      </c>
      <c r="R14" s="442">
        <f>+Comps!F10</f>
        <v>1593444.2720000001</v>
      </c>
    </row>
    <row r="15" spans="1:18" ht="16.5" customHeight="1" x14ac:dyDescent="0.3">
      <c r="B15" s="127" t="s">
        <v>257</v>
      </c>
      <c r="C15" s="232" t="str">
        <f>Comps!B24</f>
        <v>eBay Inc.</v>
      </c>
      <c r="D15" s="127" t="s">
        <v>166</v>
      </c>
      <c r="E15" s="443">
        <f>Comps!G24</f>
        <v>8317</v>
      </c>
      <c r="F15" s="443">
        <f>Comps!F24</f>
        <v>42647.22</v>
      </c>
      <c r="G15" s="128">
        <f t="shared" si="0"/>
        <v>0.19501857330911604</v>
      </c>
      <c r="H15" s="128">
        <f t="shared" si="2"/>
        <v>0.1631929224071319</v>
      </c>
      <c r="I15" s="302">
        <v>0.32200000000000001</v>
      </c>
      <c r="J15" s="129">
        <v>1.1569400000000001</v>
      </c>
      <c r="K15" s="130">
        <f t="shared" si="1"/>
        <v>1.0218308727062211</v>
      </c>
      <c r="M15" s="69" t="s">
        <v>347</v>
      </c>
      <c r="R15" s="441">
        <f>Comps!G10</f>
        <v>101229</v>
      </c>
    </row>
    <row r="16" spans="1:18" ht="16.5" customHeight="1" x14ac:dyDescent="0.3">
      <c r="B16" s="127" t="s">
        <v>258</v>
      </c>
      <c r="C16" s="232" t="str">
        <f>Comps!B25</f>
        <v>Etsy, Inc.</v>
      </c>
      <c r="D16" s="127" t="s">
        <v>166</v>
      </c>
      <c r="E16" s="443">
        <f>Comps!G25</f>
        <v>-206.38200000000006</v>
      </c>
      <c r="F16" s="443">
        <f>Comps!F25</f>
        <v>31155.716525257354</v>
      </c>
      <c r="G16" s="128">
        <f>E16/F16</f>
        <v>-6.6242097122911634E-3</v>
      </c>
      <c r="H16" s="128">
        <f t="shared" si="2"/>
        <v>-6.6683824762556482E-3</v>
      </c>
      <c r="I16" s="302">
        <v>0.32200000000000001</v>
      </c>
      <c r="J16" s="129">
        <v>1.6172200000000001</v>
      </c>
      <c r="K16" s="130">
        <f t="shared" si="1"/>
        <v>1.6245160495252799</v>
      </c>
      <c r="M16" s="69" t="s">
        <v>341</v>
      </c>
      <c r="R16" s="276">
        <f>+R15/R14</f>
        <v>6.3528421908940147E-2</v>
      </c>
    </row>
    <row r="17" spans="2:19" ht="16.5" customHeight="1" x14ac:dyDescent="0.3">
      <c r="B17" s="127" t="s">
        <v>287</v>
      </c>
      <c r="C17" s="232" t="str">
        <f>Comps!B32</f>
        <v>Alphabet Inc.</v>
      </c>
      <c r="D17" s="127" t="s">
        <v>166</v>
      </c>
      <c r="E17" s="443">
        <f>Comps!G32</f>
        <v>27872</v>
      </c>
      <c r="F17" s="443">
        <f>Comps!F32</f>
        <v>1415764.0500702399</v>
      </c>
      <c r="G17" s="128">
        <f t="shared" si="0"/>
        <v>1.9686896272452455E-2</v>
      </c>
      <c r="H17" s="128">
        <f t="shared" si="2"/>
        <v>1.930680520110584E-2</v>
      </c>
      <c r="I17" s="302">
        <v>0.32200000000000001</v>
      </c>
      <c r="J17" s="129">
        <v>0.99927999999999995</v>
      </c>
      <c r="K17" s="130">
        <f t="shared" si="1"/>
        <v>0.98611758288379436</v>
      </c>
    </row>
    <row r="18" spans="2:19" ht="16.5" customHeight="1" x14ac:dyDescent="0.3">
      <c r="B18" s="127" t="s">
        <v>262</v>
      </c>
      <c r="C18" s="232" t="str">
        <f>Comps!B33</f>
        <v>Facebook, Inc.</v>
      </c>
      <c r="D18" s="127" t="s">
        <v>166</v>
      </c>
      <c r="E18" s="443">
        <f>Comps!G33</f>
        <v>11177</v>
      </c>
      <c r="F18" s="443">
        <f>Comps!F33</f>
        <v>857349.60827000008</v>
      </c>
      <c r="G18" s="128">
        <f t="shared" si="0"/>
        <v>1.3036688758222529E-2</v>
      </c>
      <c r="H18" s="128">
        <f t="shared" si="2"/>
        <v>1.2868920645117864E-2</v>
      </c>
      <c r="I18" s="302">
        <v>0.32200000000000001</v>
      </c>
      <c r="J18" s="129">
        <v>1.25265</v>
      </c>
      <c r="K18" s="130">
        <f t="shared" si="1"/>
        <v>1.2416749899999879</v>
      </c>
      <c r="M18" s="502" t="s">
        <v>295</v>
      </c>
      <c r="N18" s="106"/>
      <c r="O18" s="106"/>
      <c r="P18" s="106"/>
      <c r="Q18" s="106"/>
      <c r="R18" s="106"/>
    </row>
    <row r="19" spans="2:19" ht="16.5" customHeight="1" x14ac:dyDescent="0.3">
      <c r="B19" s="127" t="s">
        <v>261</v>
      </c>
      <c r="C19" s="232" t="str">
        <f>Comps!B34</f>
        <v>Twitter, Inc.</v>
      </c>
      <c r="D19" s="127" t="s">
        <v>166</v>
      </c>
      <c r="E19" s="443">
        <f>Comps!G34</f>
        <v>2644.4559999999997</v>
      </c>
      <c r="F19" s="443">
        <f>Comps!F34</f>
        <v>58620.605461727697</v>
      </c>
      <c r="G19" s="128">
        <f t="shared" si="0"/>
        <v>4.5111373026102838E-2</v>
      </c>
      <c r="H19" s="128">
        <f t="shared" si="2"/>
        <v>4.3164177704318345E-2</v>
      </c>
      <c r="I19" s="302">
        <v>0.32200000000000001</v>
      </c>
      <c r="J19" s="129">
        <v>0.81044000000000005</v>
      </c>
      <c r="K19" s="130">
        <f t="shared" si="1"/>
        <v>0.78638792358244203</v>
      </c>
      <c r="M19" s="69" t="s">
        <v>342</v>
      </c>
      <c r="Q19" s="439">
        <f>+'Control Panel'!$F$22</f>
        <v>2.9971907651739387E-2</v>
      </c>
      <c r="R19" s="439">
        <f>+'Control Panel'!$F$22</f>
        <v>2.9971907651739387E-2</v>
      </c>
    </row>
    <row r="20" spans="2:19" ht="16.5" customHeight="1" x14ac:dyDescent="0.3">
      <c r="B20" s="127" t="s">
        <v>265</v>
      </c>
      <c r="C20" s="232" t="str">
        <f>Comps!B41</f>
        <v>salesforce.com, inc.</v>
      </c>
      <c r="D20" s="127" t="s">
        <v>166</v>
      </c>
      <c r="E20" s="443">
        <f>Comps!G41</f>
        <v>6413</v>
      </c>
      <c r="F20" s="443">
        <f>Comps!F41</f>
        <v>204522.4</v>
      </c>
      <c r="G20" s="128">
        <f t="shared" si="0"/>
        <v>3.1355978611633736E-2</v>
      </c>
      <c r="H20" s="128">
        <f t="shared" si="2"/>
        <v>3.0402673045870916E-2</v>
      </c>
      <c r="I20" s="302">
        <v>0.32200000000000001</v>
      </c>
      <c r="J20" s="129">
        <v>1.11138</v>
      </c>
      <c r="K20" s="130">
        <f t="shared" si="1"/>
        <v>1.0882446228693741</v>
      </c>
      <c r="M20" s="124" t="s">
        <v>77</v>
      </c>
      <c r="N20" s="124"/>
      <c r="O20" s="124"/>
      <c r="P20" s="124"/>
      <c r="Q20" s="440">
        <f>+_TaxRate</f>
        <v>0.32200000000000001</v>
      </c>
      <c r="R20" s="440">
        <f>+_TaxRate</f>
        <v>0.32200000000000001</v>
      </c>
    </row>
    <row r="21" spans="2:19" ht="16.5" customHeight="1" x14ac:dyDescent="0.3">
      <c r="B21" s="127" t="s">
        <v>263</v>
      </c>
      <c r="C21" s="232" t="str">
        <f>Comps!B42</f>
        <v>Oracle Corporation</v>
      </c>
      <c r="D21" s="127" t="s">
        <v>166</v>
      </c>
      <c r="E21" s="443">
        <f>Comps!G42</f>
        <v>69299</v>
      </c>
      <c r="F21" s="443">
        <f>Comps!F42</f>
        <v>193280.42</v>
      </c>
      <c r="G21" s="128">
        <f t="shared" si="0"/>
        <v>0.35854123247455688</v>
      </c>
      <c r="H21" s="128">
        <f t="shared" si="2"/>
        <v>0.26391634195855862</v>
      </c>
      <c r="I21" s="302">
        <v>0.32200000000000001</v>
      </c>
      <c r="J21" s="129">
        <v>0.78769</v>
      </c>
      <c r="K21" s="130">
        <f t="shared" si="1"/>
        <v>0.63365435685963967</v>
      </c>
      <c r="M21" s="112" t="s">
        <v>344</v>
      </c>
      <c r="N21" s="112"/>
      <c r="O21" s="112"/>
      <c r="P21" s="112"/>
      <c r="Q21" s="133">
        <f>+Q19*(1-Q20)</f>
        <v>2.0320953387879304E-2</v>
      </c>
      <c r="R21" s="133">
        <f>+R19*(1-R20)</f>
        <v>2.0320953387879304E-2</v>
      </c>
    </row>
    <row r="22" spans="2:19" ht="16.5" customHeight="1" x14ac:dyDescent="0.3">
      <c r="B22" s="127" t="s">
        <v>320</v>
      </c>
      <c r="C22" s="232" t="str">
        <f>Comps!B43</f>
        <v>SAP SE</v>
      </c>
      <c r="D22" s="127" t="s">
        <v>164</v>
      </c>
      <c r="E22" s="443">
        <f>Comps!G43</f>
        <v>18914.984710000001</v>
      </c>
      <c r="F22" s="443">
        <f>Comps!F43</f>
        <v>147559.42229339117</v>
      </c>
      <c r="G22" s="128">
        <f t="shared" si="0"/>
        <v>0.12818554326128692</v>
      </c>
      <c r="H22" s="128">
        <f t="shared" si="2"/>
        <v>0.11362097664426397</v>
      </c>
      <c r="I22" s="302">
        <v>0.29902000000000001</v>
      </c>
      <c r="J22" s="129">
        <v>0.94703999999999999</v>
      </c>
      <c r="K22" s="130">
        <f t="shared" si="1"/>
        <v>0.86895923189991076</v>
      </c>
    </row>
    <row r="23" spans="2:19" ht="16.5" customHeight="1" x14ac:dyDescent="0.3">
      <c r="B23" s="127" t="s">
        <v>267</v>
      </c>
      <c r="C23" s="232" t="str">
        <f>Comps!B44</f>
        <v>VMware, Inc.</v>
      </c>
      <c r="D23" s="127" t="s">
        <v>166</v>
      </c>
      <c r="E23" s="443">
        <f>Comps!G44</f>
        <v>5878</v>
      </c>
      <c r="F23" s="443">
        <f>Comps!F44</f>
        <v>64159.961759999984</v>
      </c>
      <c r="G23" s="128">
        <f t="shared" si="0"/>
        <v>9.1614767820273113E-2</v>
      </c>
      <c r="H23" s="128">
        <f>E23/(F23+E23)</f>
        <v>8.3925914636725454E-2</v>
      </c>
      <c r="I23" s="302">
        <v>0.32200000000000001</v>
      </c>
      <c r="J23" s="129">
        <v>0.94062999999999997</v>
      </c>
      <c r="K23" s="130">
        <f t="shared" si="1"/>
        <v>0.88561988671752057</v>
      </c>
      <c r="M23" s="502" t="s">
        <v>345</v>
      </c>
      <c r="N23" s="106"/>
      <c r="O23" s="106"/>
      <c r="P23" s="106"/>
      <c r="Q23" s="106"/>
      <c r="R23" s="106"/>
    </row>
    <row r="24" spans="2:19" ht="16.5" customHeight="1" x14ac:dyDescent="0.3">
      <c r="B24" s="127" t="s">
        <v>272</v>
      </c>
      <c r="C24" s="232" t="str">
        <f>Comps!B51</f>
        <v>Netflix, Inc.</v>
      </c>
      <c r="D24" s="127" t="s">
        <v>166</v>
      </c>
      <c r="E24" s="443">
        <f>Comps!G51</f>
        <v>18510.826000000001</v>
      </c>
      <c r="F24" s="443">
        <f>Comps!F51</f>
        <v>233754.11953225997</v>
      </c>
      <c r="G24" s="128">
        <f t="shared" si="0"/>
        <v>7.918930385928602E-2</v>
      </c>
      <c r="H24" s="128">
        <f t="shared" si="2"/>
        <v>7.3378510680283213E-2</v>
      </c>
      <c r="I24" s="302">
        <v>0.32200000000000001</v>
      </c>
      <c r="J24" s="129">
        <v>0.82816999999999996</v>
      </c>
      <c r="K24" s="130">
        <f t="shared" si="1"/>
        <v>0.78597094635904929</v>
      </c>
      <c r="M24" s="69" t="s">
        <v>165</v>
      </c>
      <c r="Q24" s="439">
        <f>+'Control Panel'!F31</f>
        <v>2.3599999999999999E-2</v>
      </c>
      <c r="R24" s="439">
        <f>+'Control Panel'!G31</f>
        <v>2.3599999999999999E-2</v>
      </c>
      <c r="S24" s="113"/>
    </row>
    <row r="25" spans="2:19" ht="16.5" customHeight="1" x14ac:dyDescent="0.3">
      <c r="B25" s="127" t="s">
        <v>270</v>
      </c>
      <c r="C25" s="232" t="str">
        <f>Comps!B52</f>
        <v>Spotify Technology S.A.</v>
      </c>
      <c r="D25" s="127" t="s">
        <v>288</v>
      </c>
      <c r="E25" s="443">
        <f>Comps!G52</f>
        <v>743.73089000000004</v>
      </c>
      <c r="F25" s="443">
        <f>Comps!F52</f>
        <v>53986.366357960003</v>
      </c>
      <c r="G25" s="128">
        <f t="shared" si="0"/>
        <v>1.377627242160818E-2</v>
      </c>
      <c r="H25" s="128">
        <f t="shared" si="2"/>
        <v>1.3589065749882652E-2</v>
      </c>
      <c r="I25" s="302">
        <v>0.26438</v>
      </c>
      <c r="J25" s="129">
        <v>1.6309199999999999</v>
      </c>
      <c r="K25" s="130">
        <f t="shared" si="1"/>
        <v>1.6145579062699063</v>
      </c>
      <c r="M25" s="69" t="s">
        <v>291</v>
      </c>
      <c r="Q25" s="439">
        <f>+'Control Panel'!F32</f>
        <v>4.5600000000000002E-2</v>
      </c>
      <c r="R25" s="439">
        <f>+'Control Panel'!G32</f>
        <v>4.5600000000000002E-2</v>
      </c>
      <c r="S25" s="113"/>
    </row>
    <row r="26" spans="2:19" ht="16.5" customHeight="1" x14ac:dyDescent="0.3">
      <c r="B26" s="127" t="s">
        <v>269</v>
      </c>
      <c r="C26" s="232" t="str">
        <f>Comps!B53</f>
        <v>Roku, Inc.</v>
      </c>
      <c r="D26" s="127" t="s">
        <v>166</v>
      </c>
      <c r="E26" s="443">
        <f>Comps!G53</f>
        <v>438.32499999999999</v>
      </c>
      <c r="F26" s="443">
        <f>Comps!F53</f>
        <v>49187.79402999999</v>
      </c>
      <c r="G26" s="128">
        <f t="shared" si="0"/>
        <v>8.9112554983185946E-3</v>
      </c>
      <c r="H26" s="128">
        <f t="shared" si="2"/>
        <v>8.8325464204650726E-3</v>
      </c>
      <c r="I26" s="302">
        <v>0.32200000000000001</v>
      </c>
      <c r="J26" s="129">
        <v>1.8938600000000001</v>
      </c>
      <c r="K26" s="130">
        <f t="shared" si="1"/>
        <v>1.8824863352735246</v>
      </c>
      <c r="M26" s="69" t="s">
        <v>293</v>
      </c>
      <c r="Q26" s="439">
        <f>+'Control Panel'!F33</f>
        <v>0</v>
      </c>
      <c r="R26" s="439">
        <f>+'Control Panel'!G33</f>
        <v>0</v>
      </c>
      <c r="S26" s="113"/>
    </row>
    <row r="27" spans="2:19" ht="16.5" customHeight="1" x14ac:dyDescent="0.3">
      <c r="B27" s="134" t="s">
        <v>271</v>
      </c>
      <c r="C27" s="232" t="str">
        <f>Comps!B54</f>
        <v>Sirius XM Holdings Inc.</v>
      </c>
      <c r="D27" s="134" t="s">
        <v>166</v>
      </c>
      <c r="E27" s="444">
        <f>Comps!G54</f>
        <v>8968</v>
      </c>
      <c r="F27" s="444">
        <f>Comps!F54</f>
        <v>25372.590199999999</v>
      </c>
      <c r="G27" s="135">
        <f t="shared" si="0"/>
        <v>0.35345228568741083</v>
      </c>
      <c r="H27" s="128">
        <f t="shared" si="2"/>
        <v>0.26114868579049644</v>
      </c>
      <c r="I27" s="303">
        <v>0.32200000000000001</v>
      </c>
      <c r="J27" s="136">
        <v>1.1033599999999999</v>
      </c>
      <c r="K27" s="137">
        <f t="shared" si="1"/>
        <v>0.89006439105600643</v>
      </c>
      <c r="M27" s="69" t="s">
        <v>159</v>
      </c>
      <c r="Q27" s="439">
        <f>+'Control Panel'!F34</f>
        <v>0</v>
      </c>
      <c r="R27" s="439">
        <f>+'Control Panel'!G34</f>
        <v>0</v>
      </c>
      <c r="S27" s="113"/>
    </row>
    <row r="28" spans="2:19" ht="16.5" customHeight="1" x14ac:dyDescent="0.3">
      <c r="B28" s="126"/>
      <c r="C28" s="396" t="s">
        <v>163</v>
      </c>
      <c r="D28" s="139"/>
      <c r="E28" s="139"/>
      <c r="F28" s="139"/>
      <c r="G28" s="140">
        <f>AVERAGE(G10:G27)</f>
        <v>0.11281836678145389</v>
      </c>
      <c r="H28" s="233">
        <f>AVERAGE(H10:H27)</f>
        <v>9.3497795984154017E-2</v>
      </c>
      <c r="I28" s="140">
        <f>AVERAGE(I10:I27)</f>
        <v>0.31352222222222226</v>
      </c>
      <c r="J28" s="141">
        <f>AVERAGE(J10:J27)</f>
        <v>1.0986</v>
      </c>
      <c r="K28" s="141">
        <f>AVERAGE(K10:K27)</f>
        <v>1.0329351629560608</v>
      </c>
      <c r="M28" s="69" t="s">
        <v>294</v>
      </c>
      <c r="Q28" s="439">
        <f>+'Control Panel'!F35</f>
        <v>0.01</v>
      </c>
      <c r="R28" s="439">
        <f>+'Control Panel'!G35</f>
        <v>0.02</v>
      </c>
      <c r="S28" s="113"/>
    </row>
    <row r="29" spans="2:19" ht="16.5" customHeight="1" x14ac:dyDescent="0.3">
      <c r="B29" s="126"/>
      <c r="C29" s="138" t="s">
        <v>177</v>
      </c>
      <c r="D29" s="139"/>
      <c r="E29" s="139"/>
      <c r="F29" s="139"/>
      <c r="G29" s="140">
        <f>MEDIAN(G10:G27)</f>
        <v>8.5402035839779566E-2</v>
      </c>
      <c r="H29" s="140">
        <f>MEDIAN(H10:H27)</f>
        <v>7.8652212658504334E-2</v>
      </c>
      <c r="I29" s="140">
        <f>MEDIAN(I10:I27)</f>
        <v>0.32200000000000001</v>
      </c>
      <c r="J29" s="141">
        <f>MEDIAN(J10:J27)</f>
        <v>1.0051299999999999</v>
      </c>
      <c r="K29" s="141">
        <f>MEDIAN(K10:K27)</f>
        <v>0.91079205277604247</v>
      </c>
      <c r="M29" s="124" t="s">
        <v>292</v>
      </c>
      <c r="N29" s="124"/>
      <c r="O29" s="124"/>
      <c r="P29" s="124"/>
      <c r="Q29" s="584">
        <f>+$K$29*(1+Q12*(1-Q20))</f>
        <v>0.94329294813299802</v>
      </c>
      <c r="R29" s="584">
        <f>+$K$29*(1+R12*(1-R20))</f>
        <v>0.97940505408517098</v>
      </c>
    </row>
    <row r="30" spans="2:19" ht="16.5" customHeight="1" x14ac:dyDescent="0.3">
      <c r="M30" s="112" t="s">
        <v>345</v>
      </c>
      <c r="N30" s="112"/>
      <c r="O30" s="112"/>
      <c r="P30" s="112"/>
      <c r="Q30" s="142">
        <f>(Q25*Q29)+Q24+Q26+Q27+Q28</f>
        <v>7.6614158434864701E-2</v>
      </c>
      <c r="R30" s="142">
        <f>(R25*R29)+R24+R26+R27+R28</f>
        <v>8.8260870466283808E-2</v>
      </c>
    </row>
    <row r="31" spans="2:19" ht="16.5" customHeight="1" x14ac:dyDescent="0.3">
      <c r="C31" s="112" t="s">
        <v>168</v>
      </c>
      <c r="D31" s="301"/>
      <c r="E31" s="301"/>
      <c r="F31" s="301"/>
      <c r="G31" s="301"/>
      <c r="H31" s="301"/>
      <c r="I31" s="301"/>
      <c r="J31" s="301"/>
      <c r="K31" s="301"/>
    </row>
    <row r="32" spans="2:19" ht="16.5" customHeight="1" x14ac:dyDescent="0.3">
      <c r="C32" s="171" t="s">
        <v>668</v>
      </c>
      <c r="K32" s="152"/>
      <c r="M32" s="143" t="s">
        <v>167</v>
      </c>
      <c r="N32" s="143"/>
      <c r="O32" s="143"/>
      <c r="P32" s="143"/>
      <c r="Q32" s="237">
        <f>(Q30*Q11)+(Q10*Q21)</f>
        <v>7.3799498182515424E-2</v>
      </c>
      <c r="R32" s="237">
        <f>(R30*R11)+(R10*R21)</f>
        <v>8.1466878758443356E-2</v>
      </c>
    </row>
    <row r="33" spans="11:18" ht="16.5" customHeight="1" thickBot="1" x14ac:dyDescent="0.35">
      <c r="K33" s="300"/>
      <c r="M33" s="235" t="s">
        <v>296</v>
      </c>
      <c r="N33" s="235"/>
      <c r="O33" s="235"/>
      <c r="P33" s="235"/>
      <c r="Q33" s="235"/>
      <c r="R33" s="236">
        <f>ROUND(AVERAGE(Q32:R32),2)</f>
        <v>0.08</v>
      </c>
    </row>
  </sheetData>
  <pageMargins left="0.7" right="0.7" top="0.75" bottom="0.75" header="0.3" footer="0.3"/>
  <pageSetup scale="48"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098EF-E30B-4F07-A14C-68BDA322C5BA}">
  <dimension ref="A1:Q75"/>
  <sheetViews>
    <sheetView showGridLines="0" zoomScaleNormal="100" workbookViewId="0"/>
  </sheetViews>
  <sheetFormatPr defaultColWidth="10.75" defaultRowHeight="13.8" outlineLevelRow="1" x14ac:dyDescent="0.25"/>
  <cols>
    <col min="1" max="1" width="3.375" customWidth="1"/>
    <col min="2" max="2" width="30.75" customWidth="1"/>
    <col min="5" max="5" width="1.75" customWidth="1"/>
    <col min="9" max="9" width="1.75" customWidth="1"/>
    <col min="10" max="10" width="10.75" customWidth="1"/>
    <col min="11" max="12" width="11" bestFit="1" customWidth="1"/>
    <col min="17" max="17" width="12.375" bestFit="1" customWidth="1"/>
  </cols>
  <sheetData>
    <row r="1" spans="1:13" s="69" customFormat="1" ht="15.6" x14ac:dyDescent="0.3">
      <c r="A1" s="67" t="s">
        <v>76</v>
      </c>
      <c r="B1" s="68"/>
      <c r="C1" s="68"/>
      <c r="D1" s="68"/>
      <c r="E1" s="68"/>
      <c r="F1" s="68"/>
      <c r="G1" s="68"/>
      <c r="H1" s="68"/>
      <c r="I1" s="68"/>
      <c r="J1" s="68"/>
      <c r="K1" s="68"/>
      <c r="L1" s="68"/>
    </row>
    <row r="2" spans="1:13" s="53" customFormat="1" ht="18" x14ac:dyDescent="0.25">
      <c r="A2" s="70" t="s">
        <v>388</v>
      </c>
      <c r="B2" s="70"/>
      <c r="C2" s="70"/>
      <c r="D2" s="70"/>
      <c r="E2" s="70"/>
      <c r="F2" s="70"/>
      <c r="G2" s="70"/>
      <c r="H2" s="70"/>
      <c r="I2" s="70"/>
      <c r="J2" s="70"/>
      <c r="K2" s="70"/>
      <c r="L2" s="70"/>
    </row>
    <row r="3" spans="1:13" s="69" customFormat="1" ht="15.6" x14ac:dyDescent="0.3">
      <c r="A3" s="66" t="s">
        <v>229</v>
      </c>
      <c r="B3" s="71"/>
      <c r="C3" s="72"/>
      <c r="D3" s="71"/>
      <c r="E3" s="71"/>
      <c r="F3" s="72"/>
      <c r="G3" s="72"/>
      <c r="H3" s="72"/>
      <c r="I3" s="72"/>
      <c r="J3" s="72"/>
      <c r="K3" s="72"/>
      <c r="L3" s="72"/>
    </row>
    <row r="6" spans="1:13" x14ac:dyDescent="0.25">
      <c r="D6" s="63" t="s">
        <v>368</v>
      </c>
      <c r="E6" s="62"/>
      <c r="F6" s="61" t="s">
        <v>389</v>
      </c>
      <c r="G6" s="61"/>
      <c r="H6" s="61"/>
      <c r="I6" s="62"/>
      <c r="J6" s="61" t="s">
        <v>391</v>
      </c>
      <c r="K6" s="61"/>
      <c r="L6" s="61"/>
    </row>
    <row r="7" spans="1:13" x14ac:dyDescent="0.25">
      <c r="D7" s="63" t="s">
        <v>119</v>
      </c>
      <c r="E7" s="63"/>
      <c r="F7" s="63" t="s">
        <v>195</v>
      </c>
      <c r="G7" s="63" t="s">
        <v>275</v>
      </c>
      <c r="H7" s="63" t="s">
        <v>276</v>
      </c>
      <c r="I7" s="63"/>
      <c r="J7" s="63" t="s">
        <v>195</v>
      </c>
      <c r="K7" s="63" t="s">
        <v>275</v>
      </c>
      <c r="L7" s="63" t="s">
        <v>276</v>
      </c>
    </row>
    <row r="8" spans="1:13" ht="5.25" customHeight="1" x14ac:dyDescent="0.25">
      <c r="F8" s="47"/>
      <c r="G8" s="47"/>
      <c r="H8" s="47"/>
      <c r="J8" s="47"/>
      <c r="K8" s="47"/>
      <c r="L8" s="47"/>
    </row>
    <row r="9" spans="1:13" x14ac:dyDescent="0.25">
      <c r="A9" s="293"/>
      <c r="B9" s="219" t="s">
        <v>117</v>
      </c>
      <c r="C9" s="219"/>
      <c r="D9" s="219"/>
      <c r="E9" s="219"/>
      <c r="F9" s="220"/>
      <c r="G9" s="220"/>
      <c r="H9" s="220"/>
      <c r="I9" s="219"/>
      <c r="J9" s="220"/>
      <c r="K9" s="220"/>
      <c r="L9" s="220"/>
      <c r="M9" s="290"/>
    </row>
    <row r="10" spans="1:13" x14ac:dyDescent="0.25">
      <c r="B10" t="s">
        <v>103</v>
      </c>
      <c r="D10" s="445">
        <f>+'Financial Statements'!H26</f>
        <v>240060.50332375269</v>
      </c>
      <c r="E10" s="23"/>
      <c r="F10" s="299"/>
      <c r="G10" s="299"/>
      <c r="H10" s="299"/>
      <c r="J10" s="47"/>
      <c r="K10" s="47"/>
      <c r="L10" s="47"/>
    </row>
    <row r="11" spans="1:13" x14ac:dyDescent="0.25">
      <c r="B11" t="s">
        <v>104</v>
      </c>
      <c r="D11" s="445">
        <f>+'Financial Statements'!H27</f>
        <v>17038.350000000002</v>
      </c>
      <c r="E11" s="23"/>
      <c r="F11" s="47"/>
      <c r="G11" s="47"/>
      <c r="H11" s="47"/>
      <c r="J11" s="47"/>
      <c r="K11" s="47"/>
      <c r="L11" s="47"/>
    </row>
    <row r="12" spans="1:13" s="1" customFormat="1" x14ac:dyDescent="0.25">
      <c r="B12" s="1" t="s">
        <v>390</v>
      </c>
      <c r="D12" s="340">
        <f>SUM(D10:D11)</f>
        <v>257098.8533237527</v>
      </c>
      <c r="E12" s="41"/>
      <c r="F12" s="446">
        <f>+Comps!$U$19</f>
        <v>0.76326429085722358</v>
      </c>
      <c r="G12" s="446">
        <f>+Comps!$U$17</f>
        <v>1.5657079285665256</v>
      </c>
      <c r="H12" s="446">
        <f>+Comps!$U$20</f>
        <v>2.6617860499255266</v>
      </c>
      <c r="J12" s="225">
        <f>+F12*$D$12</f>
        <v>196234.37396235944</v>
      </c>
      <c r="K12" s="225">
        <f>+G12*$D$12</f>
        <v>402541.71307436185</v>
      </c>
      <c r="L12" s="225">
        <f>+H12*$D$12</f>
        <v>684342.14122901403</v>
      </c>
    </row>
    <row r="13" spans="1:13" x14ac:dyDescent="0.25">
      <c r="D13" s="221"/>
      <c r="F13" s="223"/>
      <c r="G13" s="223"/>
      <c r="H13" s="223"/>
      <c r="J13" s="221"/>
      <c r="K13" s="221"/>
      <c r="L13" s="221"/>
    </row>
    <row r="14" spans="1:13" x14ac:dyDescent="0.25">
      <c r="B14" s="219" t="s">
        <v>118</v>
      </c>
      <c r="C14" s="219"/>
      <c r="D14" s="222"/>
      <c r="E14" s="219"/>
      <c r="F14" s="224"/>
      <c r="G14" s="224"/>
      <c r="H14" s="224"/>
      <c r="I14" s="219"/>
      <c r="J14" s="222"/>
      <c r="K14" s="222"/>
      <c r="L14" s="222"/>
    </row>
    <row r="15" spans="1:13" x14ac:dyDescent="0.25">
      <c r="B15" t="s">
        <v>105</v>
      </c>
      <c r="D15" s="445">
        <f>+'Financial Statements'!H28</f>
        <v>110265.2049812593</v>
      </c>
      <c r="F15" s="223"/>
      <c r="G15" s="223"/>
      <c r="H15" s="223"/>
      <c r="J15" s="221"/>
      <c r="K15" s="221"/>
      <c r="L15" s="221"/>
    </row>
    <row r="16" spans="1:13" s="1" customFormat="1" x14ac:dyDescent="0.25">
      <c r="B16" s="1" t="s">
        <v>392</v>
      </c>
      <c r="D16" s="340">
        <f>SUM(D15)</f>
        <v>110265.2049812593</v>
      </c>
      <c r="F16" s="446">
        <f>+Comps!$U$28</f>
        <v>4.1567456161423113</v>
      </c>
      <c r="G16" s="446">
        <f>+Comps!$U$26</f>
        <v>7.913264267383286</v>
      </c>
      <c r="H16" s="446">
        <f>+Comps!$U$29</f>
        <v>13.71726054595795</v>
      </c>
      <c r="J16" s="225">
        <f>+F16*$D$16</f>
        <v>458344.40741888294</v>
      </c>
      <c r="K16" s="225">
        <f>+G16*$D$16</f>
        <v>872557.70651389274</v>
      </c>
      <c r="L16" s="225">
        <f>+H16*$D$16</f>
        <v>1512536.5458813943</v>
      </c>
    </row>
    <row r="17" spans="2:12" x14ac:dyDescent="0.25">
      <c r="D17" s="221"/>
      <c r="F17" s="223"/>
      <c r="G17" s="223"/>
      <c r="H17" s="223"/>
      <c r="J17" s="221"/>
      <c r="K17" s="221"/>
      <c r="L17" s="221"/>
    </row>
    <row r="18" spans="2:12" x14ac:dyDescent="0.25">
      <c r="B18" s="219" t="s">
        <v>115</v>
      </c>
      <c r="C18" s="219"/>
      <c r="D18" s="222"/>
      <c r="E18" s="219"/>
      <c r="F18" s="224"/>
      <c r="G18" s="224"/>
      <c r="H18" s="224"/>
      <c r="I18" s="219"/>
      <c r="J18" s="222"/>
      <c r="K18" s="222"/>
      <c r="L18" s="222"/>
    </row>
    <row r="19" spans="2:12" x14ac:dyDescent="0.25">
      <c r="B19" t="s">
        <v>108</v>
      </c>
      <c r="D19" s="445">
        <f>+'Financial Statements'!H31</f>
        <v>35752.553334818054</v>
      </c>
      <c r="F19" s="223"/>
      <c r="G19" s="223"/>
      <c r="H19" s="223"/>
      <c r="J19" s="221"/>
      <c r="K19" s="221"/>
      <c r="L19" s="221"/>
    </row>
    <row r="20" spans="2:12" s="1" customFormat="1" x14ac:dyDescent="0.25">
      <c r="B20" s="1" t="s">
        <v>394</v>
      </c>
      <c r="D20" s="340">
        <f>SUM(D19)</f>
        <v>35752.553334818054</v>
      </c>
      <c r="F20" s="446">
        <f>+Comps!U37</f>
        <v>6.2847710010592825</v>
      </c>
      <c r="G20" s="446">
        <f>+Comps!$U$35</f>
        <v>8.8375400622801763</v>
      </c>
      <c r="H20" s="446">
        <f>+Comps!U38</f>
        <v>12.322375194948316</v>
      </c>
      <c r="J20" s="225">
        <f>+F20*$D$20</f>
        <v>224696.61041248986</v>
      </c>
      <c r="K20" s="225">
        <f>+G20*$D$20</f>
        <v>315964.62242526328</v>
      </c>
      <c r="L20" s="225">
        <f>+H20*$D$20</f>
        <v>440556.3763690287</v>
      </c>
    </row>
    <row r="21" spans="2:12" x14ac:dyDescent="0.25">
      <c r="D21" s="221"/>
      <c r="F21" s="223"/>
      <c r="G21" s="223"/>
      <c r="H21" s="223"/>
      <c r="J21" s="221"/>
      <c r="K21" s="221"/>
      <c r="L21" s="221"/>
    </row>
    <row r="22" spans="2:12" x14ac:dyDescent="0.25">
      <c r="B22" s="219" t="s">
        <v>116</v>
      </c>
      <c r="C22" s="219"/>
      <c r="D22" s="222"/>
      <c r="E22" s="219"/>
      <c r="F22" s="224"/>
      <c r="G22" s="224"/>
      <c r="H22" s="224"/>
      <c r="I22" s="219"/>
      <c r="J22" s="222"/>
      <c r="K22" s="222"/>
      <c r="L22" s="222"/>
    </row>
    <row r="23" spans="2:12" x14ac:dyDescent="0.25">
      <c r="B23" t="s">
        <v>107</v>
      </c>
      <c r="D23" s="445">
        <f>+'Financial Statements'!H30</f>
        <v>63051.555871263248</v>
      </c>
      <c r="F23" s="223"/>
      <c r="G23" s="223"/>
      <c r="H23" s="223"/>
      <c r="J23" s="221"/>
      <c r="K23" s="221"/>
      <c r="L23" s="221"/>
    </row>
    <row r="24" spans="2:12" s="1" customFormat="1" x14ac:dyDescent="0.25">
      <c r="B24" s="1" t="s">
        <v>395</v>
      </c>
      <c r="D24" s="340">
        <f>SUM(D23)</f>
        <v>63051.555871263248</v>
      </c>
      <c r="F24" s="446">
        <f>+Comps!U47</f>
        <v>4.8754736374204439</v>
      </c>
      <c r="G24" s="446">
        <f>+Comps!$U$45</f>
        <v>6.5395421500994555</v>
      </c>
      <c r="H24" s="446">
        <f>+Comps!U48</f>
        <v>9.6957528747698376</v>
      </c>
      <c r="J24" s="225">
        <f>+F24*$D$24</f>
        <v>307406.19844868616</v>
      </c>
      <c r="K24" s="225">
        <f>+G24*$D$24</f>
        <v>412328.30724947678</v>
      </c>
      <c r="L24" s="225">
        <f>+H24*$D$24</f>
        <v>611332.30409751169</v>
      </c>
    </row>
    <row r="25" spans="2:12" s="1" customFormat="1" x14ac:dyDescent="0.25">
      <c r="D25" s="225"/>
      <c r="F25" s="226"/>
      <c r="G25" s="226"/>
      <c r="H25" s="226"/>
      <c r="J25" s="225"/>
      <c r="K25" s="225"/>
      <c r="L25" s="225"/>
    </row>
    <row r="26" spans="2:12" x14ac:dyDescent="0.25">
      <c r="B26" s="219" t="s">
        <v>183</v>
      </c>
      <c r="C26" s="219"/>
      <c r="D26" s="222"/>
      <c r="E26" s="219"/>
      <c r="F26" s="224"/>
      <c r="G26" s="224"/>
      <c r="H26" s="224"/>
      <c r="I26" s="219"/>
      <c r="J26" s="222"/>
      <c r="K26" s="222"/>
      <c r="L26" s="222"/>
    </row>
    <row r="27" spans="2:12" x14ac:dyDescent="0.25">
      <c r="B27" t="s">
        <v>274</v>
      </c>
      <c r="D27" s="445">
        <f>+'Financial Statements'!H29</f>
        <v>35578.724706744033</v>
      </c>
      <c r="F27" s="223"/>
      <c r="G27" s="223"/>
      <c r="H27" s="223"/>
      <c r="J27" s="221"/>
      <c r="K27" s="221"/>
      <c r="L27" s="221"/>
    </row>
    <row r="28" spans="2:12" s="1" customFormat="1" x14ac:dyDescent="0.25">
      <c r="B28" s="1" t="s">
        <v>393</v>
      </c>
      <c r="D28" s="340">
        <f>SUM(D27)</f>
        <v>35578.724706744033</v>
      </c>
      <c r="F28" s="446">
        <f>+Comps!U57</f>
        <v>4.0762518134943164</v>
      </c>
      <c r="G28" s="446">
        <f>Comps!$U$55</f>
        <v>9.0238301078619276</v>
      </c>
      <c r="H28" s="446">
        <f>+Comps!U58</f>
        <v>19.184401591358139</v>
      </c>
      <c r="J28" s="225">
        <f>+F28*$D$28</f>
        <v>145027.8411076804</v>
      </c>
      <c r="K28" s="225">
        <f>+G28*$D$28</f>
        <v>321056.36720804783</v>
      </c>
      <c r="L28" s="225">
        <f>+H28*$D$28</f>
        <v>682556.5428825533</v>
      </c>
    </row>
    <row r="29" spans="2:12" x14ac:dyDescent="0.25">
      <c r="D29" s="221"/>
      <c r="F29" s="223"/>
      <c r="G29" s="223"/>
      <c r="H29" s="223"/>
      <c r="J29" s="221"/>
      <c r="K29" s="221"/>
      <c r="L29" s="221"/>
    </row>
    <row r="30" spans="2:12" ht="5.25" customHeight="1" x14ac:dyDescent="0.25">
      <c r="D30" s="221"/>
      <c r="F30" s="223"/>
      <c r="G30" s="223"/>
      <c r="H30" s="223"/>
      <c r="J30" s="221"/>
      <c r="K30" s="221"/>
      <c r="L30" s="221"/>
    </row>
    <row r="31" spans="2:12" s="1" customFormat="1" x14ac:dyDescent="0.25">
      <c r="B31" s="228" t="s">
        <v>396</v>
      </c>
      <c r="C31" s="228"/>
      <c r="D31" s="229">
        <f>+D12+D28+D20+D24+D16</f>
        <v>501746.89221783733</v>
      </c>
      <c r="E31" s="228"/>
      <c r="F31" s="230">
        <f>+J31/D31</f>
        <v>2.6541458492421053</v>
      </c>
      <c r="G31" s="230">
        <f>+K31/D31</f>
        <v>4.6327117367811512</v>
      </c>
      <c r="H31" s="230">
        <f>+L31/D31</f>
        <v>7.8352730658323386</v>
      </c>
      <c r="I31" s="228"/>
      <c r="J31" s="229">
        <f>+J12+J28+J20+J24+J16</f>
        <v>1331709.4313500989</v>
      </c>
      <c r="K31" s="229">
        <f>+K12+K28+K20+K24+K16</f>
        <v>2324448.7164710425</v>
      </c>
      <c r="L31" s="229">
        <f>+L12+L28+L20+L24+L16</f>
        <v>3931323.9104595021</v>
      </c>
    </row>
    <row r="32" spans="2:12" ht="5.25" customHeight="1" x14ac:dyDescent="0.25">
      <c r="J32" s="221"/>
      <c r="K32" s="221"/>
      <c r="L32" s="221"/>
    </row>
    <row r="33" spans="2:12" x14ac:dyDescent="0.25">
      <c r="B33" s="76" t="s">
        <v>284</v>
      </c>
      <c r="C33" s="76"/>
      <c r="D33" s="76"/>
      <c r="E33" s="76"/>
      <c r="F33" s="76"/>
      <c r="G33" s="76"/>
      <c r="H33" s="76"/>
      <c r="I33" s="76"/>
      <c r="J33" s="387">
        <f>-Comps!I10</f>
        <v>-59107</v>
      </c>
      <c r="K33" s="387">
        <f>+J33</f>
        <v>-59107</v>
      </c>
      <c r="L33" s="387">
        <f>+K33</f>
        <v>-59107</v>
      </c>
    </row>
    <row r="34" spans="2:12" x14ac:dyDescent="0.25">
      <c r="B34" s="228" t="s">
        <v>397</v>
      </c>
      <c r="C34" s="228"/>
      <c r="D34" s="228"/>
      <c r="E34" s="228"/>
      <c r="F34" s="228"/>
      <c r="G34" s="228"/>
      <c r="H34" s="228"/>
      <c r="I34" s="228"/>
      <c r="J34" s="345">
        <f>+J31+J33</f>
        <v>1272602.4313500989</v>
      </c>
      <c r="K34" s="345">
        <f>+K31+K33</f>
        <v>2265341.7164710425</v>
      </c>
      <c r="L34" s="345">
        <f>+L31+L33</f>
        <v>3872216.9104595021</v>
      </c>
    </row>
    <row r="35" spans="2:12" ht="5.25" customHeight="1" x14ac:dyDescent="0.25">
      <c r="B35" s="1"/>
      <c r="C35" s="1"/>
      <c r="D35" s="1"/>
      <c r="E35" s="1"/>
      <c r="F35" s="1"/>
      <c r="G35" s="1"/>
      <c r="H35" s="1"/>
      <c r="I35" s="1"/>
      <c r="J35" s="225"/>
      <c r="K35" s="225"/>
      <c r="L35" s="225"/>
    </row>
    <row r="36" spans="2:12" x14ac:dyDescent="0.25">
      <c r="B36" s="76" t="s">
        <v>398</v>
      </c>
      <c r="C36" s="76"/>
      <c r="D36" s="76"/>
      <c r="E36" s="76"/>
      <c r="F36" s="76"/>
      <c r="G36" s="76"/>
      <c r="H36" s="76"/>
      <c r="I36" s="76"/>
      <c r="J36" s="447">
        <f>+Comps!E10</f>
        <v>518.20000000000005</v>
      </c>
      <c r="K36" s="227">
        <f>+J36</f>
        <v>518.20000000000005</v>
      </c>
      <c r="L36" s="227">
        <f>+K36</f>
        <v>518.20000000000005</v>
      </c>
    </row>
    <row r="37" spans="2:12" s="1" customFormat="1" x14ac:dyDescent="0.25">
      <c r="B37" s="228" t="s">
        <v>399</v>
      </c>
      <c r="C37" s="228"/>
      <c r="D37" s="228"/>
      <c r="E37" s="228"/>
      <c r="F37" s="228"/>
      <c r="G37" s="228"/>
      <c r="H37" s="228"/>
      <c r="I37" s="228"/>
      <c r="J37" s="229">
        <f>+J34/J36</f>
        <v>2455.8132600349263</v>
      </c>
      <c r="K37" s="229">
        <f>+K34/K36</f>
        <v>4371.5586963933656</v>
      </c>
      <c r="L37" s="229">
        <f>+L34/L36</f>
        <v>7472.4371101109646</v>
      </c>
    </row>
    <row r="39" spans="2:12" outlineLevel="1" x14ac:dyDescent="0.25"/>
    <row r="40" spans="2:12" outlineLevel="1" x14ac:dyDescent="0.25"/>
    <row r="41" spans="2:12" outlineLevel="1" x14ac:dyDescent="0.25">
      <c r="D41" s="63" t="str">
        <f>D6</f>
        <v>2021E</v>
      </c>
      <c r="E41" s="62"/>
      <c r="F41" s="61" t="str">
        <f>F6</f>
        <v>Comparable Multiple Range</v>
      </c>
      <c r="G41" s="61"/>
      <c r="H41" s="61"/>
      <c r="I41" s="62"/>
      <c r="J41" s="61" t="str">
        <f>J6</f>
        <v>Implied Enterprise Value</v>
      </c>
      <c r="K41" s="61"/>
      <c r="L41" s="61"/>
    </row>
    <row r="42" spans="2:12" outlineLevel="1" x14ac:dyDescent="0.25">
      <c r="D42" s="63" t="str">
        <f>D7</f>
        <v>Revenue</v>
      </c>
      <c r="E42" s="63"/>
      <c r="F42" s="63" t="str">
        <f>F7</f>
        <v>Low</v>
      </c>
      <c r="G42" s="63" t="str">
        <f>G7</f>
        <v>Mid</v>
      </c>
      <c r="H42" s="63" t="str">
        <f>H7</f>
        <v>High</v>
      </c>
      <c r="I42" s="63"/>
      <c r="J42" s="63" t="str">
        <f>J7</f>
        <v>Low</v>
      </c>
      <c r="K42" s="63" t="str">
        <f>K7</f>
        <v>Mid</v>
      </c>
      <c r="L42" s="63" t="str">
        <f>L7</f>
        <v>High</v>
      </c>
    </row>
    <row r="43" spans="2:12" outlineLevel="1" x14ac:dyDescent="0.25">
      <c r="B43" s="341" t="str">
        <f>B9</f>
        <v>Amazon 1P</v>
      </c>
      <c r="C43" s="341"/>
      <c r="D43" s="342">
        <f>D12</f>
        <v>257098.8533237527</v>
      </c>
      <c r="E43" s="341"/>
      <c r="F43" s="343">
        <f>F12</f>
        <v>0.76326429085722358</v>
      </c>
      <c r="G43" s="343">
        <f>G12</f>
        <v>1.5657079285665256</v>
      </c>
      <c r="H43" s="343">
        <f>H12</f>
        <v>2.6617860499255266</v>
      </c>
      <c r="I43" s="341"/>
      <c r="J43" s="342">
        <f>J12</f>
        <v>196234.37396235944</v>
      </c>
      <c r="K43" s="342">
        <f>K12</f>
        <v>402541.71307436185</v>
      </c>
      <c r="L43" s="342">
        <f>L12</f>
        <v>684342.14122901403</v>
      </c>
    </row>
    <row r="44" spans="2:12" outlineLevel="1" x14ac:dyDescent="0.25">
      <c r="B44" s="341" t="str">
        <f>B14</f>
        <v>Amazon 3P</v>
      </c>
      <c r="C44" s="341"/>
      <c r="D44" s="342">
        <f>D16</f>
        <v>110265.2049812593</v>
      </c>
      <c r="E44" s="341"/>
      <c r="F44" s="343">
        <f>F16</f>
        <v>4.1567456161423113</v>
      </c>
      <c r="G44" s="343">
        <f>G16</f>
        <v>7.913264267383286</v>
      </c>
      <c r="H44" s="343">
        <f>H16</f>
        <v>13.71726054595795</v>
      </c>
      <c r="I44" s="341"/>
      <c r="J44" s="342">
        <f>J16</f>
        <v>458344.40741888294</v>
      </c>
      <c r="K44" s="342">
        <f>K16</f>
        <v>872557.70651389274</v>
      </c>
      <c r="L44" s="342">
        <f>L16</f>
        <v>1512536.5458813943</v>
      </c>
    </row>
    <row r="45" spans="2:12" outlineLevel="1" x14ac:dyDescent="0.25">
      <c r="B45" s="341" t="str">
        <f>B18</f>
        <v>Advertising</v>
      </c>
      <c r="C45" s="341"/>
      <c r="D45" s="342">
        <f>D20</f>
        <v>35752.553334818054</v>
      </c>
      <c r="E45" s="341"/>
      <c r="F45" s="343">
        <f>F20</f>
        <v>6.2847710010592825</v>
      </c>
      <c r="G45" s="343">
        <f>G20</f>
        <v>8.8375400622801763</v>
      </c>
      <c r="H45" s="343">
        <f>H20</f>
        <v>12.322375194948316</v>
      </c>
      <c r="I45" s="341"/>
      <c r="J45" s="342">
        <f>J20</f>
        <v>224696.61041248986</v>
      </c>
      <c r="K45" s="342">
        <f>K20</f>
        <v>315964.62242526328</v>
      </c>
      <c r="L45" s="342">
        <f>L20</f>
        <v>440556.3763690287</v>
      </c>
    </row>
    <row r="46" spans="2:12" outlineLevel="1" x14ac:dyDescent="0.25">
      <c r="B46" s="341" t="str">
        <f>B22</f>
        <v>Cloud</v>
      </c>
      <c r="C46" s="341"/>
      <c r="D46" s="342">
        <f>D24</f>
        <v>63051.555871263248</v>
      </c>
      <c r="E46" s="341"/>
      <c r="F46" s="343">
        <f>F24</f>
        <v>4.8754736374204439</v>
      </c>
      <c r="G46" s="343">
        <f>G24</f>
        <v>6.5395421500994555</v>
      </c>
      <c r="H46" s="343">
        <f>H24</f>
        <v>9.6957528747698376</v>
      </c>
      <c r="I46" s="341"/>
      <c r="J46" s="342">
        <f>J24</f>
        <v>307406.19844868616</v>
      </c>
      <c r="K46" s="342">
        <f>K24</f>
        <v>412328.30724947678</v>
      </c>
      <c r="L46" s="342">
        <f>L24</f>
        <v>611332.30409751169</v>
      </c>
    </row>
    <row r="47" spans="2:12" outlineLevel="1" x14ac:dyDescent="0.25">
      <c r="B47" s="341" t="str">
        <f>B26</f>
        <v>Subscription</v>
      </c>
      <c r="C47" s="341"/>
      <c r="D47" s="342">
        <f>D28</f>
        <v>35578.724706744033</v>
      </c>
      <c r="E47" s="341"/>
      <c r="F47" s="343">
        <f>F28</f>
        <v>4.0762518134943164</v>
      </c>
      <c r="G47" s="343">
        <f>G28</f>
        <v>9.0238301078619276</v>
      </c>
      <c r="H47" s="343">
        <f>H28</f>
        <v>19.184401591358139</v>
      </c>
      <c r="I47" s="341"/>
      <c r="J47" s="342">
        <f>J28</f>
        <v>145027.8411076804</v>
      </c>
      <c r="K47" s="342">
        <f>K28</f>
        <v>321056.36720804783</v>
      </c>
      <c r="L47" s="342">
        <f>L28</f>
        <v>682556.5428825533</v>
      </c>
    </row>
    <row r="48" spans="2:12" outlineLevel="1" x14ac:dyDescent="0.25">
      <c r="B48" s="344" t="s">
        <v>396</v>
      </c>
      <c r="C48" s="344"/>
      <c r="D48" s="345">
        <f>SUM(D43:D47)</f>
        <v>501746.89221783733</v>
      </c>
      <c r="E48" s="344"/>
      <c r="F48" s="346">
        <f>+J48/D48</f>
        <v>2.6541458492421053</v>
      </c>
      <c r="G48" s="346">
        <f>+K48/D48</f>
        <v>4.6327117367811512</v>
      </c>
      <c r="H48" s="346">
        <f>+L48/D48</f>
        <v>7.8352730658323386</v>
      </c>
      <c r="I48" s="344"/>
      <c r="J48" s="345">
        <f>SUM(J43:J47)</f>
        <v>1331709.4313500989</v>
      </c>
      <c r="K48" s="345">
        <f>SUM(K43:K47)</f>
        <v>2324448.7164710425</v>
      </c>
      <c r="L48" s="345">
        <f>SUM(L43:L47)</f>
        <v>3931323.9104595021</v>
      </c>
    </row>
    <row r="49" spans="2:16" ht="5.4" customHeight="1" outlineLevel="1" x14ac:dyDescent="0.25">
      <c r="B49" s="1"/>
      <c r="C49" s="1"/>
      <c r="D49" s="225"/>
      <c r="E49" s="1"/>
      <c r="F49" s="226"/>
      <c r="G49" s="226"/>
      <c r="H49" s="226"/>
      <c r="I49" s="1"/>
      <c r="J49" s="225"/>
      <c r="K49" s="225"/>
      <c r="L49" s="225"/>
    </row>
    <row r="50" spans="2:16" outlineLevel="1" x14ac:dyDescent="0.25">
      <c r="B50" t="str">
        <f>B33</f>
        <v>Less: Net Debt</v>
      </c>
      <c r="J50" s="205">
        <f>J33</f>
        <v>-59107</v>
      </c>
      <c r="K50" s="205">
        <f>K33</f>
        <v>-59107</v>
      </c>
      <c r="L50" s="205">
        <f>L33</f>
        <v>-59107</v>
      </c>
      <c r="M50" s="205"/>
      <c r="N50" s="205"/>
      <c r="O50" s="205"/>
      <c r="P50" s="205"/>
    </row>
    <row r="51" spans="2:16" ht="5.4" customHeight="1" outlineLevel="1" x14ac:dyDescent="0.25">
      <c r="J51" s="380"/>
      <c r="K51" s="380"/>
      <c r="L51" s="380"/>
    </row>
    <row r="52" spans="2:16" outlineLevel="1" x14ac:dyDescent="0.25">
      <c r="B52" s="344" t="str">
        <f>B34</f>
        <v>Total Amazon Implied Equity Value</v>
      </c>
      <c r="C52" s="344"/>
      <c r="D52" s="345"/>
      <c r="E52" s="344"/>
      <c r="F52" s="346"/>
      <c r="G52" s="346"/>
      <c r="H52" s="346"/>
      <c r="I52" s="344"/>
      <c r="J52" s="345">
        <f>J34</f>
        <v>1272602.4313500989</v>
      </c>
      <c r="K52" s="345">
        <f>K34</f>
        <v>2265341.7164710425</v>
      </c>
      <c r="L52" s="345">
        <f>L34</f>
        <v>3872216.9104595021</v>
      </c>
    </row>
    <row r="53" spans="2:16" ht="5.4" customHeight="1" outlineLevel="1" x14ac:dyDescent="0.25">
      <c r="H53" s="226"/>
      <c r="I53" s="226"/>
      <c r="J53" s="381"/>
      <c r="K53" s="382"/>
      <c r="L53" s="382"/>
    </row>
    <row r="54" spans="2:16" outlineLevel="1" x14ac:dyDescent="0.25">
      <c r="B54" t="str">
        <f>B36</f>
        <v>Fully Diluted Shares Outstanding (MM)</v>
      </c>
      <c r="J54" s="382">
        <f>J36</f>
        <v>518.20000000000005</v>
      </c>
      <c r="K54" s="382">
        <f>K36</f>
        <v>518.20000000000005</v>
      </c>
      <c r="L54" s="382">
        <f>L36</f>
        <v>518.20000000000005</v>
      </c>
    </row>
    <row r="55" spans="2:16" ht="5.4" customHeight="1" outlineLevel="1" x14ac:dyDescent="0.25"/>
    <row r="56" spans="2:16" outlineLevel="1" x14ac:dyDescent="0.25">
      <c r="B56" s="344" t="str">
        <f>B37</f>
        <v>Total Amazon Implied Equity Value per Share ($/sh.)</v>
      </c>
      <c r="C56" s="344"/>
      <c r="D56" s="345"/>
      <c r="E56" s="344"/>
      <c r="F56" s="346"/>
      <c r="G56" s="346"/>
      <c r="H56" s="346"/>
      <c r="I56" s="344"/>
      <c r="J56" s="345">
        <f>J37</f>
        <v>2455.8132600349263</v>
      </c>
      <c r="K56" s="345">
        <f>K37</f>
        <v>4371.5586963933656</v>
      </c>
      <c r="L56" s="345">
        <f>L37</f>
        <v>7472.4371101109646</v>
      </c>
    </row>
    <row r="58" spans="2:16" ht="15.6" x14ac:dyDescent="0.3">
      <c r="B58" s="149"/>
      <c r="C58" s="185"/>
      <c r="D58" s="185"/>
      <c r="E58" s="185"/>
      <c r="F58" s="185"/>
    </row>
    <row r="59" spans="2:16" ht="15.6" x14ac:dyDescent="0.3">
      <c r="B59" s="69"/>
      <c r="C59" s="69"/>
      <c r="D59" s="69"/>
      <c r="E59" s="69"/>
      <c r="F59" s="69"/>
    </row>
    <row r="60" spans="2:16" ht="15.6" x14ac:dyDescent="0.3">
      <c r="B60" s="69"/>
      <c r="C60" s="69"/>
      <c r="D60" s="69"/>
      <c r="E60" s="69"/>
      <c r="F60" s="69"/>
    </row>
    <row r="61" spans="2:16" ht="15.6" x14ac:dyDescent="0.3">
      <c r="B61" s="69"/>
      <c r="C61" s="69"/>
      <c r="D61" s="69"/>
      <c r="E61" s="69"/>
      <c r="F61" s="69"/>
    </row>
    <row r="62" spans="2:16" ht="15.6" x14ac:dyDescent="0.3">
      <c r="B62" s="69"/>
      <c r="C62" s="69"/>
      <c r="D62" s="69"/>
      <c r="E62" s="69"/>
      <c r="F62" s="69"/>
    </row>
    <row r="63" spans="2:16" ht="15.6" x14ac:dyDescent="0.3">
      <c r="B63" s="69"/>
      <c r="C63" s="69"/>
      <c r="D63" s="69"/>
      <c r="E63" s="69"/>
      <c r="F63" s="69"/>
    </row>
    <row r="64" spans="2:16" ht="15.6" x14ac:dyDescent="0.3">
      <c r="B64" s="69"/>
      <c r="C64" s="69"/>
      <c r="D64" s="69"/>
      <c r="E64" s="69"/>
      <c r="F64" s="69"/>
    </row>
    <row r="65" spans="2:17" ht="15.6" x14ac:dyDescent="0.3">
      <c r="B65" s="69"/>
      <c r="C65" s="69"/>
      <c r="D65" s="69"/>
      <c r="E65" s="69"/>
      <c r="F65" s="69"/>
      <c r="P65" s="186" t="s">
        <v>536</v>
      </c>
      <c r="Q65" s="69"/>
    </row>
    <row r="66" spans="2:17" ht="15.6" x14ac:dyDescent="0.3">
      <c r="B66" s="69"/>
      <c r="C66" s="69"/>
      <c r="D66" s="69"/>
      <c r="E66" s="69"/>
      <c r="F66" s="69"/>
      <c r="P66" s="379" t="s">
        <v>574</v>
      </c>
      <c r="Q66" s="181"/>
    </row>
    <row r="67" spans="2:17" ht="15.6" x14ac:dyDescent="0.3">
      <c r="B67" s="69"/>
      <c r="C67" s="69"/>
      <c r="E67" s="69"/>
      <c r="F67" s="69"/>
      <c r="P67" s="379" t="str">
        <f>B43</f>
        <v>Amazon 1P</v>
      </c>
      <c r="Q67" s="420">
        <f>K43/_RoundBillions</f>
        <v>402.54171307436184</v>
      </c>
    </row>
    <row r="68" spans="2:17" ht="15.6" x14ac:dyDescent="0.3">
      <c r="B68" s="69"/>
      <c r="C68" s="69"/>
      <c r="D68" s="69"/>
      <c r="E68" s="69"/>
      <c r="F68" s="69"/>
      <c r="P68" s="379" t="str">
        <f>B44</f>
        <v>Amazon 3P</v>
      </c>
      <c r="Q68" s="420">
        <f t="shared" ref="Q68:Q71" si="0">K44/_RoundBillions</f>
        <v>872.55770651389275</v>
      </c>
    </row>
    <row r="69" spans="2:17" ht="15.6" x14ac:dyDescent="0.3">
      <c r="B69" s="69"/>
      <c r="C69" s="69"/>
      <c r="D69" s="69"/>
      <c r="E69" s="69"/>
      <c r="F69" s="69"/>
      <c r="P69" s="379" t="str">
        <f>B46</f>
        <v>Cloud</v>
      </c>
      <c r="Q69" s="420">
        <f t="shared" si="0"/>
        <v>315.96462242526326</v>
      </c>
    </row>
    <row r="70" spans="2:17" ht="15.6" x14ac:dyDescent="0.3">
      <c r="B70" s="69"/>
      <c r="C70" s="69"/>
      <c r="D70" s="69"/>
      <c r="E70" s="69"/>
      <c r="F70" s="69"/>
      <c r="P70" s="379" t="str">
        <f>B45</f>
        <v>Advertising</v>
      </c>
      <c r="Q70" s="420">
        <f t="shared" si="0"/>
        <v>412.32830724947678</v>
      </c>
    </row>
    <row r="71" spans="2:17" ht="15.6" x14ac:dyDescent="0.3">
      <c r="B71" s="69"/>
      <c r="C71" s="69"/>
      <c r="D71" s="69"/>
      <c r="E71" s="69"/>
      <c r="F71" s="69"/>
      <c r="P71" s="379" t="str">
        <f>B47</f>
        <v>Subscription</v>
      </c>
      <c r="Q71" s="420">
        <f t="shared" si="0"/>
        <v>321.05636720804785</v>
      </c>
    </row>
    <row r="72" spans="2:17" ht="15.6" x14ac:dyDescent="0.3">
      <c r="B72" s="186"/>
      <c r="C72" s="69"/>
      <c r="D72" s="69"/>
      <c r="E72" s="69"/>
      <c r="F72" s="69"/>
      <c r="P72" s="379" t="s">
        <v>591</v>
      </c>
      <c r="Q72" s="420">
        <f>K48/_RoundBillions</f>
        <v>2324.4487164710426</v>
      </c>
    </row>
    <row r="73" spans="2:17" ht="15.6" x14ac:dyDescent="0.3">
      <c r="B73" s="69"/>
      <c r="C73" s="181"/>
      <c r="D73" s="181"/>
      <c r="E73" s="181"/>
      <c r="F73" s="181"/>
    </row>
    <row r="74" spans="2:17" ht="15.6" x14ac:dyDescent="0.3">
      <c r="B74" s="186"/>
      <c r="C74" s="378"/>
      <c r="D74" s="378"/>
      <c r="E74" s="378"/>
      <c r="F74" s="378"/>
    </row>
    <row r="75" spans="2:17" ht="15.6" x14ac:dyDescent="0.3">
      <c r="B75" s="69"/>
      <c r="C75" s="69"/>
      <c r="D75" s="69"/>
      <c r="E75" s="69"/>
      <c r="F75" s="69"/>
    </row>
  </sheetData>
  <pageMargins left="0.7" right="0.7" top="0.75" bottom="0.75" header="0.3" footer="0.3"/>
  <pageSetup scale="75"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E61B7-0EA3-46EC-B73D-C94EDE61A848}">
  <dimension ref="A1:AE65"/>
  <sheetViews>
    <sheetView showGridLines="0" zoomScaleNormal="100" workbookViewId="0"/>
  </sheetViews>
  <sheetFormatPr defaultColWidth="11.75" defaultRowHeight="13.8" outlineLevelCol="1" x14ac:dyDescent="0.25"/>
  <cols>
    <col min="1" max="1" width="5.75" style="53" customWidth="1"/>
    <col min="2" max="2" width="30.75" style="53" customWidth="1"/>
    <col min="3" max="3" width="0.875" style="53" customWidth="1"/>
    <col min="4" max="4" width="11.75" style="53"/>
    <col min="5" max="5" width="11.75" style="53" customWidth="1" outlineLevel="1"/>
    <col min="6" max="10" width="11.75" style="53"/>
    <col min="11" max="11" width="0.875" style="53" customWidth="1"/>
    <col min="12" max="19" width="11.75" style="53" customWidth="1" outlineLevel="1"/>
    <col min="20" max="20" width="0.875" style="53" customWidth="1" outlineLevel="1"/>
    <col min="21" max="28" width="11.75" style="53"/>
    <col min="29" max="29" width="0.875" style="53" customWidth="1"/>
    <col min="30" max="16384" width="11.75" style="53"/>
  </cols>
  <sheetData>
    <row r="1" spans="1:31" s="69" customFormat="1" ht="15.6" x14ac:dyDescent="0.3">
      <c r="A1" s="67" t="s">
        <v>76</v>
      </c>
      <c r="B1" s="68"/>
      <c r="C1" s="68"/>
      <c r="D1" s="68"/>
      <c r="E1" s="68"/>
      <c r="F1" s="68"/>
      <c r="G1" s="68"/>
      <c r="H1" s="68" t="s">
        <v>304</v>
      </c>
      <c r="I1" s="68"/>
      <c r="J1" s="68"/>
      <c r="K1" s="68"/>
      <c r="L1" s="68"/>
      <c r="M1" s="68"/>
      <c r="N1" s="68"/>
      <c r="O1" s="68"/>
      <c r="P1" s="68"/>
      <c r="Q1" s="68"/>
      <c r="R1" s="68"/>
      <c r="S1" s="68"/>
      <c r="T1" s="68"/>
      <c r="U1" s="68"/>
      <c r="V1" s="68"/>
      <c r="W1" s="68"/>
      <c r="X1" s="68"/>
      <c r="Y1" s="68"/>
      <c r="Z1" s="68"/>
      <c r="AA1" s="68"/>
      <c r="AB1" s="68"/>
      <c r="AC1" s="68"/>
      <c r="AD1" s="68"/>
      <c r="AE1" s="68"/>
    </row>
    <row r="2" spans="1:31" ht="18" x14ac:dyDescent="0.25">
      <c r="A2" s="70" t="s">
        <v>228</v>
      </c>
      <c r="B2" s="70"/>
      <c r="C2" s="70"/>
      <c r="D2" s="70"/>
      <c r="E2" s="70"/>
      <c r="F2" s="70"/>
      <c r="G2" s="70"/>
      <c r="H2" s="70"/>
      <c r="I2" s="70"/>
      <c r="J2" s="70"/>
      <c r="K2" s="70"/>
      <c r="L2" s="70"/>
      <c r="M2" s="70"/>
      <c r="N2" s="70"/>
      <c r="O2" s="70"/>
      <c r="P2" s="70"/>
      <c r="Q2" s="70"/>
      <c r="R2" s="70"/>
      <c r="S2" s="70"/>
      <c r="T2" s="70"/>
      <c r="U2" s="70"/>
      <c r="V2" s="70"/>
      <c r="W2" s="70"/>
      <c r="X2" s="70"/>
      <c r="Y2" s="70"/>
      <c r="Z2" s="70"/>
      <c r="AA2" s="70"/>
      <c r="AB2" s="70"/>
      <c r="AC2" s="70"/>
      <c r="AD2" s="70"/>
      <c r="AE2" s="70"/>
    </row>
    <row r="3" spans="1:31" s="69" customFormat="1" ht="15.6" x14ac:dyDescent="0.3">
      <c r="A3" s="66" t="s">
        <v>229</v>
      </c>
      <c r="B3" s="71"/>
      <c r="C3" s="72"/>
      <c r="D3" s="71"/>
      <c r="E3" s="72"/>
      <c r="F3" s="72"/>
      <c r="G3" s="72"/>
      <c r="H3" s="72"/>
      <c r="I3" s="72"/>
      <c r="J3" s="72"/>
      <c r="K3" s="72"/>
      <c r="L3" s="72"/>
      <c r="M3" s="72"/>
      <c r="N3" s="72"/>
      <c r="O3" s="72"/>
      <c r="P3" s="72"/>
      <c r="Q3" s="72"/>
      <c r="R3" s="72"/>
      <c r="S3" s="72"/>
      <c r="T3" s="72"/>
      <c r="U3" s="72"/>
      <c r="V3" s="72"/>
      <c r="W3" s="72"/>
      <c r="X3" s="72"/>
      <c r="Y3" s="72"/>
      <c r="Z3" s="72"/>
      <c r="AA3" s="72"/>
      <c r="AB3" s="72"/>
      <c r="AC3" s="72"/>
      <c r="AD3" s="72"/>
      <c r="AE3" s="72"/>
    </row>
    <row r="4" spans="1:31" x14ac:dyDescent="0.25">
      <c r="A4" s="45"/>
    </row>
    <row r="5" spans="1:31" s="193" customFormat="1" ht="19.2" x14ac:dyDescent="0.4">
      <c r="A5" s="1"/>
      <c r="D5" s="257" t="s">
        <v>230</v>
      </c>
      <c r="E5" s="257"/>
      <c r="F5" s="257"/>
      <c r="G5" s="257"/>
      <c r="H5" s="257"/>
      <c r="I5" s="257"/>
      <c r="J5" s="257"/>
      <c r="L5" s="257" t="s">
        <v>372</v>
      </c>
      <c r="M5" s="257"/>
      <c r="N5" s="257"/>
      <c r="O5" s="257"/>
      <c r="P5" s="257"/>
      <c r="Q5" s="257"/>
      <c r="R5" s="257"/>
      <c r="S5" s="257"/>
      <c r="U5" s="257" t="s">
        <v>481</v>
      </c>
      <c r="V5" s="257"/>
      <c r="W5" s="257"/>
      <c r="X5" s="257"/>
      <c r="Y5" s="257"/>
      <c r="Z5" s="257"/>
      <c r="AA5" s="257"/>
      <c r="AB5" s="257"/>
      <c r="AD5" s="257" t="s">
        <v>231</v>
      </c>
      <c r="AE5" s="257"/>
    </row>
    <row r="6" spans="1:31" s="194" customFormat="1" ht="15.6" x14ac:dyDescent="0.4">
      <c r="B6" s="195"/>
      <c r="C6" s="195"/>
      <c r="D6" s="196" t="s">
        <v>232</v>
      </c>
      <c r="E6" s="196"/>
      <c r="F6" s="196" t="s">
        <v>189</v>
      </c>
      <c r="H6" s="196"/>
      <c r="I6" s="195"/>
      <c r="J6" s="196" t="s">
        <v>233</v>
      </c>
      <c r="K6" s="195"/>
      <c r="L6" s="257" t="s">
        <v>119</v>
      </c>
      <c r="M6" s="197"/>
      <c r="N6" s="257" t="s">
        <v>234</v>
      </c>
      <c r="O6" s="197"/>
      <c r="P6" s="257" t="s">
        <v>235</v>
      </c>
      <c r="Q6" s="197"/>
      <c r="R6" s="257" t="s">
        <v>236</v>
      </c>
      <c r="S6" s="197"/>
      <c r="T6" s="195"/>
      <c r="U6" s="257" t="s">
        <v>169</v>
      </c>
      <c r="V6" s="197"/>
      <c r="W6" s="257" t="s">
        <v>170</v>
      </c>
      <c r="X6" s="197"/>
      <c r="Y6" s="257" t="s">
        <v>237</v>
      </c>
      <c r="Z6" s="197"/>
      <c r="AA6" s="257" t="s">
        <v>238</v>
      </c>
      <c r="AB6" s="197"/>
      <c r="AC6" s="195"/>
      <c r="AD6" s="257" t="s">
        <v>239</v>
      </c>
      <c r="AE6" s="257"/>
    </row>
    <row r="7" spans="1:31" s="194" customFormat="1" ht="19.2" x14ac:dyDescent="0.4">
      <c r="B7" s="260" t="s">
        <v>171</v>
      </c>
      <c r="C7" s="196"/>
      <c r="D7" s="261" t="s">
        <v>188</v>
      </c>
      <c r="E7" s="261" t="s">
        <v>256</v>
      </c>
      <c r="F7" s="261" t="s">
        <v>283</v>
      </c>
      <c r="G7" s="261" t="s">
        <v>347</v>
      </c>
      <c r="H7" s="261" t="s">
        <v>401</v>
      </c>
      <c r="I7" s="261" t="s">
        <v>240</v>
      </c>
      <c r="J7" s="261" t="s">
        <v>273</v>
      </c>
      <c r="K7" s="196"/>
      <c r="L7" s="261" t="s">
        <v>241</v>
      </c>
      <c r="M7" s="261" t="s">
        <v>242</v>
      </c>
      <c r="N7" s="261" t="s">
        <v>241</v>
      </c>
      <c r="O7" s="261" t="s">
        <v>242</v>
      </c>
      <c r="P7" s="261" t="s">
        <v>241</v>
      </c>
      <c r="Q7" s="261" t="s">
        <v>242</v>
      </c>
      <c r="R7" s="261" t="s">
        <v>241</v>
      </c>
      <c r="S7" s="261" t="s">
        <v>242</v>
      </c>
      <c r="T7" s="196"/>
      <c r="U7" s="261" t="s">
        <v>241</v>
      </c>
      <c r="V7" s="261" t="s">
        <v>242</v>
      </c>
      <c r="W7" s="261" t="s">
        <v>241</v>
      </c>
      <c r="X7" s="261" t="s">
        <v>242</v>
      </c>
      <c r="Y7" s="261" t="s">
        <v>241</v>
      </c>
      <c r="Z7" s="261" t="s">
        <v>242</v>
      </c>
      <c r="AA7" s="261" t="s">
        <v>241</v>
      </c>
      <c r="AB7" s="261" t="s">
        <v>242</v>
      </c>
      <c r="AC7" s="196"/>
      <c r="AD7" s="261" t="s">
        <v>154</v>
      </c>
      <c r="AE7" s="261" t="s">
        <v>243</v>
      </c>
    </row>
    <row r="8" spans="1:31" s="198" customFormat="1" ht="10.199999999999999" x14ac:dyDescent="0.2">
      <c r="C8" s="199"/>
      <c r="D8" s="200" t="s">
        <v>244</v>
      </c>
      <c r="E8" s="201" t="s">
        <v>245</v>
      </c>
      <c r="F8" s="200" t="s">
        <v>246</v>
      </c>
      <c r="G8" s="200"/>
      <c r="H8" s="200"/>
      <c r="I8" s="200" t="s">
        <v>246</v>
      </c>
      <c r="J8" s="200" t="s">
        <v>246</v>
      </c>
      <c r="K8" s="199"/>
      <c r="L8" s="200" t="s">
        <v>246</v>
      </c>
      <c r="M8" s="200" t="s">
        <v>246</v>
      </c>
      <c r="N8" s="200" t="s">
        <v>246</v>
      </c>
      <c r="O8" s="200" t="s">
        <v>246</v>
      </c>
      <c r="P8" s="200" t="s">
        <v>246</v>
      </c>
      <c r="Q8" s="200" t="s">
        <v>246</v>
      </c>
      <c r="R8" s="200" t="s">
        <v>246</v>
      </c>
      <c r="S8" s="200" t="s">
        <v>246</v>
      </c>
      <c r="T8" s="202"/>
      <c r="U8" s="200" t="s">
        <v>247</v>
      </c>
      <c r="V8" s="200" t="s">
        <v>247</v>
      </c>
      <c r="W8" s="200" t="s">
        <v>247</v>
      </c>
      <c r="X8" s="200" t="s">
        <v>247</v>
      </c>
      <c r="Y8" s="200" t="s">
        <v>247</v>
      </c>
      <c r="Z8" s="200" t="s">
        <v>247</v>
      </c>
      <c r="AA8" s="200" t="s">
        <v>247</v>
      </c>
      <c r="AB8" s="200" t="s">
        <v>247</v>
      </c>
      <c r="AC8" s="199"/>
      <c r="AD8" s="200" t="s">
        <v>247</v>
      </c>
      <c r="AE8" s="200" t="s">
        <v>248</v>
      </c>
    </row>
    <row r="9" spans="1:31" s="198" customFormat="1" ht="10.199999999999999" x14ac:dyDescent="0.2">
      <c r="C9" s="199"/>
      <c r="D9" s="200"/>
      <c r="E9" s="201"/>
      <c r="F9" s="200"/>
      <c r="G9" s="200"/>
      <c r="H9" s="200"/>
      <c r="I9" s="200"/>
      <c r="J9" s="200"/>
      <c r="K9" s="199"/>
      <c r="L9" s="200"/>
      <c r="M9" s="200"/>
      <c r="N9" s="200"/>
      <c r="O9" s="200"/>
      <c r="P9" s="200"/>
      <c r="Q9" s="200"/>
      <c r="R9" s="200"/>
      <c r="S9" s="200"/>
      <c r="T9" s="202"/>
      <c r="U9" s="200"/>
      <c r="V9" s="200"/>
      <c r="W9" s="200"/>
      <c r="X9" s="200"/>
      <c r="Y9" s="200"/>
      <c r="Z9" s="200"/>
      <c r="AA9" s="200"/>
      <c r="AB9" s="200"/>
      <c r="AC9" s="199"/>
      <c r="AD9" s="200"/>
      <c r="AE9" s="200"/>
    </row>
    <row r="10" spans="1:31" s="203" customFormat="1" x14ac:dyDescent="0.25">
      <c r="B10" s="204" t="s">
        <v>184</v>
      </c>
      <c r="C10" s="205"/>
      <c r="D10" s="205">
        <v>3074.96</v>
      </c>
      <c r="E10" s="204">
        <v>518.20000000000005</v>
      </c>
      <c r="F10" s="205">
        <f>+D10*E10</f>
        <v>1593444.2720000001</v>
      </c>
      <c r="G10" s="205">
        <v>101229</v>
      </c>
      <c r="H10" s="205">
        <v>42122</v>
      </c>
      <c r="I10" s="205">
        <v>59107</v>
      </c>
      <c r="J10" s="205">
        <f t="shared" ref="J10" si="0">+F10+I10</f>
        <v>1652551.2720000001</v>
      </c>
      <c r="K10" s="205"/>
      <c r="L10" s="205">
        <v>472903.18890000001</v>
      </c>
      <c r="M10" s="205">
        <v>557294.06279</v>
      </c>
      <c r="N10" s="205">
        <v>72595.857380000001</v>
      </c>
      <c r="O10" s="205">
        <v>90109.997310000006</v>
      </c>
      <c r="P10" s="205">
        <v>24840.682000000001</v>
      </c>
      <c r="Q10" s="205">
        <v>35107.151360000003</v>
      </c>
      <c r="R10" s="205">
        <v>71886.194589999999</v>
      </c>
      <c r="S10" s="205">
        <v>89037.85656</v>
      </c>
      <c r="T10" s="207"/>
      <c r="U10" s="208">
        <f>+$J10/L10</f>
        <v>3.4944811343817102</v>
      </c>
      <c r="V10" s="208">
        <f>+$J10/M10</f>
        <v>2.9653128973360618</v>
      </c>
      <c r="W10" s="208">
        <f>+$J10/N10</f>
        <v>22.763713132414555</v>
      </c>
      <c r="X10" s="208">
        <f t="shared" ref="X10" si="1">+$J10/O10</f>
        <v>18.339266688853929</v>
      </c>
      <c r="Y10" s="208">
        <f>+$F10/P10</f>
        <v>64.146558939082269</v>
      </c>
      <c r="Z10" s="208">
        <f t="shared" ref="Z10:AB10" si="2">+$F10/Q10</f>
        <v>45.388025239083369</v>
      </c>
      <c r="AA10" s="208">
        <f t="shared" si="2"/>
        <v>22.166207031658097</v>
      </c>
      <c r="AB10" s="208">
        <f t="shared" si="2"/>
        <v>17.896255969798922</v>
      </c>
      <c r="AC10" s="205"/>
      <c r="AD10" s="209">
        <v>1.0837758554237507</v>
      </c>
      <c r="AE10" s="210">
        <v>0.5201019354374643</v>
      </c>
    </row>
    <row r="11" spans="1:31" s="203" customFormat="1" x14ac:dyDescent="0.25">
      <c r="B11" s="204"/>
      <c r="C11" s="205"/>
      <c r="D11" s="206"/>
      <c r="E11" s="204"/>
      <c r="F11" s="205"/>
      <c r="G11" s="205"/>
      <c r="H11" s="205"/>
      <c r="I11" s="205"/>
      <c r="J11" s="205"/>
      <c r="K11" s="205"/>
      <c r="L11" s="205"/>
      <c r="M11" s="205"/>
      <c r="N11" s="205"/>
      <c r="O11" s="205"/>
      <c r="P11" s="205"/>
      <c r="Q11" s="205"/>
      <c r="R11" s="205"/>
      <c r="S11" s="205"/>
      <c r="T11" s="207"/>
      <c r="U11" s="208"/>
      <c r="V11" s="208"/>
      <c r="W11" s="208"/>
      <c r="X11" s="208"/>
      <c r="Y11" s="208"/>
      <c r="Z11" s="208"/>
      <c r="AA11" s="208"/>
      <c r="AB11" s="208"/>
      <c r="AC11" s="205"/>
      <c r="AD11" s="209"/>
      <c r="AE11" s="210"/>
    </row>
    <row r="12" spans="1:31" s="203" customFormat="1" x14ac:dyDescent="0.25">
      <c r="B12" s="503" t="s">
        <v>373</v>
      </c>
      <c r="C12" s="504"/>
      <c r="D12" s="505"/>
      <c r="E12" s="503"/>
      <c r="F12" s="504"/>
      <c r="G12" s="504"/>
      <c r="H12" s="504"/>
      <c r="I12" s="504"/>
      <c r="J12" s="504"/>
      <c r="K12" s="504"/>
      <c r="L12" s="504"/>
      <c r="M12" s="504"/>
      <c r="N12" s="504"/>
      <c r="O12" s="504"/>
      <c r="P12" s="504"/>
      <c r="Q12" s="504"/>
      <c r="R12" s="504"/>
      <c r="S12" s="504"/>
      <c r="T12" s="506"/>
      <c r="U12" s="507"/>
      <c r="V12" s="507"/>
      <c r="W12" s="507"/>
      <c r="X12" s="507"/>
      <c r="Y12" s="507"/>
      <c r="Z12" s="507"/>
      <c r="AA12" s="507"/>
      <c r="AB12" s="507"/>
      <c r="AC12" s="504"/>
      <c r="AD12" s="508"/>
      <c r="AE12" s="509"/>
    </row>
    <row r="13" spans="1:31" s="203" customFormat="1" x14ac:dyDescent="0.25">
      <c r="B13" s="204" t="s">
        <v>161</v>
      </c>
      <c r="C13" s="205"/>
      <c r="D13" s="205">
        <v>131.74</v>
      </c>
      <c r="E13" s="204">
        <v>2850.306</v>
      </c>
      <c r="F13" s="205">
        <f t="shared" ref="F13:F16" si="3">+D13*E13</f>
        <v>375499.31244000001</v>
      </c>
      <c r="G13" s="205">
        <v>63702</v>
      </c>
      <c r="H13" s="205">
        <v>17741</v>
      </c>
      <c r="I13" s="205">
        <v>45961</v>
      </c>
      <c r="J13" s="205">
        <f t="shared" ref="J13:J16" si="4">+F13+I13</f>
        <v>421460.31244000001</v>
      </c>
      <c r="K13" s="205"/>
      <c r="L13" s="205">
        <v>552181.35774000001</v>
      </c>
      <c r="M13" s="205">
        <v>549416.58513999998</v>
      </c>
      <c r="N13" s="205">
        <v>35135.367689999999</v>
      </c>
      <c r="O13" s="205">
        <v>34222.162709999997</v>
      </c>
      <c r="P13" s="205">
        <v>18621.81494</v>
      </c>
      <c r="Q13" s="205">
        <v>15511.63768</v>
      </c>
      <c r="R13" s="205">
        <v>30037.416669999999</v>
      </c>
      <c r="S13" s="205">
        <v>26304.909090000001</v>
      </c>
      <c r="T13" s="207"/>
      <c r="U13" s="208">
        <f t="shared" ref="U13:X16" si="5">+$J13/L13</f>
        <v>0.76326429085722358</v>
      </c>
      <c r="V13" s="208">
        <f t="shared" si="5"/>
        <v>0.76710518728262511</v>
      </c>
      <c r="W13" s="208">
        <f t="shared" si="5"/>
        <v>11.995329497005757</v>
      </c>
      <c r="X13" s="208">
        <f t="shared" si="5"/>
        <v>12.315420156565553</v>
      </c>
      <c r="Y13" s="208">
        <f t="shared" ref="Y13:AB16" si="6">+$F13/P13</f>
        <v>20.164485236797226</v>
      </c>
      <c r="Z13" s="208">
        <f t="shared" si="6"/>
        <v>24.20758659958592</v>
      </c>
      <c r="AA13" s="208">
        <f t="shared" si="6"/>
        <v>12.501052156560174</v>
      </c>
      <c r="AB13" s="208">
        <f t="shared" si="6"/>
        <v>14.274875885533806</v>
      </c>
      <c r="AC13" s="205"/>
      <c r="AD13" s="209">
        <v>0.72776502039277513</v>
      </c>
      <c r="AE13" s="210">
        <v>0.42121759139870268</v>
      </c>
    </row>
    <row r="14" spans="1:31" s="203" customFormat="1" x14ac:dyDescent="0.25">
      <c r="B14" s="204" t="s">
        <v>176</v>
      </c>
      <c r="C14" s="205"/>
      <c r="D14" s="205">
        <v>289.10000000000002</v>
      </c>
      <c r="E14" s="204">
        <v>1077.2231162919404</v>
      </c>
      <c r="F14" s="205">
        <f t="shared" si="3"/>
        <v>311425.20292000001</v>
      </c>
      <c r="G14" s="205">
        <v>43422</v>
      </c>
      <c r="H14" s="205">
        <v>7895</v>
      </c>
      <c r="I14" s="205">
        <v>35527</v>
      </c>
      <c r="J14" s="205">
        <f t="shared" si="4"/>
        <v>346952.20292000001</v>
      </c>
      <c r="K14" s="205"/>
      <c r="L14" s="205">
        <v>130345.63876</v>
      </c>
      <c r="M14" s="205">
        <v>135501.82561999999</v>
      </c>
      <c r="N14" s="205">
        <v>20628.049360000001</v>
      </c>
      <c r="O14" s="205">
        <v>21809.92035</v>
      </c>
      <c r="P14" s="205">
        <v>12803.230390000001</v>
      </c>
      <c r="Q14" s="205">
        <v>13494.422629999999</v>
      </c>
      <c r="R14" s="205">
        <v>16602.2</v>
      </c>
      <c r="S14" s="205">
        <v>16511.545450000001</v>
      </c>
      <c r="T14" s="207"/>
      <c r="U14" s="208">
        <f t="shared" si="5"/>
        <v>2.6617860499255266</v>
      </c>
      <c r="V14" s="208">
        <f t="shared" si="5"/>
        <v>2.560498364745206</v>
      </c>
      <c r="W14" s="208">
        <f t="shared" si="5"/>
        <v>16.819438273828137</v>
      </c>
      <c r="X14" s="208">
        <f t="shared" si="5"/>
        <v>15.907999541135418</v>
      </c>
      <c r="Y14" s="208">
        <f t="shared" si="6"/>
        <v>24.323955238924665</v>
      </c>
      <c r="Z14" s="208">
        <f t="shared" si="6"/>
        <v>23.078067988448648</v>
      </c>
      <c r="AA14" s="208">
        <f t="shared" si="6"/>
        <v>18.758068383708181</v>
      </c>
      <c r="AB14" s="208">
        <f t="shared" si="6"/>
        <v>18.861057183475214</v>
      </c>
      <c r="AC14" s="205"/>
      <c r="AD14" s="209">
        <v>13.162170354652925</v>
      </c>
      <c r="AE14" s="210">
        <v>0.92938935382376231</v>
      </c>
    </row>
    <row r="15" spans="1:31" s="203" customFormat="1" x14ac:dyDescent="0.25">
      <c r="B15" s="204" t="s">
        <v>175</v>
      </c>
      <c r="C15" s="205"/>
      <c r="D15" s="205">
        <v>179.49</v>
      </c>
      <c r="E15" s="204">
        <v>735.39225539027245</v>
      </c>
      <c r="F15" s="205">
        <f t="shared" si="3"/>
        <v>131995.55592000001</v>
      </c>
      <c r="G15" s="205">
        <v>26211</v>
      </c>
      <c r="H15" s="205">
        <v>4690</v>
      </c>
      <c r="I15" s="205">
        <v>21521</v>
      </c>
      <c r="J15" s="205">
        <f t="shared" si="4"/>
        <v>153516.55592000001</v>
      </c>
      <c r="K15" s="205"/>
      <c r="L15" s="205">
        <v>88607.103929999997</v>
      </c>
      <c r="M15" s="205">
        <v>86709.025899999993</v>
      </c>
      <c r="N15" s="205">
        <v>11134.244769999999</v>
      </c>
      <c r="O15" s="205">
        <v>11558.8452</v>
      </c>
      <c r="P15" s="205">
        <v>6024.8232500000004</v>
      </c>
      <c r="Q15" s="205">
        <v>6736.84627</v>
      </c>
      <c r="R15" s="205">
        <v>9679.0833299999995</v>
      </c>
      <c r="S15" s="205">
        <v>8934.2727300000006</v>
      </c>
      <c r="T15" s="207"/>
      <c r="U15" s="208">
        <f t="shared" si="5"/>
        <v>1.7325535889456309</v>
      </c>
      <c r="V15" s="208">
        <f t="shared" si="5"/>
        <v>1.7704795357411578</v>
      </c>
      <c r="W15" s="208">
        <f t="shared" si="5"/>
        <v>13.787783463646635</v>
      </c>
      <c r="X15" s="208">
        <f t="shared" si="5"/>
        <v>13.281305637694674</v>
      </c>
      <c r="Y15" s="208">
        <f t="shared" si="6"/>
        <v>21.908618799729936</v>
      </c>
      <c r="Z15" s="208">
        <f t="shared" si="6"/>
        <v>19.593078219372817</v>
      </c>
      <c r="AA15" s="208">
        <f t="shared" si="6"/>
        <v>13.637195943017057</v>
      </c>
      <c r="AB15" s="208">
        <f t="shared" si="6"/>
        <v>14.774068344340771</v>
      </c>
      <c r="AC15" s="205"/>
      <c r="AD15" s="209">
        <v>18.240083507306888</v>
      </c>
      <c r="AE15" s="210">
        <v>0.94802517361111116</v>
      </c>
    </row>
    <row r="16" spans="1:31" s="203" customFormat="1" x14ac:dyDescent="0.25">
      <c r="B16" s="513" t="s">
        <v>174</v>
      </c>
      <c r="C16" s="514"/>
      <c r="D16" s="514">
        <v>187.55</v>
      </c>
      <c r="E16" s="513">
        <v>510.50993079978679</v>
      </c>
      <c r="F16" s="514">
        <f t="shared" si="3"/>
        <v>95746.137521500015</v>
      </c>
      <c r="G16" s="514">
        <v>15109</v>
      </c>
      <c r="H16" s="514">
        <v>8511</v>
      </c>
      <c r="I16" s="514">
        <v>6598</v>
      </c>
      <c r="J16" s="514">
        <f t="shared" si="4"/>
        <v>102344.13752150002</v>
      </c>
      <c r="K16" s="514"/>
      <c r="L16" s="514">
        <v>92600.040420000005</v>
      </c>
      <c r="M16" s="514">
        <v>89625.535659999994</v>
      </c>
      <c r="N16" s="514">
        <v>8872.8074300000007</v>
      </c>
      <c r="O16" s="514">
        <v>8462.5085899999995</v>
      </c>
      <c r="P16" s="514">
        <v>4417.3888900000002</v>
      </c>
      <c r="Q16" s="514">
        <v>4389.3666700000003</v>
      </c>
      <c r="R16" s="514">
        <v>7645.15</v>
      </c>
      <c r="S16" s="514">
        <v>6808.4888899999996</v>
      </c>
      <c r="T16" s="515"/>
      <c r="U16" s="516">
        <f t="shared" si="5"/>
        <v>1.105227784537721</v>
      </c>
      <c r="V16" s="516">
        <f t="shared" si="5"/>
        <v>1.1419082381805652</v>
      </c>
      <c r="W16" s="516">
        <f t="shared" si="5"/>
        <v>11.534583425699346</v>
      </c>
      <c r="X16" s="516">
        <f t="shared" si="5"/>
        <v>12.093829676278062</v>
      </c>
      <c r="Y16" s="516">
        <f t="shared" si="6"/>
        <v>21.674826442889888</v>
      </c>
      <c r="Z16" s="516">
        <f t="shared" si="6"/>
        <v>21.813201019613157</v>
      </c>
      <c r="AA16" s="516">
        <f t="shared" si="6"/>
        <v>12.523774879694972</v>
      </c>
      <c r="AB16" s="516">
        <f t="shared" si="6"/>
        <v>14.062758868877294</v>
      </c>
      <c r="AC16" s="514"/>
      <c r="AD16" s="517">
        <v>1.0463296398891966</v>
      </c>
      <c r="AE16" s="518">
        <v>0.51132018003993362</v>
      </c>
    </row>
    <row r="17" spans="2:31" s="193" customFormat="1" x14ac:dyDescent="0.25">
      <c r="B17" s="510" t="s">
        <v>374</v>
      </c>
      <c r="C17" s="510"/>
      <c r="D17" s="510"/>
      <c r="E17" s="510"/>
      <c r="F17" s="510"/>
      <c r="G17" s="510"/>
      <c r="H17" s="510"/>
      <c r="I17" s="510"/>
      <c r="J17" s="510"/>
      <c r="K17" s="510"/>
      <c r="L17" s="510"/>
      <c r="M17" s="510"/>
      <c r="N17" s="510"/>
      <c r="O17" s="510"/>
      <c r="P17" s="510"/>
      <c r="Q17" s="510"/>
      <c r="R17" s="510"/>
      <c r="S17" s="510"/>
      <c r="T17" s="510"/>
      <c r="U17" s="511">
        <f>+AVERAGE(U13:U16)</f>
        <v>1.5657079285665256</v>
      </c>
      <c r="V17" s="511">
        <f t="shared" ref="V17:AE17" si="7">+AVERAGE(V13:V16)</f>
        <v>1.5599978314873886</v>
      </c>
      <c r="W17" s="511">
        <f t="shared" si="7"/>
        <v>13.534283665044969</v>
      </c>
      <c r="X17" s="511">
        <f t="shared" si="7"/>
        <v>13.399638752918426</v>
      </c>
      <c r="Y17" s="511">
        <f t="shared" si="7"/>
        <v>22.01797142958543</v>
      </c>
      <c r="Z17" s="511">
        <f t="shared" si="7"/>
        <v>22.172983456755137</v>
      </c>
      <c r="AA17" s="511">
        <f t="shared" si="7"/>
        <v>14.355022840745097</v>
      </c>
      <c r="AB17" s="511">
        <f t="shared" si="7"/>
        <v>15.493190070556771</v>
      </c>
      <c r="AC17" s="510"/>
      <c r="AD17" s="511">
        <f t="shared" si="7"/>
        <v>8.2940871305604453</v>
      </c>
      <c r="AE17" s="512">
        <f t="shared" si="7"/>
        <v>0.70248807471837749</v>
      </c>
    </row>
    <row r="18" spans="2:31" s="193" customFormat="1" x14ac:dyDescent="0.25">
      <c r="B18" s="510" t="s">
        <v>375</v>
      </c>
      <c r="C18" s="510"/>
      <c r="D18" s="510"/>
      <c r="E18" s="510"/>
      <c r="F18" s="510"/>
      <c r="G18" s="510"/>
      <c r="H18" s="510"/>
      <c r="I18" s="510"/>
      <c r="J18" s="510"/>
      <c r="K18" s="510"/>
      <c r="L18" s="510"/>
      <c r="M18" s="510"/>
      <c r="N18" s="510"/>
      <c r="O18" s="510"/>
      <c r="P18" s="510"/>
      <c r="Q18" s="510"/>
      <c r="R18" s="510"/>
      <c r="S18" s="510"/>
      <c r="T18" s="510"/>
      <c r="U18" s="511">
        <f>+MEDIAN(U13:U16)</f>
        <v>1.418890686741676</v>
      </c>
      <c r="V18" s="511">
        <f t="shared" ref="V18:AB18" si="8">+MEDIAN(V13:V16)</f>
        <v>1.4561938869608615</v>
      </c>
      <c r="W18" s="511">
        <f t="shared" si="8"/>
        <v>12.891556480326196</v>
      </c>
      <c r="X18" s="511">
        <f t="shared" si="8"/>
        <v>12.798362897130113</v>
      </c>
      <c r="Y18" s="511">
        <f t="shared" si="8"/>
        <v>21.791722621309912</v>
      </c>
      <c r="Z18" s="511">
        <f t="shared" si="8"/>
        <v>22.445634504030902</v>
      </c>
      <c r="AA18" s="511">
        <f t="shared" si="8"/>
        <v>13.080485411356015</v>
      </c>
      <c r="AB18" s="511">
        <f t="shared" si="8"/>
        <v>14.524472114937289</v>
      </c>
      <c r="AC18" s="510"/>
      <c r="AD18" s="511">
        <f t="shared" ref="AD18:AE18" si="9">+MEDIAN(AD13:AD16)</f>
        <v>7.1042499972710615</v>
      </c>
      <c r="AE18" s="512">
        <f t="shared" si="9"/>
        <v>0.72035476693184797</v>
      </c>
    </row>
    <row r="19" spans="2:31" s="193" customFormat="1" x14ac:dyDescent="0.25">
      <c r="B19" s="510" t="s">
        <v>577</v>
      </c>
      <c r="C19" s="510"/>
      <c r="D19" s="510"/>
      <c r="E19" s="510"/>
      <c r="F19" s="510"/>
      <c r="G19" s="510"/>
      <c r="H19" s="510"/>
      <c r="I19" s="510"/>
      <c r="J19" s="510"/>
      <c r="K19" s="510"/>
      <c r="L19" s="510"/>
      <c r="M19" s="510"/>
      <c r="N19" s="510"/>
      <c r="O19" s="510"/>
      <c r="P19" s="510"/>
      <c r="Q19" s="510"/>
      <c r="R19" s="510"/>
      <c r="S19" s="510"/>
      <c r="T19" s="510"/>
      <c r="U19" s="511">
        <f>+MIN(U13:U16)</f>
        <v>0.76326429085722358</v>
      </c>
      <c r="V19" s="511">
        <f t="shared" ref="V19:AE19" si="10">+MIN(V13:V16)</f>
        <v>0.76710518728262511</v>
      </c>
      <c r="W19" s="511">
        <f t="shared" si="10"/>
        <v>11.534583425699346</v>
      </c>
      <c r="X19" s="511">
        <f t="shared" si="10"/>
        <v>12.093829676278062</v>
      </c>
      <c r="Y19" s="511">
        <f t="shared" si="10"/>
        <v>20.164485236797226</v>
      </c>
      <c r="Z19" s="511">
        <f t="shared" si="10"/>
        <v>19.593078219372817</v>
      </c>
      <c r="AA19" s="511">
        <f t="shared" si="10"/>
        <v>12.501052156560174</v>
      </c>
      <c r="AB19" s="511">
        <f t="shared" si="10"/>
        <v>14.062758868877294</v>
      </c>
      <c r="AC19" s="510">
        <f t="shared" si="10"/>
        <v>0</v>
      </c>
      <c r="AD19" s="511">
        <f t="shared" si="10"/>
        <v>0.72776502039277513</v>
      </c>
      <c r="AE19" s="512">
        <f t="shared" si="10"/>
        <v>0.42121759139870268</v>
      </c>
    </row>
    <row r="20" spans="2:31" s="203" customFormat="1" x14ac:dyDescent="0.25">
      <c r="B20" s="510" t="s">
        <v>578</v>
      </c>
      <c r="C20" s="510"/>
      <c r="D20" s="510"/>
      <c r="E20" s="510"/>
      <c r="F20" s="510"/>
      <c r="G20" s="510"/>
      <c r="H20" s="510"/>
      <c r="I20" s="510"/>
      <c r="J20" s="510"/>
      <c r="K20" s="510"/>
      <c r="L20" s="510"/>
      <c r="M20" s="510"/>
      <c r="N20" s="510"/>
      <c r="O20" s="510"/>
      <c r="P20" s="510"/>
      <c r="Q20" s="510"/>
      <c r="R20" s="510"/>
      <c r="S20" s="510"/>
      <c r="T20" s="510"/>
      <c r="U20" s="511">
        <f>+MAX(U13:U16)</f>
        <v>2.6617860499255266</v>
      </c>
      <c r="V20" s="511">
        <f t="shared" ref="V20:AE20" si="11">+MAX(V13:V16)</f>
        <v>2.560498364745206</v>
      </c>
      <c r="W20" s="511">
        <f t="shared" si="11"/>
        <v>16.819438273828137</v>
      </c>
      <c r="X20" s="511">
        <f t="shared" si="11"/>
        <v>15.907999541135418</v>
      </c>
      <c r="Y20" s="511">
        <f t="shared" si="11"/>
        <v>24.323955238924665</v>
      </c>
      <c r="Z20" s="511">
        <f t="shared" si="11"/>
        <v>24.20758659958592</v>
      </c>
      <c r="AA20" s="511">
        <f t="shared" si="11"/>
        <v>18.758068383708181</v>
      </c>
      <c r="AB20" s="511">
        <f t="shared" si="11"/>
        <v>18.861057183475214</v>
      </c>
      <c r="AC20" s="510">
        <f t="shared" si="11"/>
        <v>0</v>
      </c>
      <c r="AD20" s="511">
        <f t="shared" si="11"/>
        <v>18.240083507306888</v>
      </c>
      <c r="AE20" s="512">
        <f t="shared" si="11"/>
        <v>0.94802517361111116</v>
      </c>
    </row>
    <row r="21" spans="2:31" s="203" customFormat="1" x14ac:dyDescent="0.25">
      <c r="B21" s="204"/>
      <c r="C21" s="205"/>
      <c r="D21" s="206"/>
      <c r="E21" s="204"/>
      <c r="F21" s="205"/>
      <c r="G21" s="205"/>
      <c r="H21" s="205"/>
      <c r="I21" s="205"/>
      <c r="J21" s="205"/>
      <c r="K21" s="205"/>
      <c r="L21" s="205"/>
      <c r="M21" s="205"/>
      <c r="N21" s="205"/>
      <c r="O21" s="205"/>
      <c r="P21" s="205"/>
      <c r="Q21" s="205"/>
      <c r="R21" s="205"/>
      <c r="S21" s="205"/>
      <c r="T21" s="207"/>
      <c r="U21" s="208"/>
      <c r="V21" s="208"/>
      <c r="W21" s="208"/>
      <c r="X21" s="208"/>
      <c r="Y21" s="208"/>
      <c r="Z21" s="208"/>
      <c r="AA21" s="208"/>
      <c r="AB21" s="208"/>
      <c r="AC21" s="205"/>
      <c r="AD21" s="209"/>
      <c r="AE21" s="210"/>
    </row>
    <row r="22" spans="2:31" s="203" customFormat="1" x14ac:dyDescent="0.25">
      <c r="B22" s="503" t="s">
        <v>376</v>
      </c>
      <c r="C22" s="504"/>
      <c r="D22" s="505"/>
      <c r="E22" s="503"/>
      <c r="F22" s="504"/>
      <c r="G22" s="504"/>
      <c r="H22" s="504"/>
      <c r="I22" s="504"/>
      <c r="J22" s="504"/>
      <c r="K22" s="504"/>
      <c r="L22" s="504"/>
      <c r="M22" s="504"/>
      <c r="N22" s="504"/>
      <c r="O22" s="504"/>
      <c r="P22" s="504"/>
      <c r="Q22" s="504"/>
      <c r="R22" s="504"/>
      <c r="S22" s="504"/>
      <c r="T22" s="506"/>
      <c r="U22" s="507"/>
      <c r="V22" s="507"/>
      <c r="W22" s="507"/>
      <c r="X22" s="507"/>
      <c r="Y22" s="507"/>
      <c r="Z22" s="507"/>
      <c r="AA22" s="507"/>
      <c r="AB22" s="507"/>
      <c r="AC22" s="504"/>
      <c r="AD22" s="508"/>
      <c r="AE22" s="509"/>
    </row>
    <row r="23" spans="2:31" s="203" customFormat="1" x14ac:dyDescent="0.25">
      <c r="B23" s="204" t="s">
        <v>260</v>
      </c>
      <c r="C23" s="205"/>
      <c r="D23" s="205">
        <v>239.79</v>
      </c>
      <c r="E23" s="204">
        <v>2779.6848480195172</v>
      </c>
      <c r="F23" s="205">
        <f t="shared" ref="F23:F25" si="12">+D23*E23</f>
        <v>666540.62970659998</v>
      </c>
      <c r="G23" s="205">
        <v>22676.377759999999</v>
      </c>
      <c r="H23" s="205">
        <v>47810.709739999998</v>
      </c>
      <c r="I23" s="205">
        <v>-25134.331979999999</v>
      </c>
      <c r="J23" s="205">
        <f t="shared" ref="J23:J25" si="13">+F23+I23</f>
        <v>641406.29772659997</v>
      </c>
      <c r="K23" s="205"/>
      <c r="L23" s="205">
        <v>109347.02148</v>
      </c>
      <c r="M23" s="205">
        <v>142802.19070000001</v>
      </c>
      <c r="N23" s="205">
        <v>31910.3796</v>
      </c>
      <c r="O23" s="205">
        <v>39825.065390000003</v>
      </c>
      <c r="P23" s="205">
        <v>26265.21184</v>
      </c>
      <c r="Q23" s="205">
        <v>26230.71586</v>
      </c>
      <c r="R23" s="205">
        <v>40281.82632</v>
      </c>
      <c r="S23" s="205">
        <v>44889.683920000003</v>
      </c>
      <c r="T23" s="207"/>
      <c r="U23" s="208">
        <f t="shared" ref="U23:X25" si="14">+$J23/L23</f>
        <v>5.8657866400495937</v>
      </c>
      <c r="V23" s="208">
        <f t="shared" si="14"/>
        <v>4.4915718350152725</v>
      </c>
      <c r="W23" s="208">
        <f t="shared" si="14"/>
        <v>20.10024029067332</v>
      </c>
      <c r="X23" s="208">
        <f t="shared" si="14"/>
        <v>16.105593084290476</v>
      </c>
      <c r="Y23" s="208">
        <f t="shared" ref="Y23:AB25" si="15">+$F23/P23</f>
        <v>25.37731786695538</v>
      </c>
      <c r="Z23" s="208">
        <f t="shared" si="15"/>
        <v>25.410691544374799</v>
      </c>
      <c r="AA23" s="208">
        <f t="shared" si="15"/>
        <v>16.546931720810814</v>
      </c>
      <c r="AB23" s="208">
        <f t="shared" si="15"/>
        <v>14.848414412863166</v>
      </c>
      <c r="AC23" s="205"/>
      <c r="AD23" s="209">
        <v>0.1378559303512687</v>
      </c>
      <c r="AE23" s="210">
        <v>0.12115411685617444</v>
      </c>
    </row>
    <row r="24" spans="2:31" s="203" customFormat="1" x14ac:dyDescent="0.25">
      <c r="B24" s="204" t="s">
        <v>160</v>
      </c>
      <c r="C24" s="205"/>
      <c r="D24" s="205">
        <v>59.73</v>
      </c>
      <c r="E24" s="204">
        <v>714</v>
      </c>
      <c r="F24" s="205">
        <f t="shared" si="12"/>
        <v>42647.22</v>
      </c>
      <c r="G24" s="205">
        <v>8317</v>
      </c>
      <c r="H24" s="205">
        <v>1428</v>
      </c>
      <c r="I24" s="205">
        <v>6889</v>
      </c>
      <c r="J24" s="205">
        <f t="shared" si="13"/>
        <v>49536.22</v>
      </c>
      <c r="K24" s="205"/>
      <c r="L24" s="205">
        <v>11917.06796</v>
      </c>
      <c r="M24" s="205">
        <v>12740.373869999999</v>
      </c>
      <c r="N24" s="205">
        <v>4203.6440599999996</v>
      </c>
      <c r="O24" s="205">
        <v>4595.6410699999997</v>
      </c>
      <c r="P24" s="205">
        <v>2285.2234600000002</v>
      </c>
      <c r="Q24" s="205">
        <v>2605.4357100000002</v>
      </c>
      <c r="R24" s="205">
        <v>3661.7280000000001</v>
      </c>
      <c r="S24" s="205">
        <v>3978.1798899999999</v>
      </c>
      <c r="T24" s="207"/>
      <c r="U24" s="208">
        <f t="shared" si="14"/>
        <v>4.1567456161423113</v>
      </c>
      <c r="V24" s="208">
        <f t="shared" si="14"/>
        <v>3.8881292264620178</v>
      </c>
      <c r="W24" s="208">
        <f t="shared" si="14"/>
        <v>11.784113805296828</v>
      </c>
      <c r="X24" s="208">
        <f t="shared" si="14"/>
        <v>10.778957548135935</v>
      </c>
      <c r="Y24" s="208">
        <f t="shared" si="15"/>
        <v>18.662166193585286</v>
      </c>
      <c r="Z24" s="208">
        <f t="shared" si="15"/>
        <v>16.368555875823166</v>
      </c>
      <c r="AA24" s="208">
        <f t="shared" si="15"/>
        <v>11.646747109561387</v>
      </c>
      <c r="AB24" s="208">
        <f t="shared" si="15"/>
        <v>10.72028444646328</v>
      </c>
      <c r="AC24" s="205"/>
      <c r="AD24" s="209">
        <v>2.335579893288402</v>
      </c>
      <c r="AE24" s="210">
        <v>0.70020205421788184</v>
      </c>
    </row>
    <row r="25" spans="2:31" s="203" customFormat="1" x14ac:dyDescent="0.25">
      <c r="B25" s="513" t="s">
        <v>178</v>
      </c>
      <c r="C25" s="514"/>
      <c r="D25" s="514">
        <v>215.41</v>
      </c>
      <c r="E25" s="513">
        <v>144.63449480180751</v>
      </c>
      <c r="F25" s="514">
        <f t="shared" si="12"/>
        <v>31155.716525257354</v>
      </c>
      <c r="G25" s="514">
        <v>-206.38200000000006</v>
      </c>
      <c r="H25" s="514">
        <v>1244.0989999999999</v>
      </c>
      <c r="I25" s="514">
        <v>-1450.481</v>
      </c>
      <c r="J25" s="514">
        <f t="shared" si="13"/>
        <v>29705.235525257354</v>
      </c>
      <c r="K25" s="514"/>
      <c r="L25" s="514">
        <v>2165.5370200000002</v>
      </c>
      <c r="M25" s="514">
        <v>2578.8431099999998</v>
      </c>
      <c r="N25" s="514">
        <v>649.72310000000004</v>
      </c>
      <c r="O25" s="514">
        <v>786.47409000000005</v>
      </c>
      <c r="P25" s="514">
        <v>443.44204000000002</v>
      </c>
      <c r="Q25" s="514">
        <v>547.65554999999995</v>
      </c>
      <c r="R25" s="514">
        <v>620.60207000000003</v>
      </c>
      <c r="S25" s="514">
        <v>730.79529000000002</v>
      </c>
      <c r="T25" s="515"/>
      <c r="U25" s="516">
        <f t="shared" si="14"/>
        <v>13.71726054595795</v>
      </c>
      <c r="V25" s="516">
        <f t="shared" si="14"/>
        <v>11.518822300615781</v>
      </c>
      <c r="W25" s="516">
        <f t="shared" si="14"/>
        <v>45.719838997962903</v>
      </c>
      <c r="X25" s="516">
        <f t="shared" si="14"/>
        <v>37.770138778834216</v>
      </c>
      <c r="Y25" s="516">
        <f t="shared" si="15"/>
        <v>70.258824637504716</v>
      </c>
      <c r="Z25" s="516">
        <f t="shared" si="15"/>
        <v>56.889255527963435</v>
      </c>
      <c r="AA25" s="516">
        <f t="shared" si="15"/>
        <v>50.20240510196389</v>
      </c>
      <c r="AB25" s="516">
        <f t="shared" si="15"/>
        <v>42.632618123821452</v>
      </c>
      <c r="AC25" s="514"/>
      <c r="AD25" s="517">
        <v>-0.27798400913763571</v>
      </c>
      <c r="AE25" s="518">
        <v>-0.38501087601344686</v>
      </c>
    </row>
    <row r="26" spans="2:31" s="193" customFormat="1" x14ac:dyDescent="0.25">
      <c r="B26" s="510" t="s">
        <v>377</v>
      </c>
      <c r="C26" s="510"/>
      <c r="D26" s="510"/>
      <c r="E26" s="510"/>
      <c r="F26" s="510"/>
      <c r="G26" s="510"/>
      <c r="H26" s="510"/>
      <c r="I26" s="510"/>
      <c r="J26" s="510"/>
      <c r="K26" s="510"/>
      <c r="L26" s="510"/>
      <c r="M26" s="510"/>
      <c r="N26" s="510"/>
      <c r="O26" s="510"/>
      <c r="P26" s="510"/>
      <c r="Q26" s="510"/>
      <c r="R26" s="510"/>
      <c r="S26" s="510"/>
      <c r="T26" s="510"/>
      <c r="U26" s="511">
        <f>+AVERAGE(U23:U25)</f>
        <v>7.913264267383286</v>
      </c>
      <c r="V26" s="511">
        <f t="shared" ref="V26:AE26" si="16">+AVERAGE(V23:V25)</f>
        <v>6.6328411206976909</v>
      </c>
      <c r="W26" s="511">
        <f t="shared" si="16"/>
        <v>25.868064364644351</v>
      </c>
      <c r="X26" s="511">
        <f t="shared" si="16"/>
        <v>21.551563137086873</v>
      </c>
      <c r="Y26" s="511">
        <f t="shared" si="16"/>
        <v>38.099436232681796</v>
      </c>
      <c r="Z26" s="511">
        <f t="shared" si="16"/>
        <v>32.88950098272047</v>
      </c>
      <c r="AA26" s="511">
        <f t="shared" si="16"/>
        <v>26.132027977445365</v>
      </c>
      <c r="AB26" s="511">
        <f t="shared" si="16"/>
        <v>22.733772327715968</v>
      </c>
      <c r="AC26" s="510"/>
      <c r="AD26" s="511">
        <f t="shared" si="16"/>
        <v>0.73181727150067832</v>
      </c>
      <c r="AE26" s="512">
        <f t="shared" si="16"/>
        <v>0.1454484316868698</v>
      </c>
    </row>
    <row r="27" spans="2:31" s="193" customFormat="1" x14ac:dyDescent="0.25">
      <c r="B27" s="510" t="s">
        <v>378</v>
      </c>
      <c r="C27" s="510"/>
      <c r="D27" s="510"/>
      <c r="E27" s="510"/>
      <c r="F27" s="510"/>
      <c r="G27" s="510"/>
      <c r="H27" s="510"/>
      <c r="I27" s="510"/>
      <c r="J27" s="510"/>
      <c r="K27" s="510"/>
      <c r="L27" s="510"/>
      <c r="M27" s="510"/>
      <c r="N27" s="510"/>
      <c r="O27" s="510"/>
      <c r="P27" s="510"/>
      <c r="Q27" s="510"/>
      <c r="R27" s="510"/>
      <c r="S27" s="510"/>
      <c r="T27" s="510"/>
      <c r="U27" s="511">
        <f>+MEDIAN(U23:U25)</f>
        <v>5.8657866400495937</v>
      </c>
      <c r="V27" s="511">
        <f t="shared" ref="V27:AB27" si="17">+MEDIAN(V23:V25)</f>
        <v>4.4915718350152725</v>
      </c>
      <c r="W27" s="511">
        <f t="shared" si="17"/>
        <v>20.10024029067332</v>
      </c>
      <c r="X27" s="511">
        <f t="shared" si="17"/>
        <v>16.105593084290476</v>
      </c>
      <c r="Y27" s="511">
        <f t="shared" si="17"/>
        <v>25.37731786695538</v>
      </c>
      <c r="Z27" s="511">
        <f t="shared" si="17"/>
        <v>25.410691544374799</v>
      </c>
      <c r="AA27" s="511">
        <f t="shared" si="17"/>
        <v>16.546931720810814</v>
      </c>
      <c r="AB27" s="511">
        <f t="shared" si="17"/>
        <v>14.848414412863166</v>
      </c>
      <c r="AC27" s="510"/>
      <c r="AD27" s="511">
        <f t="shared" ref="AD27:AE27" si="18">+MEDIAN(AD23:AD25)</f>
        <v>0.1378559303512687</v>
      </c>
      <c r="AE27" s="512">
        <f t="shared" si="18"/>
        <v>0.12115411685617444</v>
      </c>
    </row>
    <row r="28" spans="2:31" s="193" customFormat="1" x14ac:dyDescent="0.25">
      <c r="B28" s="510" t="s">
        <v>579</v>
      </c>
      <c r="C28" s="510"/>
      <c r="D28" s="510"/>
      <c r="E28" s="510"/>
      <c r="F28" s="510"/>
      <c r="G28" s="510"/>
      <c r="H28" s="510"/>
      <c r="I28" s="510"/>
      <c r="J28" s="510"/>
      <c r="K28" s="510"/>
      <c r="L28" s="510"/>
      <c r="M28" s="510"/>
      <c r="N28" s="510"/>
      <c r="O28" s="510"/>
      <c r="P28" s="510"/>
      <c r="Q28" s="510"/>
      <c r="R28" s="510"/>
      <c r="S28" s="510"/>
      <c r="T28" s="510"/>
      <c r="U28" s="511">
        <f>+MIN(U23:U25)</f>
        <v>4.1567456161423113</v>
      </c>
      <c r="V28" s="511">
        <f t="shared" ref="V28:AE28" si="19">+MIN(V23:V25)</f>
        <v>3.8881292264620178</v>
      </c>
      <c r="W28" s="511">
        <f t="shared" si="19"/>
        <v>11.784113805296828</v>
      </c>
      <c r="X28" s="511">
        <f t="shared" si="19"/>
        <v>10.778957548135935</v>
      </c>
      <c r="Y28" s="511">
        <f t="shared" si="19"/>
        <v>18.662166193585286</v>
      </c>
      <c r="Z28" s="511">
        <f t="shared" si="19"/>
        <v>16.368555875823166</v>
      </c>
      <c r="AA28" s="511">
        <f t="shared" si="19"/>
        <v>11.646747109561387</v>
      </c>
      <c r="AB28" s="511">
        <f t="shared" si="19"/>
        <v>10.72028444646328</v>
      </c>
      <c r="AC28" s="510">
        <f t="shared" si="19"/>
        <v>0</v>
      </c>
      <c r="AD28" s="511">
        <f t="shared" si="19"/>
        <v>-0.27798400913763571</v>
      </c>
      <c r="AE28" s="512">
        <f t="shared" si="19"/>
        <v>-0.38501087601344686</v>
      </c>
    </row>
    <row r="29" spans="2:31" s="203" customFormat="1" x14ac:dyDescent="0.25">
      <c r="B29" s="510" t="s">
        <v>580</v>
      </c>
      <c r="C29" s="510"/>
      <c r="D29" s="510"/>
      <c r="E29" s="510"/>
      <c r="F29" s="510"/>
      <c r="G29" s="510"/>
      <c r="H29" s="510"/>
      <c r="I29" s="510"/>
      <c r="J29" s="510"/>
      <c r="K29" s="510"/>
      <c r="L29" s="510"/>
      <c r="M29" s="510"/>
      <c r="N29" s="510"/>
      <c r="O29" s="510"/>
      <c r="P29" s="510"/>
      <c r="Q29" s="510"/>
      <c r="R29" s="510"/>
      <c r="S29" s="510"/>
      <c r="T29" s="510"/>
      <c r="U29" s="511">
        <f>+MAX(U23:U25)</f>
        <v>13.71726054595795</v>
      </c>
      <c r="V29" s="511">
        <f t="shared" ref="V29:AE29" si="20">+MAX(V23:V25)</f>
        <v>11.518822300615781</v>
      </c>
      <c r="W29" s="511">
        <f t="shared" si="20"/>
        <v>45.719838997962903</v>
      </c>
      <c r="X29" s="511">
        <f t="shared" si="20"/>
        <v>37.770138778834216</v>
      </c>
      <c r="Y29" s="511">
        <f t="shared" si="20"/>
        <v>70.258824637504716</v>
      </c>
      <c r="Z29" s="511">
        <f t="shared" si="20"/>
        <v>56.889255527963435</v>
      </c>
      <c r="AA29" s="511">
        <f t="shared" si="20"/>
        <v>50.20240510196389</v>
      </c>
      <c r="AB29" s="511">
        <f t="shared" si="20"/>
        <v>42.632618123821452</v>
      </c>
      <c r="AC29" s="510">
        <f t="shared" si="20"/>
        <v>0</v>
      </c>
      <c r="AD29" s="511">
        <f t="shared" si="20"/>
        <v>2.335579893288402</v>
      </c>
      <c r="AE29" s="512">
        <f t="shared" si="20"/>
        <v>0.70020205421788184</v>
      </c>
    </row>
    <row r="30" spans="2:31" s="203" customFormat="1" x14ac:dyDescent="0.25">
      <c r="B30" s="204"/>
      <c r="C30" s="205"/>
      <c r="D30" s="206"/>
      <c r="E30" s="204"/>
      <c r="F30" s="205"/>
      <c r="G30" s="205"/>
      <c r="H30" s="205"/>
      <c r="I30" s="205"/>
      <c r="J30" s="205"/>
      <c r="K30" s="205"/>
      <c r="L30" s="205"/>
      <c r="M30" s="205"/>
      <c r="N30" s="205"/>
      <c r="O30" s="205"/>
      <c r="P30" s="205"/>
      <c r="Q30" s="205"/>
      <c r="R30" s="205"/>
      <c r="S30" s="205"/>
      <c r="T30" s="207"/>
      <c r="U30" s="208"/>
      <c r="V30" s="208"/>
      <c r="W30" s="208"/>
      <c r="X30" s="208"/>
      <c r="Y30" s="208"/>
      <c r="Z30" s="208"/>
      <c r="AA30" s="208"/>
      <c r="AB30" s="208"/>
      <c r="AC30" s="205"/>
      <c r="AD30" s="209"/>
      <c r="AE30" s="210"/>
    </row>
    <row r="31" spans="2:31" s="203" customFormat="1" x14ac:dyDescent="0.25">
      <c r="B31" s="503" t="s">
        <v>179</v>
      </c>
      <c r="C31" s="504"/>
      <c r="D31" s="505"/>
      <c r="E31" s="503"/>
      <c r="F31" s="504"/>
      <c r="G31" s="504"/>
      <c r="H31" s="504"/>
      <c r="I31" s="504"/>
      <c r="J31" s="504"/>
      <c r="K31" s="504"/>
      <c r="L31" s="504"/>
      <c r="M31" s="504"/>
      <c r="N31" s="504"/>
      <c r="O31" s="504"/>
      <c r="P31" s="504"/>
      <c r="Q31" s="504"/>
      <c r="R31" s="504"/>
      <c r="S31" s="504"/>
      <c r="T31" s="506"/>
      <c r="U31" s="507"/>
      <c r="V31" s="507"/>
      <c r="W31" s="507"/>
      <c r="X31" s="507"/>
      <c r="Y31" s="507"/>
      <c r="Z31" s="507"/>
      <c r="AA31" s="507"/>
      <c r="AB31" s="507"/>
      <c r="AC31" s="504"/>
      <c r="AD31" s="508"/>
      <c r="AE31" s="509"/>
    </row>
    <row r="32" spans="2:31" s="203" customFormat="1" x14ac:dyDescent="0.25">
      <c r="B32" s="204" t="s">
        <v>155</v>
      </c>
      <c r="C32" s="205"/>
      <c r="D32" s="205">
        <v>2026.96</v>
      </c>
      <c r="E32" s="204">
        <v>698.46669399999996</v>
      </c>
      <c r="F32" s="205">
        <f t="shared" ref="F32:F34" si="21">+D32*E32</f>
        <v>1415764.0500702399</v>
      </c>
      <c r="G32" s="205">
        <v>27872</v>
      </c>
      <c r="H32" s="205">
        <v>26465</v>
      </c>
      <c r="I32" s="205">
        <v>1407</v>
      </c>
      <c r="J32" s="205">
        <f t="shared" ref="J32:J34" si="22">+F32+I32</f>
        <v>1417171.0500702399</v>
      </c>
      <c r="K32" s="205"/>
      <c r="L32" s="205">
        <v>225492.86996000001</v>
      </c>
      <c r="M32" s="205">
        <v>263226.96321999998</v>
      </c>
      <c r="N32" s="205">
        <v>83040.118489999993</v>
      </c>
      <c r="O32" s="205">
        <v>97894.609710000004</v>
      </c>
      <c r="P32" s="205">
        <v>47115.029139999999</v>
      </c>
      <c r="Q32" s="205">
        <v>54858.74641</v>
      </c>
      <c r="R32" s="205">
        <v>78171.9228</v>
      </c>
      <c r="S32" s="205">
        <v>90193.719710000005</v>
      </c>
      <c r="T32" s="207"/>
      <c r="U32" s="208">
        <f t="shared" ref="U32:X34" si="23">+$J32/L32</f>
        <v>6.2847710010592825</v>
      </c>
      <c r="V32" s="208">
        <f t="shared" si="23"/>
        <v>5.3838369471511776</v>
      </c>
      <c r="W32" s="208">
        <f t="shared" si="23"/>
        <v>17.066101010451966</v>
      </c>
      <c r="X32" s="208">
        <f t="shared" si="23"/>
        <v>14.476497268526062</v>
      </c>
      <c r="Y32" s="208">
        <f t="shared" ref="Y32:AB34" si="24">+$F32/P32</f>
        <v>30.049096348075398</v>
      </c>
      <c r="Z32" s="208">
        <f t="shared" si="24"/>
        <v>25.807444440840623</v>
      </c>
      <c r="AA32" s="208">
        <f t="shared" si="24"/>
        <v>18.110902218593502</v>
      </c>
      <c r="AB32" s="208">
        <f t="shared" si="24"/>
        <v>15.696924959103008</v>
      </c>
      <c r="AC32" s="205"/>
      <c r="AD32" s="209">
        <v>0.12524264864476239</v>
      </c>
      <c r="AE32" s="210">
        <v>0.11130279215385598</v>
      </c>
    </row>
    <row r="33" spans="2:31" s="203" customFormat="1" x14ac:dyDescent="0.25">
      <c r="B33" s="204" t="s">
        <v>157</v>
      </c>
      <c r="C33" s="205"/>
      <c r="D33" s="205">
        <v>290.11</v>
      </c>
      <c r="E33" s="204">
        <v>2955.2570000000001</v>
      </c>
      <c r="F33" s="205">
        <f t="shared" si="21"/>
        <v>857349.60827000008</v>
      </c>
      <c r="G33" s="205">
        <v>11177</v>
      </c>
      <c r="H33" s="205">
        <v>17576</v>
      </c>
      <c r="I33" s="205">
        <v>-6399</v>
      </c>
      <c r="J33" s="205">
        <f t="shared" si="22"/>
        <v>850950.60827000008</v>
      </c>
      <c r="K33" s="205"/>
      <c r="L33" s="205">
        <v>107640.68154000001</v>
      </c>
      <c r="M33" s="205">
        <v>128587.15763</v>
      </c>
      <c r="N33" s="205">
        <v>54305.981529999997</v>
      </c>
      <c r="O33" s="205">
        <v>65211.832920000001</v>
      </c>
      <c r="P33" s="205">
        <v>32703.955620000001</v>
      </c>
      <c r="Q33" s="205">
        <v>39218.975769999997</v>
      </c>
      <c r="R33" s="205">
        <v>51470.586669999997</v>
      </c>
      <c r="S33" s="205">
        <v>59559.92</v>
      </c>
      <c r="T33" s="207"/>
      <c r="U33" s="208">
        <f t="shared" si="23"/>
        <v>7.9054739908329275</v>
      </c>
      <c r="V33" s="208">
        <f t="shared" si="23"/>
        <v>6.6176951412095697</v>
      </c>
      <c r="W33" s="208">
        <f t="shared" si="23"/>
        <v>15.669555807584722</v>
      </c>
      <c r="X33" s="208">
        <f t="shared" si="23"/>
        <v>13.049021476116486</v>
      </c>
      <c r="Y33" s="208">
        <f t="shared" si="24"/>
        <v>26.215471248551065</v>
      </c>
      <c r="Z33" s="208">
        <f t="shared" si="24"/>
        <v>21.860581298653333</v>
      </c>
      <c r="AA33" s="208">
        <f t="shared" si="24"/>
        <v>16.657078610096988</v>
      </c>
      <c r="AB33" s="208">
        <f t="shared" si="24"/>
        <v>14.394740763083632</v>
      </c>
      <c r="AC33" s="205"/>
      <c r="AD33" s="209">
        <v>8.7122924623898979E-2</v>
      </c>
      <c r="AE33" s="210">
        <v>8.0140821843160029E-2</v>
      </c>
    </row>
    <row r="34" spans="2:31" s="203" customFormat="1" x14ac:dyDescent="0.25">
      <c r="B34" s="513" t="s">
        <v>180</v>
      </c>
      <c r="C34" s="514"/>
      <c r="D34" s="514">
        <v>66.23</v>
      </c>
      <c r="E34" s="513">
        <v>885.10652969542036</v>
      </c>
      <c r="F34" s="514">
        <f t="shared" si="21"/>
        <v>58620.605461727697</v>
      </c>
      <c r="G34" s="514">
        <v>2644.4559999999997</v>
      </c>
      <c r="H34" s="514">
        <v>17576</v>
      </c>
      <c r="I34" s="514">
        <v>656.02699999999959</v>
      </c>
      <c r="J34" s="514">
        <f t="shared" si="22"/>
        <v>59276.632461727699</v>
      </c>
      <c r="K34" s="514"/>
      <c r="L34" s="514">
        <v>4810.4875499999998</v>
      </c>
      <c r="M34" s="514">
        <v>5807.9865900000004</v>
      </c>
      <c r="N34" s="514">
        <v>1461.8734199999999</v>
      </c>
      <c r="O34" s="514">
        <v>1874.3901800000001</v>
      </c>
      <c r="P34" s="514">
        <v>193.92546999999999</v>
      </c>
      <c r="Q34" s="514">
        <v>399.27827000000002</v>
      </c>
      <c r="R34" s="514">
        <v>1280.7209</v>
      </c>
      <c r="S34" s="514">
        <v>1788.0740900000001</v>
      </c>
      <c r="T34" s="515"/>
      <c r="U34" s="516">
        <f t="shared" si="23"/>
        <v>12.322375194948316</v>
      </c>
      <c r="V34" s="516">
        <f t="shared" si="23"/>
        <v>10.20605532454022</v>
      </c>
      <c r="W34" s="516">
        <f t="shared" si="23"/>
        <v>40.548402926518563</v>
      </c>
      <c r="X34" s="516">
        <f t="shared" si="23"/>
        <v>31.624489444202965</v>
      </c>
      <c r="Y34" s="516">
        <f t="shared" si="24"/>
        <v>302.28419950060044</v>
      </c>
      <c r="Z34" s="516">
        <f t="shared" si="24"/>
        <v>146.81641818806642</v>
      </c>
      <c r="AA34" s="516">
        <f t="shared" si="24"/>
        <v>45.771569326094152</v>
      </c>
      <c r="AB34" s="516">
        <f t="shared" si="24"/>
        <v>32.784215033129691</v>
      </c>
      <c r="AC34" s="514"/>
      <c r="AD34" s="517">
        <v>0.33179784097578913</v>
      </c>
      <c r="AE34" s="518">
        <v>0.24913528973187524</v>
      </c>
    </row>
    <row r="35" spans="2:31" s="193" customFormat="1" x14ac:dyDescent="0.25">
      <c r="B35" s="510" t="s">
        <v>379</v>
      </c>
      <c r="C35" s="510"/>
      <c r="D35" s="510"/>
      <c r="E35" s="510"/>
      <c r="F35" s="510"/>
      <c r="G35" s="510"/>
      <c r="H35" s="510"/>
      <c r="I35" s="510"/>
      <c r="J35" s="510"/>
      <c r="K35" s="510"/>
      <c r="L35" s="510"/>
      <c r="M35" s="510"/>
      <c r="N35" s="510"/>
      <c r="O35" s="510"/>
      <c r="P35" s="510"/>
      <c r="Q35" s="510"/>
      <c r="R35" s="510"/>
      <c r="S35" s="510"/>
      <c r="T35" s="510"/>
      <c r="U35" s="511">
        <f>+AVERAGE(U32:U34)</f>
        <v>8.8375400622801763</v>
      </c>
      <c r="V35" s="511">
        <f t="shared" ref="V35:AB35" si="25">+AVERAGE(V32:V34)</f>
        <v>7.4025291376336559</v>
      </c>
      <c r="W35" s="511">
        <f t="shared" si="25"/>
        <v>24.428019914851749</v>
      </c>
      <c r="X35" s="511">
        <f t="shared" si="25"/>
        <v>19.716669396281837</v>
      </c>
      <c r="Y35" s="511">
        <f t="shared" si="25"/>
        <v>119.51625569907564</v>
      </c>
      <c r="Z35" s="511">
        <f t="shared" si="25"/>
        <v>64.828147975853469</v>
      </c>
      <c r="AA35" s="511">
        <f t="shared" si="25"/>
        <v>26.846516718261551</v>
      </c>
      <c r="AB35" s="511">
        <f t="shared" si="25"/>
        <v>20.958626918438778</v>
      </c>
      <c r="AC35" s="510"/>
      <c r="AD35" s="511">
        <f t="shared" ref="AD35:AE35" si="26">+AVERAGE(AD32:AD34)</f>
        <v>0.18138780474815017</v>
      </c>
      <c r="AE35" s="512">
        <f t="shared" si="26"/>
        <v>0.14685963457629708</v>
      </c>
    </row>
    <row r="36" spans="2:31" s="193" customFormat="1" x14ac:dyDescent="0.25">
      <c r="B36" s="510" t="s">
        <v>380</v>
      </c>
      <c r="C36" s="510"/>
      <c r="D36" s="510"/>
      <c r="E36" s="510"/>
      <c r="F36" s="510"/>
      <c r="G36" s="510"/>
      <c r="H36" s="510"/>
      <c r="I36" s="510"/>
      <c r="J36" s="510"/>
      <c r="K36" s="510"/>
      <c r="L36" s="510"/>
      <c r="M36" s="510"/>
      <c r="N36" s="510"/>
      <c r="O36" s="510"/>
      <c r="P36" s="510"/>
      <c r="Q36" s="510"/>
      <c r="R36" s="510"/>
      <c r="S36" s="510"/>
      <c r="T36" s="510"/>
      <c r="U36" s="511">
        <f>+MEDIAN(U32:U34)</f>
        <v>7.9054739908329275</v>
      </c>
      <c r="V36" s="511">
        <f t="shared" ref="V36:AB36" si="27">+MEDIAN(V32:V34)</f>
        <v>6.6176951412095697</v>
      </c>
      <c r="W36" s="511">
        <f t="shared" si="27"/>
        <v>17.066101010451966</v>
      </c>
      <c r="X36" s="511">
        <f t="shared" si="27"/>
        <v>14.476497268526062</v>
      </c>
      <c r="Y36" s="511">
        <f t="shared" si="27"/>
        <v>30.049096348075398</v>
      </c>
      <c r="Z36" s="511">
        <f t="shared" si="27"/>
        <v>25.807444440840623</v>
      </c>
      <c r="AA36" s="511">
        <f t="shared" si="27"/>
        <v>18.110902218593502</v>
      </c>
      <c r="AB36" s="511">
        <f t="shared" si="27"/>
        <v>15.696924959103008</v>
      </c>
      <c r="AC36" s="510"/>
      <c r="AD36" s="511">
        <f t="shared" ref="AD36:AE36" si="28">+MEDIAN(AD32:AD34)</f>
        <v>0.12524264864476239</v>
      </c>
      <c r="AE36" s="512">
        <f t="shared" si="28"/>
        <v>0.11130279215385598</v>
      </c>
    </row>
    <row r="37" spans="2:31" s="203" customFormat="1" x14ac:dyDescent="0.25">
      <c r="B37" s="510" t="s">
        <v>581</v>
      </c>
      <c r="C37" s="510"/>
      <c r="D37" s="510"/>
      <c r="E37" s="510"/>
      <c r="F37" s="510"/>
      <c r="G37" s="510"/>
      <c r="H37" s="510"/>
      <c r="I37" s="510"/>
      <c r="J37" s="510"/>
      <c r="K37" s="510"/>
      <c r="L37" s="510"/>
      <c r="M37" s="510"/>
      <c r="N37" s="510"/>
      <c r="O37" s="510"/>
      <c r="P37" s="510"/>
      <c r="Q37" s="510"/>
      <c r="R37" s="510"/>
      <c r="S37" s="510"/>
      <c r="T37" s="510"/>
      <c r="U37" s="511">
        <f>+MIN(U32:U34)</f>
        <v>6.2847710010592825</v>
      </c>
      <c r="V37" s="511">
        <f t="shared" ref="V37:AE37" si="29">+MIN(V32:V34)</f>
        <v>5.3838369471511776</v>
      </c>
      <c r="W37" s="511">
        <f t="shared" si="29"/>
        <v>15.669555807584722</v>
      </c>
      <c r="X37" s="511">
        <f t="shared" si="29"/>
        <v>13.049021476116486</v>
      </c>
      <c r="Y37" s="511">
        <f t="shared" si="29"/>
        <v>26.215471248551065</v>
      </c>
      <c r="Z37" s="511">
        <f t="shared" si="29"/>
        <v>21.860581298653333</v>
      </c>
      <c r="AA37" s="511">
        <f t="shared" si="29"/>
        <v>16.657078610096988</v>
      </c>
      <c r="AB37" s="511">
        <f t="shared" si="29"/>
        <v>14.394740763083632</v>
      </c>
      <c r="AC37" s="510">
        <f t="shared" si="29"/>
        <v>0</v>
      </c>
      <c r="AD37" s="511">
        <f t="shared" si="29"/>
        <v>8.7122924623898979E-2</v>
      </c>
      <c r="AE37" s="512">
        <f t="shared" si="29"/>
        <v>8.0140821843160029E-2</v>
      </c>
    </row>
    <row r="38" spans="2:31" s="203" customFormat="1" x14ac:dyDescent="0.25">
      <c r="B38" s="510" t="s">
        <v>582</v>
      </c>
      <c r="C38" s="510"/>
      <c r="D38" s="510"/>
      <c r="E38" s="510"/>
      <c r="F38" s="510"/>
      <c r="G38" s="510"/>
      <c r="H38" s="510"/>
      <c r="I38" s="510"/>
      <c r="J38" s="510"/>
      <c r="K38" s="510"/>
      <c r="L38" s="510"/>
      <c r="M38" s="510"/>
      <c r="N38" s="510"/>
      <c r="O38" s="510"/>
      <c r="P38" s="510"/>
      <c r="Q38" s="510"/>
      <c r="R38" s="510"/>
      <c r="S38" s="510"/>
      <c r="T38" s="510"/>
      <c r="U38" s="511">
        <f>+MAX(U32:U34)</f>
        <v>12.322375194948316</v>
      </c>
      <c r="V38" s="511">
        <f t="shared" ref="V38:AE38" si="30">+MAX(V32:V34)</f>
        <v>10.20605532454022</v>
      </c>
      <c r="W38" s="511">
        <f t="shared" si="30"/>
        <v>40.548402926518563</v>
      </c>
      <c r="X38" s="511">
        <f t="shared" si="30"/>
        <v>31.624489444202965</v>
      </c>
      <c r="Y38" s="511">
        <f t="shared" si="30"/>
        <v>302.28419950060044</v>
      </c>
      <c r="Z38" s="511">
        <f t="shared" si="30"/>
        <v>146.81641818806642</v>
      </c>
      <c r="AA38" s="511">
        <f t="shared" si="30"/>
        <v>45.771569326094152</v>
      </c>
      <c r="AB38" s="511">
        <f t="shared" si="30"/>
        <v>32.784215033129691</v>
      </c>
      <c r="AC38" s="510">
        <f t="shared" si="30"/>
        <v>0</v>
      </c>
      <c r="AD38" s="511">
        <f t="shared" si="30"/>
        <v>0.33179784097578913</v>
      </c>
      <c r="AE38" s="512">
        <f t="shared" si="30"/>
        <v>0.24913528973187524</v>
      </c>
    </row>
    <row r="39" spans="2:31" s="203" customFormat="1" x14ac:dyDescent="0.25">
      <c r="B39" s="204"/>
      <c r="C39" s="205"/>
      <c r="D39" s="206"/>
      <c r="E39" s="204"/>
      <c r="F39" s="205"/>
      <c r="G39" s="205"/>
      <c r="H39" s="205"/>
      <c r="I39" s="205"/>
      <c r="J39" s="205"/>
      <c r="K39" s="205"/>
      <c r="L39" s="205"/>
      <c r="M39" s="205"/>
      <c r="N39" s="205"/>
      <c r="O39" s="205"/>
      <c r="P39" s="205"/>
      <c r="Q39" s="205"/>
      <c r="R39" s="205"/>
      <c r="S39" s="205"/>
      <c r="T39" s="207"/>
      <c r="U39" s="208"/>
      <c r="V39" s="208"/>
      <c r="W39" s="208"/>
      <c r="X39" s="208"/>
      <c r="Y39" s="208"/>
      <c r="Z39" s="208"/>
      <c r="AA39" s="208"/>
      <c r="AB39" s="208"/>
      <c r="AC39" s="205"/>
      <c r="AD39" s="209"/>
      <c r="AE39" s="210"/>
    </row>
    <row r="40" spans="2:31" s="203" customFormat="1" x14ac:dyDescent="0.25">
      <c r="B40" s="503" t="s">
        <v>181</v>
      </c>
      <c r="C40" s="504"/>
      <c r="D40" s="505"/>
      <c r="E40" s="503"/>
      <c r="F40" s="504"/>
      <c r="G40" s="504"/>
      <c r="H40" s="504"/>
      <c r="I40" s="504"/>
      <c r="J40" s="504"/>
      <c r="K40" s="504"/>
      <c r="L40" s="504"/>
      <c r="M40" s="504"/>
      <c r="N40" s="504"/>
      <c r="O40" s="504"/>
      <c r="P40" s="504"/>
      <c r="Q40" s="504"/>
      <c r="R40" s="504"/>
      <c r="S40" s="504"/>
      <c r="T40" s="506"/>
      <c r="U40" s="507"/>
      <c r="V40" s="507"/>
      <c r="W40" s="507"/>
      <c r="X40" s="507"/>
      <c r="Y40" s="507"/>
      <c r="Z40" s="507"/>
      <c r="AA40" s="507"/>
      <c r="AB40" s="507"/>
      <c r="AC40" s="504"/>
      <c r="AD40" s="508"/>
      <c r="AE40" s="509"/>
    </row>
    <row r="41" spans="2:31" s="203" customFormat="1" x14ac:dyDescent="0.25">
      <c r="B41" s="204" t="s">
        <v>266</v>
      </c>
      <c r="C41" s="205"/>
      <c r="D41" s="205">
        <v>212.2</v>
      </c>
      <c r="E41" s="204">
        <v>963.81903864278979</v>
      </c>
      <c r="F41" s="205">
        <f t="shared" ref="F41:F44" si="31">+D41*E41</f>
        <v>204522.4</v>
      </c>
      <c r="G41" s="205">
        <v>6413</v>
      </c>
      <c r="H41" s="205">
        <v>6195</v>
      </c>
      <c r="I41" s="205">
        <v>218</v>
      </c>
      <c r="J41" s="205">
        <f t="shared" ref="J41:J44" si="32">+F41+I41</f>
        <v>204740.4</v>
      </c>
      <c r="K41" s="205"/>
      <c r="L41" s="205">
        <v>21116.503550000001</v>
      </c>
      <c r="M41" s="205">
        <v>25701.604480000002</v>
      </c>
      <c r="N41" s="205">
        <v>6337.2324500000004</v>
      </c>
      <c r="O41" s="205">
        <v>7651.0971499999996</v>
      </c>
      <c r="P41" s="205">
        <v>3853.5125200000002</v>
      </c>
      <c r="Q41" s="205">
        <v>134.87329</v>
      </c>
      <c r="R41" s="205">
        <v>4850.5675700000002</v>
      </c>
      <c r="S41" s="205">
        <v>5465.7944600000001</v>
      </c>
      <c r="T41" s="207"/>
      <c r="U41" s="208">
        <f t="shared" ref="U41:X44" si="33">+$J41/L41</f>
        <v>9.6957528747698376</v>
      </c>
      <c r="V41" s="208">
        <f t="shared" si="33"/>
        <v>7.9660551993678483</v>
      </c>
      <c r="W41" s="208">
        <f t="shared" si="33"/>
        <v>32.307541441059179</v>
      </c>
      <c r="X41" s="208">
        <f t="shared" si="33"/>
        <v>26.759613162146294</v>
      </c>
      <c r="Y41" s="208">
        <f t="shared" ref="Y41:AB44" si="34">+$F41/P41</f>
        <v>53.074279359030079</v>
      </c>
      <c r="Z41" s="208">
        <f t="shared" si="34"/>
        <v>1516.4040263272291</v>
      </c>
      <c r="AA41" s="208">
        <f t="shared" si="34"/>
        <v>42.164632705034144</v>
      </c>
      <c r="AB41" s="208">
        <f t="shared" si="34"/>
        <v>37.418604284655082</v>
      </c>
      <c r="AC41" s="205"/>
      <c r="AD41" s="209">
        <v>0.15455619020075675</v>
      </c>
      <c r="AE41" s="210">
        <v>0.13386632154636163</v>
      </c>
    </row>
    <row r="42" spans="2:31" s="203" customFormat="1" x14ac:dyDescent="0.25">
      <c r="B42" s="204" t="s">
        <v>264</v>
      </c>
      <c r="C42" s="205"/>
      <c r="D42" s="205">
        <v>66.260000000000005</v>
      </c>
      <c r="E42" s="204">
        <v>2917</v>
      </c>
      <c r="F42" s="205">
        <f t="shared" si="31"/>
        <v>193280.42</v>
      </c>
      <c r="G42" s="205">
        <v>69299</v>
      </c>
      <c r="H42" s="205">
        <v>6195</v>
      </c>
      <c r="I42" s="205">
        <v>46978</v>
      </c>
      <c r="J42" s="205">
        <f t="shared" si="32"/>
        <v>240258.42</v>
      </c>
      <c r="K42" s="205"/>
      <c r="L42" s="205">
        <v>40012.432399999998</v>
      </c>
      <c r="M42" s="205">
        <v>41013.555549999997</v>
      </c>
      <c r="N42" s="205">
        <v>20306.649720000001</v>
      </c>
      <c r="O42" s="205">
        <v>20590.603650000001</v>
      </c>
      <c r="P42" s="205">
        <v>10368.871419999999</v>
      </c>
      <c r="Q42" s="205">
        <v>10794.986150000001</v>
      </c>
      <c r="R42" s="205">
        <v>14197.866669999999</v>
      </c>
      <c r="S42" s="205">
        <v>14954.488240000001</v>
      </c>
      <c r="T42" s="207"/>
      <c r="U42" s="208">
        <f t="shared" si="33"/>
        <v>6.0045942120729459</v>
      </c>
      <c r="V42" s="208">
        <f t="shared" si="33"/>
        <v>5.8580246647257583</v>
      </c>
      <c r="W42" s="208">
        <f t="shared" si="33"/>
        <v>11.831514470029475</v>
      </c>
      <c r="X42" s="208">
        <f t="shared" si="33"/>
        <v>11.668352423460883</v>
      </c>
      <c r="Y42" s="208">
        <f t="shared" si="34"/>
        <v>18.640449106851786</v>
      </c>
      <c r="Z42" s="208">
        <f t="shared" si="34"/>
        <v>17.904647334818488</v>
      </c>
      <c r="AA42" s="208">
        <f t="shared" si="34"/>
        <v>13.61334237687978</v>
      </c>
      <c r="AB42" s="208">
        <f t="shared" si="34"/>
        <v>12.924576013441701</v>
      </c>
      <c r="AC42" s="205"/>
      <c r="AD42" s="209">
        <v>7.1909307875894992</v>
      </c>
      <c r="AE42" s="210">
        <v>0.87791375291375295</v>
      </c>
    </row>
    <row r="43" spans="2:31" s="203" customFormat="1" x14ac:dyDescent="0.25">
      <c r="B43" s="204" t="s">
        <v>268</v>
      </c>
      <c r="C43" s="205"/>
      <c r="D43" s="205">
        <v>123.30398</v>
      </c>
      <c r="E43" s="204">
        <v>1196.7125659154813</v>
      </c>
      <c r="F43" s="205">
        <f t="shared" si="31"/>
        <v>147559.42229339117</v>
      </c>
      <c r="G43" s="205">
        <v>18914.984710000001</v>
      </c>
      <c r="H43" s="205">
        <v>6496.6360800000002</v>
      </c>
      <c r="I43" s="205">
        <v>12418.34863</v>
      </c>
      <c r="J43" s="205">
        <f t="shared" si="32"/>
        <v>159977.77092339116</v>
      </c>
      <c r="K43" s="205"/>
      <c r="L43" s="205">
        <v>32812.765039999998</v>
      </c>
      <c r="M43" s="205">
        <v>34043.374669999997</v>
      </c>
      <c r="N43" s="205">
        <v>11490.18958</v>
      </c>
      <c r="O43" s="205">
        <v>11755.686960000001</v>
      </c>
      <c r="P43" s="205">
        <v>4983.72606</v>
      </c>
      <c r="Q43" s="205">
        <v>5375.7334499999997</v>
      </c>
      <c r="R43" s="205">
        <v>6956.5965999999999</v>
      </c>
      <c r="S43" s="205">
        <v>7754.1807600000002</v>
      </c>
      <c r="T43" s="207"/>
      <c r="U43" s="208">
        <f t="shared" si="33"/>
        <v>4.8754736374204439</v>
      </c>
      <c r="V43" s="208">
        <f t="shared" si="33"/>
        <v>4.6992336239911072</v>
      </c>
      <c r="W43" s="208">
        <f t="shared" si="33"/>
        <v>13.922987937627322</v>
      </c>
      <c r="X43" s="208">
        <f t="shared" si="33"/>
        <v>13.608542951826879</v>
      </c>
      <c r="Y43" s="208">
        <f t="shared" si="34"/>
        <v>29.608253045391336</v>
      </c>
      <c r="Z43" s="208">
        <f t="shared" si="34"/>
        <v>27.449170176655834</v>
      </c>
      <c r="AA43" s="208">
        <f t="shared" si="34"/>
        <v>21.211438693080346</v>
      </c>
      <c r="AB43" s="208">
        <f t="shared" si="34"/>
        <v>19.029659851957224</v>
      </c>
      <c r="AC43" s="205"/>
      <c r="AD43" s="209">
        <v>0.51667334941321708</v>
      </c>
      <c r="AE43" s="210">
        <v>0.34066224583764976</v>
      </c>
    </row>
    <row r="44" spans="2:31" s="203" customFormat="1" x14ac:dyDescent="0.25">
      <c r="B44" s="513" t="s">
        <v>182</v>
      </c>
      <c r="C44" s="514"/>
      <c r="D44" s="514">
        <v>145.97999999999999</v>
      </c>
      <c r="E44" s="513">
        <v>439.51199999999994</v>
      </c>
      <c r="F44" s="514">
        <f t="shared" si="31"/>
        <v>64159.961759999984</v>
      </c>
      <c r="G44" s="514">
        <v>5878</v>
      </c>
      <c r="H44" s="514">
        <v>4692</v>
      </c>
      <c r="I44" s="514">
        <v>1186</v>
      </c>
      <c r="J44" s="514">
        <f t="shared" si="32"/>
        <v>65345.961759999984</v>
      </c>
      <c r="K44" s="514"/>
      <c r="L44" s="514">
        <v>11705.82042</v>
      </c>
      <c r="M44" s="514">
        <v>12729.34497</v>
      </c>
      <c r="N44" s="514">
        <v>4617.1655099999998</v>
      </c>
      <c r="O44" s="514">
        <v>4414.49694</v>
      </c>
      <c r="P44" s="514">
        <v>1699.7864500000001</v>
      </c>
      <c r="Q44" s="514">
        <v>1596.44451</v>
      </c>
      <c r="R44" s="514">
        <v>3755.3091800000002</v>
      </c>
      <c r="S44" s="514">
        <v>3921.2601300000001</v>
      </c>
      <c r="T44" s="515"/>
      <c r="U44" s="516">
        <f t="shared" si="33"/>
        <v>5.5823478761345955</v>
      </c>
      <c r="V44" s="516">
        <f t="shared" si="33"/>
        <v>5.1334897368250036</v>
      </c>
      <c r="W44" s="516">
        <f t="shared" si="33"/>
        <v>14.152830696337759</v>
      </c>
      <c r="X44" s="516">
        <f t="shared" si="33"/>
        <v>14.802583997260623</v>
      </c>
      <c r="Y44" s="516">
        <f t="shared" si="34"/>
        <v>37.745895527052816</v>
      </c>
      <c r="Z44" s="516">
        <f t="shared" si="34"/>
        <v>40.189283973296376</v>
      </c>
      <c r="AA44" s="516">
        <f t="shared" si="34"/>
        <v>17.08513432174977</v>
      </c>
      <c r="AB44" s="516">
        <f t="shared" si="34"/>
        <v>16.362077401888659</v>
      </c>
      <c r="AC44" s="514"/>
      <c r="AD44" s="517">
        <v>0.64943100209921556</v>
      </c>
      <c r="AE44" s="518">
        <v>0.39373032353138188</v>
      </c>
    </row>
    <row r="45" spans="2:31" s="193" customFormat="1" x14ac:dyDescent="0.25">
      <c r="B45" s="510" t="s">
        <v>381</v>
      </c>
      <c r="C45" s="510"/>
      <c r="D45" s="510"/>
      <c r="E45" s="510"/>
      <c r="F45" s="510"/>
      <c r="G45" s="510"/>
      <c r="H45" s="510"/>
      <c r="I45" s="510"/>
      <c r="J45" s="510"/>
      <c r="K45" s="510"/>
      <c r="L45" s="510"/>
      <c r="M45" s="510"/>
      <c r="N45" s="510"/>
      <c r="O45" s="510"/>
      <c r="P45" s="510"/>
      <c r="Q45" s="510"/>
      <c r="R45" s="510"/>
      <c r="S45" s="510"/>
      <c r="T45" s="510"/>
      <c r="U45" s="511">
        <f>+AVERAGE(U41:U44)</f>
        <v>6.5395421500994555</v>
      </c>
      <c r="V45" s="511">
        <f t="shared" ref="V45:AB45" si="35">+AVERAGE(V41:V44)</f>
        <v>5.9142008062274289</v>
      </c>
      <c r="W45" s="511">
        <f t="shared" si="35"/>
        <v>18.053718636263433</v>
      </c>
      <c r="X45" s="511">
        <f t="shared" si="35"/>
        <v>16.709773133673668</v>
      </c>
      <c r="Y45" s="511">
        <f t="shared" si="35"/>
        <v>34.767219259581502</v>
      </c>
      <c r="Z45" s="511">
        <f t="shared" si="35"/>
        <v>400.48678195299993</v>
      </c>
      <c r="AA45" s="511">
        <f t="shared" si="35"/>
        <v>23.518637024186006</v>
      </c>
      <c r="AB45" s="511">
        <f t="shared" si="35"/>
        <v>21.433729387985665</v>
      </c>
      <c r="AC45" s="510"/>
      <c r="AD45" s="511">
        <f t="shared" ref="AD45:AE45" si="36">+AVERAGE(AD41:AD44)</f>
        <v>2.1278978323256723</v>
      </c>
      <c r="AE45" s="512">
        <f t="shared" si="36"/>
        <v>0.43654316095728657</v>
      </c>
    </row>
    <row r="46" spans="2:31" s="193" customFormat="1" x14ac:dyDescent="0.25">
      <c r="B46" s="510" t="s">
        <v>382</v>
      </c>
      <c r="C46" s="510"/>
      <c r="D46" s="510"/>
      <c r="E46" s="510"/>
      <c r="F46" s="510"/>
      <c r="G46" s="510"/>
      <c r="H46" s="510"/>
      <c r="I46" s="510"/>
      <c r="J46" s="510"/>
      <c r="K46" s="510"/>
      <c r="L46" s="510"/>
      <c r="M46" s="510"/>
      <c r="N46" s="510"/>
      <c r="O46" s="510"/>
      <c r="P46" s="510"/>
      <c r="Q46" s="510"/>
      <c r="R46" s="510"/>
      <c r="S46" s="510"/>
      <c r="T46" s="510"/>
      <c r="U46" s="511">
        <f>+MEDIAN(U41:U44)</f>
        <v>5.7934710441037707</v>
      </c>
      <c r="V46" s="511">
        <f t="shared" ref="V46:AB46" si="37">+MEDIAN(V41:V44)</f>
        <v>5.4957572007753814</v>
      </c>
      <c r="W46" s="511">
        <f t="shared" si="37"/>
        <v>14.037909316982541</v>
      </c>
      <c r="X46" s="511">
        <f t="shared" si="37"/>
        <v>14.205563474543752</v>
      </c>
      <c r="Y46" s="511">
        <f t="shared" si="37"/>
        <v>33.67707428622208</v>
      </c>
      <c r="Z46" s="511">
        <f t="shared" si="37"/>
        <v>33.819227074976105</v>
      </c>
      <c r="AA46" s="511">
        <f t="shared" si="37"/>
        <v>19.148286507415058</v>
      </c>
      <c r="AB46" s="511">
        <f t="shared" si="37"/>
        <v>17.695868626922941</v>
      </c>
      <c r="AC46" s="510"/>
      <c r="AD46" s="511">
        <f t="shared" ref="AD46:AE46" si="38">+MEDIAN(AD41:AD44)</f>
        <v>0.58305217575621637</v>
      </c>
      <c r="AE46" s="512">
        <f t="shared" si="38"/>
        <v>0.36719628468451582</v>
      </c>
    </row>
    <row r="47" spans="2:31" s="193" customFormat="1" x14ac:dyDescent="0.25">
      <c r="B47" s="510" t="s">
        <v>583</v>
      </c>
      <c r="C47" s="510"/>
      <c r="D47" s="510"/>
      <c r="E47" s="510"/>
      <c r="F47" s="510"/>
      <c r="G47" s="510"/>
      <c r="H47" s="510"/>
      <c r="I47" s="510"/>
      <c r="J47" s="510"/>
      <c r="K47" s="510"/>
      <c r="L47" s="510"/>
      <c r="M47" s="510"/>
      <c r="N47" s="510"/>
      <c r="O47" s="510"/>
      <c r="P47" s="510"/>
      <c r="Q47" s="510"/>
      <c r="R47" s="510"/>
      <c r="S47" s="510"/>
      <c r="T47" s="510"/>
      <c r="U47" s="511">
        <f>+MIN(U41:U44)</f>
        <v>4.8754736374204439</v>
      </c>
      <c r="V47" s="511">
        <f t="shared" ref="V47:AE47" si="39">+MIN(V41:V44)</f>
        <v>4.6992336239911072</v>
      </c>
      <c r="W47" s="511">
        <f t="shared" si="39"/>
        <v>11.831514470029475</v>
      </c>
      <c r="X47" s="511">
        <f t="shared" si="39"/>
        <v>11.668352423460883</v>
      </c>
      <c r="Y47" s="511">
        <f t="shared" si="39"/>
        <v>18.640449106851786</v>
      </c>
      <c r="Z47" s="511">
        <f t="shared" si="39"/>
        <v>17.904647334818488</v>
      </c>
      <c r="AA47" s="511">
        <f t="shared" si="39"/>
        <v>13.61334237687978</v>
      </c>
      <c r="AB47" s="511">
        <f t="shared" si="39"/>
        <v>12.924576013441701</v>
      </c>
      <c r="AC47" s="510">
        <f t="shared" si="39"/>
        <v>0</v>
      </c>
      <c r="AD47" s="511">
        <f t="shared" si="39"/>
        <v>0.15455619020075675</v>
      </c>
      <c r="AE47" s="512">
        <f t="shared" si="39"/>
        <v>0.13386632154636163</v>
      </c>
    </row>
    <row r="48" spans="2:31" s="193" customFormat="1" x14ac:dyDescent="0.25">
      <c r="B48" s="510" t="s">
        <v>584</v>
      </c>
      <c r="C48" s="510"/>
      <c r="D48" s="510"/>
      <c r="E48" s="510"/>
      <c r="F48" s="510"/>
      <c r="G48" s="510"/>
      <c r="H48" s="510"/>
      <c r="I48" s="510"/>
      <c r="J48" s="510"/>
      <c r="K48" s="510"/>
      <c r="L48" s="510"/>
      <c r="M48" s="510"/>
      <c r="N48" s="510"/>
      <c r="O48" s="510"/>
      <c r="P48" s="510"/>
      <c r="Q48" s="510"/>
      <c r="R48" s="510"/>
      <c r="S48" s="510"/>
      <c r="T48" s="510"/>
      <c r="U48" s="511">
        <f>+MAX(U41:U44)</f>
        <v>9.6957528747698376</v>
      </c>
      <c r="V48" s="511">
        <f t="shared" ref="V48:AE48" si="40">+MAX(V41:V44)</f>
        <v>7.9660551993678483</v>
      </c>
      <c r="W48" s="511">
        <f t="shared" si="40"/>
        <v>32.307541441059179</v>
      </c>
      <c r="X48" s="511">
        <f t="shared" si="40"/>
        <v>26.759613162146294</v>
      </c>
      <c r="Y48" s="511">
        <f t="shared" si="40"/>
        <v>53.074279359030079</v>
      </c>
      <c r="Z48" s="511">
        <f t="shared" si="40"/>
        <v>1516.4040263272291</v>
      </c>
      <c r="AA48" s="511">
        <f t="shared" si="40"/>
        <v>42.164632705034144</v>
      </c>
      <c r="AB48" s="511">
        <f t="shared" si="40"/>
        <v>37.418604284655082</v>
      </c>
      <c r="AC48" s="510">
        <f t="shared" si="40"/>
        <v>0</v>
      </c>
      <c r="AD48" s="511">
        <f t="shared" si="40"/>
        <v>7.1909307875894992</v>
      </c>
      <c r="AE48" s="512">
        <f t="shared" si="40"/>
        <v>0.87791375291375295</v>
      </c>
    </row>
    <row r="49" spans="2:31" s="203" customFormat="1" x14ac:dyDescent="0.25">
      <c r="B49" s="204"/>
      <c r="C49" s="205"/>
      <c r="D49" s="206"/>
      <c r="E49" s="204"/>
      <c r="F49" s="205"/>
      <c r="G49" s="205"/>
      <c r="H49" s="205"/>
      <c r="I49" s="205"/>
      <c r="J49" s="205"/>
      <c r="K49" s="205"/>
      <c r="L49" s="205"/>
      <c r="M49" s="205"/>
      <c r="N49" s="205"/>
      <c r="O49" s="205"/>
      <c r="P49" s="205"/>
      <c r="Q49" s="205"/>
      <c r="R49" s="205"/>
      <c r="S49" s="205"/>
      <c r="T49" s="207"/>
      <c r="U49" s="208"/>
      <c r="V49" s="208"/>
      <c r="W49" s="208"/>
      <c r="X49" s="208"/>
      <c r="Y49" s="208"/>
      <c r="Z49" s="208"/>
      <c r="AA49" s="208"/>
      <c r="AB49" s="208"/>
      <c r="AC49" s="205"/>
      <c r="AD49" s="209"/>
      <c r="AE49" s="210"/>
    </row>
    <row r="50" spans="2:31" s="203" customFormat="1" x14ac:dyDescent="0.25">
      <c r="B50" s="503" t="s">
        <v>383</v>
      </c>
      <c r="C50" s="504"/>
      <c r="D50" s="505"/>
      <c r="E50" s="503"/>
      <c r="F50" s="504"/>
      <c r="G50" s="504"/>
      <c r="H50" s="504"/>
      <c r="I50" s="504"/>
      <c r="J50" s="504"/>
      <c r="K50" s="504"/>
      <c r="L50" s="504"/>
      <c r="M50" s="504"/>
      <c r="N50" s="504"/>
      <c r="O50" s="504"/>
      <c r="P50" s="504"/>
      <c r="Q50" s="504"/>
      <c r="R50" s="504"/>
      <c r="S50" s="504"/>
      <c r="T50" s="506"/>
      <c r="U50" s="507"/>
      <c r="V50" s="507"/>
      <c r="W50" s="507"/>
      <c r="X50" s="507"/>
      <c r="Y50" s="507"/>
      <c r="Z50" s="507"/>
      <c r="AA50" s="507"/>
      <c r="AB50" s="507"/>
      <c r="AC50" s="504"/>
      <c r="AD50" s="508"/>
      <c r="AE50" s="509"/>
    </row>
    <row r="51" spans="2:31" s="203" customFormat="1" x14ac:dyDescent="0.25">
      <c r="B51" s="204" t="s">
        <v>316</v>
      </c>
      <c r="C51" s="205"/>
      <c r="D51" s="205">
        <v>512.17999999999995</v>
      </c>
      <c r="E51" s="204">
        <v>456.39056490347144</v>
      </c>
      <c r="F51" s="205">
        <f t="shared" ref="F51:F54" si="41">+D51*E51</f>
        <v>233754.11953225997</v>
      </c>
      <c r="G51" s="205">
        <v>18510.826000000001</v>
      </c>
      <c r="H51" s="205">
        <v>8205.5499999999993</v>
      </c>
      <c r="I51" s="205">
        <v>10305.276000000002</v>
      </c>
      <c r="J51" s="205">
        <f t="shared" ref="J51:J54" si="42">+F51+I51</f>
        <v>244059.39553225998</v>
      </c>
      <c r="K51" s="205"/>
      <c r="L51" s="205">
        <v>30009.294730000001</v>
      </c>
      <c r="M51" s="205">
        <v>34701.41001</v>
      </c>
      <c r="N51" s="205">
        <v>6669.4741400000003</v>
      </c>
      <c r="O51" s="205">
        <v>8404.0180299999993</v>
      </c>
      <c r="P51" s="205">
        <v>4513.9276099999997</v>
      </c>
      <c r="Q51" s="205">
        <v>5881.9483899999996</v>
      </c>
      <c r="R51" s="205">
        <v>500.69011999999998</v>
      </c>
      <c r="S51" s="205">
        <v>1538.0186900000001</v>
      </c>
      <c r="T51" s="207"/>
      <c r="U51" s="208">
        <f t="shared" ref="U51:X54" si="43">+$J51/L51</f>
        <v>8.1327934471007808</v>
      </c>
      <c r="V51" s="208">
        <f t="shared" si="43"/>
        <v>7.0331261888761496</v>
      </c>
      <c r="W51" s="208">
        <f t="shared" si="43"/>
        <v>36.593499038930226</v>
      </c>
      <c r="X51" s="208">
        <f t="shared" si="43"/>
        <v>29.040798658574509</v>
      </c>
      <c r="Y51" s="208">
        <f t="shared" ref="Y51:AB54" si="44">+$F51/P51</f>
        <v>51.78508379585201</v>
      </c>
      <c r="Z51" s="208">
        <f t="shared" si="44"/>
        <v>39.740933451519112</v>
      </c>
      <c r="AA51" s="208">
        <f t="shared" si="44"/>
        <v>466.86385489743634</v>
      </c>
      <c r="AB51" s="208">
        <f t="shared" si="44"/>
        <v>151.98392649718707</v>
      </c>
      <c r="AC51" s="205"/>
      <c r="AD51" s="209">
        <v>1.6728806605188864</v>
      </c>
      <c r="AE51" s="210">
        <v>0.6258718113490821</v>
      </c>
    </row>
    <row r="52" spans="2:31" s="203" customFormat="1" x14ac:dyDescent="0.25">
      <c r="B52" s="204" t="s">
        <v>314</v>
      </c>
      <c r="C52" s="205"/>
      <c r="D52" s="205">
        <v>272.11</v>
      </c>
      <c r="E52" s="204">
        <v>198.39905316952704</v>
      </c>
      <c r="F52" s="205">
        <f t="shared" si="41"/>
        <v>53986.366357960003</v>
      </c>
      <c r="G52" s="205">
        <v>743.73089000000004</v>
      </c>
      <c r="H52" s="205">
        <v>1407.9510700000001</v>
      </c>
      <c r="I52" s="205">
        <v>-664.22018000000003</v>
      </c>
      <c r="J52" s="205">
        <f t="shared" si="42"/>
        <v>53322.146177960007</v>
      </c>
      <c r="K52" s="205"/>
      <c r="L52" s="205">
        <v>11340.61673</v>
      </c>
      <c r="M52" s="205">
        <v>13579.68958</v>
      </c>
      <c r="N52" s="205">
        <v>-69.601590000000002</v>
      </c>
      <c r="O52" s="205">
        <v>149.45739</v>
      </c>
      <c r="P52" s="205">
        <v>-343.20850000000002</v>
      </c>
      <c r="Q52" s="205">
        <v>-181.57317</v>
      </c>
      <c r="R52" s="205">
        <v>417.85843</v>
      </c>
      <c r="S52" s="205">
        <v>819.78107</v>
      </c>
      <c r="T52" s="207"/>
      <c r="U52" s="208">
        <f t="shared" si="43"/>
        <v>4.7018735794944728</v>
      </c>
      <c r="V52" s="208">
        <f t="shared" si="43"/>
        <v>3.9266100939812505</v>
      </c>
      <c r="W52" s="208">
        <f t="shared" si="43"/>
        <v>-766.10528836999276</v>
      </c>
      <c r="X52" s="208">
        <f t="shared" si="43"/>
        <v>356.77155996073532</v>
      </c>
      <c r="Y52" s="208">
        <f t="shared" si="44"/>
        <v>-157.29903646896858</v>
      </c>
      <c r="Z52" s="208">
        <f t="shared" si="44"/>
        <v>-297.32568064962464</v>
      </c>
      <c r="AA52" s="208">
        <f t="shared" si="44"/>
        <v>129.19774373813638</v>
      </c>
      <c r="AB52" s="208">
        <f t="shared" si="44"/>
        <v>65.854614522826196</v>
      </c>
      <c r="AC52" s="205"/>
      <c r="AD52" s="209">
        <v>0.21675579417915869</v>
      </c>
      <c r="AE52" s="210">
        <v>0.17814239736198281</v>
      </c>
    </row>
    <row r="53" spans="2:31" s="203" customFormat="1" x14ac:dyDescent="0.25">
      <c r="B53" s="204" t="s">
        <v>313</v>
      </c>
      <c r="C53" s="205"/>
      <c r="D53" s="205">
        <v>347.51</v>
      </c>
      <c r="E53" s="204">
        <v>141.54353552415756</v>
      </c>
      <c r="F53" s="205">
        <f t="shared" si="41"/>
        <v>49187.79402999999</v>
      </c>
      <c r="G53" s="205">
        <v>438.32499999999999</v>
      </c>
      <c r="H53" s="205">
        <v>1092.8150000000001</v>
      </c>
      <c r="I53" s="205">
        <v>-654.49</v>
      </c>
      <c r="J53" s="205">
        <f t="shared" si="42"/>
        <v>48533.304029999992</v>
      </c>
      <c r="K53" s="205"/>
      <c r="L53" s="205">
        <v>2529.8315299999999</v>
      </c>
      <c r="M53" s="205">
        <v>3501.87878</v>
      </c>
      <c r="N53" s="205">
        <v>175.32220000000001</v>
      </c>
      <c r="O53" s="205">
        <v>333.93792999999999</v>
      </c>
      <c r="P53" s="205">
        <v>-31.402370000000001</v>
      </c>
      <c r="Q53" s="205">
        <v>79.201099999999997</v>
      </c>
      <c r="R53" s="205">
        <v>181.988</v>
      </c>
      <c r="S53" s="205">
        <v>371.19450000000001</v>
      </c>
      <c r="T53" s="207"/>
      <c r="U53" s="208">
        <f>+$J53/L53</f>
        <v>19.184401591358139</v>
      </c>
      <c r="V53" s="208">
        <f t="shared" si="43"/>
        <v>13.859218744859007</v>
      </c>
      <c r="W53" s="208">
        <f t="shared" si="43"/>
        <v>276.82349428651929</v>
      </c>
      <c r="X53" s="208">
        <f t="shared" si="43"/>
        <v>145.33630255778368</v>
      </c>
      <c r="Y53" s="208">
        <f t="shared" si="44"/>
        <v>-1566.3720295633734</v>
      </c>
      <c r="Z53" s="208">
        <f t="shared" si="44"/>
        <v>621.04937974346308</v>
      </c>
      <c r="AA53" s="208">
        <f t="shared" si="44"/>
        <v>270.28042524781847</v>
      </c>
      <c r="AB53" s="208">
        <f t="shared" si="44"/>
        <v>132.51218439389589</v>
      </c>
      <c r="AC53" s="205"/>
      <c r="AD53" s="209">
        <v>0.33006027793360765</v>
      </c>
      <c r="AE53" s="210">
        <v>0.24815437571475477</v>
      </c>
    </row>
    <row r="54" spans="2:31" s="203" customFormat="1" x14ac:dyDescent="0.25">
      <c r="B54" s="513" t="s">
        <v>315</v>
      </c>
      <c r="C54" s="514"/>
      <c r="D54" s="514">
        <v>6.08</v>
      </c>
      <c r="E54" s="513">
        <v>4173.1233881578946</v>
      </c>
      <c r="F54" s="514">
        <f t="shared" si="41"/>
        <v>25372.590199999999</v>
      </c>
      <c r="G54" s="514">
        <v>8968</v>
      </c>
      <c r="H54" s="514">
        <v>71</v>
      </c>
      <c r="I54" s="514">
        <v>8897</v>
      </c>
      <c r="J54" s="514">
        <f t="shared" si="42"/>
        <v>34269.590199999999</v>
      </c>
      <c r="K54" s="514"/>
      <c r="L54" s="514">
        <v>8407.1327700000002</v>
      </c>
      <c r="M54" s="514">
        <v>8808.2873099999997</v>
      </c>
      <c r="N54" s="514">
        <v>2577.86537</v>
      </c>
      <c r="O54" s="514">
        <v>2753.5601499999998</v>
      </c>
      <c r="P54" s="514">
        <v>1124.9599700000001</v>
      </c>
      <c r="Q54" s="514">
        <v>1251.4385500000001</v>
      </c>
      <c r="R54" s="514">
        <v>1972.0833299999999</v>
      </c>
      <c r="S54" s="514">
        <v>2046.79333</v>
      </c>
      <c r="T54" s="515"/>
      <c r="U54" s="516">
        <f t="shared" si="43"/>
        <v>4.0762518134943164</v>
      </c>
      <c r="V54" s="516">
        <f t="shared" si="43"/>
        <v>3.8906076736500093</v>
      </c>
      <c r="W54" s="516">
        <f t="shared" si="43"/>
        <v>13.293785858180794</v>
      </c>
      <c r="X54" s="516">
        <f t="shared" si="43"/>
        <v>12.445557145355986</v>
      </c>
      <c r="Y54" s="516">
        <f t="shared" si="44"/>
        <v>22.554216040238298</v>
      </c>
      <c r="Z54" s="516">
        <f t="shared" si="44"/>
        <v>20.274739179163049</v>
      </c>
      <c r="AA54" s="516">
        <f t="shared" si="44"/>
        <v>12.865881382405885</v>
      </c>
      <c r="AB54" s="516">
        <f t="shared" si="44"/>
        <v>12.396263867051003</v>
      </c>
      <c r="AC54" s="514"/>
      <c r="AD54" s="517">
        <v>-3.9247264770240702</v>
      </c>
      <c r="AE54" s="518">
        <v>1.3419123148286698</v>
      </c>
    </row>
    <row r="55" spans="2:31" s="193" customFormat="1" x14ac:dyDescent="0.25">
      <c r="B55" s="510" t="s">
        <v>384</v>
      </c>
      <c r="C55" s="510"/>
      <c r="D55" s="510"/>
      <c r="E55" s="510"/>
      <c r="F55" s="510"/>
      <c r="G55" s="510"/>
      <c r="H55" s="510"/>
      <c r="I55" s="510"/>
      <c r="J55" s="510"/>
      <c r="K55" s="510"/>
      <c r="L55" s="510"/>
      <c r="M55" s="510"/>
      <c r="N55" s="510"/>
      <c r="O55" s="510"/>
      <c r="P55" s="510"/>
      <c r="Q55" s="510"/>
      <c r="R55" s="510"/>
      <c r="S55" s="510"/>
      <c r="T55" s="510"/>
      <c r="U55" s="511">
        <f>+AVERAGE(U51:U54)</f>
        <v>9.0238301078619276</v>
      </c>
      <c r="V55" s="511">
        <f t="shared" ref="V55:AB55" si="45">+AVERAGE(V51:V54)</f>
        <v>7.1773906753416039</v>
      </c>
      <c r="W55" s="511">
        <f t="shared" si="45"/>
        <v>-109.84862729659062</v>
      </c>
      <c r="X55" s="511">
        <f t="shared" si="45"/>
        <v>135.89855458061237</v>
      </c>
      <c r="Y55" s="511">
        <f t="shared" si="45"/>
        <v>-412.33294154906292</v>
      </c>
      <c r="Z55" s="511">
        <f t="shared" si="45"/>
        <v>95.934842931130135</v>
      </c>
      <c r="AA55" s="511">
        <f t="shared" si="45"/>
        <v>219.80197631644927</v>
      </c>
      <c r="AB55" s="511">
        <f t="shared" si="45"/>
        <v>90.686747320240045</v>
      </c>
      <c r="AC55" s="510"/>
      <c r="AD55" s="511">
        <f t="shared" ref="AD55:AE55" si="46">+AVERAGE(AD51:AD54)</f>
        <v>-0.4262574360981044</v>
      </c>
      <c r="AE55" s="512">
        <f t="shared" si="46"/>
        <v>0.59852022481362233</v>
      </c>
    </row>
    <row r="56" spans="2:31" s="193" customFormat="1" x14ac:dyDescent="0.25">
      <c r="B56" s="510" t="s">
        <v>385</v>
      </c>
      <c r="C56" s="510"/>
      <c r="D56" s="553"/>
      <c r="E56" s="553"/>
      <c r="F56" s="553"/>
      <c r="G56" s="553"/>
      <c r="H56" s="553"/>
      <c r="I56" s="553"/>
      <c r="J56" s="553"/>
      <c r="K56" s="553"/>
      <c r="L56" s="553"/>
      <c r="M56" s="553"/>
      <c r="N56" s="553"/>
      <c r="O56" s="553"/>
      <c r="P56" s="553"/>
      <c r="Q56" s="553"/>
      <c r="R56" s="553"/>
      <c r="S56" s="553"/>
      <c r="T56" s="510"/>
      <c r="U56" s="511">
        <f>+MEDIAN(U51:U54)</f>
        <v>6.4173335132976268</v>
      </c>
      <c r="V56" s="511">
        <f t="shared" ref="V56:AB56" si="47">+MEDIAN(V51:V54)</f>
        <v>5.4798681414286996</v>
      </c>
      <c r="W56" s="511">
        <f t="shared" si="47"/>
        <v>24.943642448555508</v>
      </c>
      <c r="X56" s="511">
        <f t="shared" si="47"/>
        <v>87.188550608179099</v>
      </c>
      <c r="Y56" s="511">
        <f t="shared" si="47"/>
        <v>-67.372410214365146</v>
      </c>
      <c r="Z56" s="511">
        <f t="shared" si="47"/>
        <v>30.007836315341081</v>
      </c>
      <c r="AA56" s="511">
        <f t="shared" si="47"/>
        <v>199.73908449297744</v>
      </c>
      <c r="AB56" s="511">
        <f t="shared" si="47"/>
        <v>99.183399458361038</v>
      </c>
      <c r="AC56" s="510"/>
      <c r="AD56" s="511">
        <f t="shared" ref="AD56:AE56" si="48">+MEDIAN(AD51:AD54)</f>
        <v>0.2734080360563832</v>
      </c>
      <c r="AE56" s="512">
        <f t="shared" si="48"/>
        <v>0.43701309353191842</v>
      </c>
    </row>
    <row r="57" spans="2:31" s="193" customFormat="1" x14ac:dyDescent="0.25">
      <c r="B57" s="510" t="s">
        <v>585</v>
      </c>
      <c r="C57" s="510"/>
      <c r="D57" s="554"/>
      <c r="E57" s="554"/>
      <c r="F57" s="554"/>
      <c r="G57" s="554"/>
      <c r="H57" s="554"/>
      <c r="I57" s="554"/>
      <c r="J57" s="554"/>
      <c r="K57" s="554"/>
      <c r="L57" s="554"/>
      <c r="M57" s="554"/>
      <c r="N57" s="554"/>
      <c r="O57" s="554"/>
      <c r="P57" s="554"/>
      <c r="Q57" s="554"/>
      <c r="R57" s="554"/>
      <c r="S57" s="554"/>
      <c r="T57" s="510"/>
      <c r="U57" s="511">
        <f>+MIN(U51:U54)</f>
        <v>4.0762518134943164</v>
      </c>
      <c r="V57" s="511">
        <f t="shared" ref="V57:AE57" si="49">+MIN(V51:V54)</f>
        <v>3.8906076736500093</v>
      </c>
      <c r="W57" s="511">
        <f t="shared" si="49"/>
        <v>-766.10528836999276</v>
      </c>
      <c r="X57" s="511">
        <f t="shared" si="49"/>
        <v>12.445557145355986</v>
      </c>
      <c r="Y57" s="511">
        <f t="shared" si="49"/>
        <v>-1566.3720295633734</v>
      </c>
      <c r="Z57" s="511">
        <f t="shared" si="49"/>
        <v>-297.32568064962464</v>
      </c>
      <c r="AA57" s="511">
        <f t="shared" si="49"/>
        <v>12.865881382405885</v>
      </c>
      <c r="AB57" s="511">
        <f t="shared" si="49"/>
        <v>12.396263867051003</v>
      </c>
      <c r="AC57" s="510">
        <f t="shared" si="49"/>
        <v>0</v>
      </c>
      <c r="AD57" s="511">
        <f t="shared" si="49"/>
        <v>-3.9247264770240702</v>
      </c>
      <c r="AE57" s="512">
        <f t="shared" si="49"/>
        <v>0.17814239736198281</v>
      </c>
    </row>
    <row r="58" spans="2:31" s="193" customFormat="1" x14ac:dyDescent="0.25">
      <c r="B58" s="510" t="s">
        <v>586</v>
      </c>
      <c r="C58" s="510"/>
      <c r="D58" s="510"/>
      <c r="E58" s="510"/>
      <c r="F58" s="510"/>
      <c r="G58" s="510"/>
      <c r="H58" s="510"/>
      <c r="I58" s="510"/>
      <c r="J58" s="510"/>
      <c r="K58" s="510"/>
      <c r="L58" s="510"/>
      <c r="M58" s="510"/>
      <c r="N58" s="510"/>
      <c r="O58" s="510"/>
      <c r="P58" s="510"/>
      <c r="Q58" s="510"/>
      <c r="R58" s="510"/>
      <c r="S58" s="510"/>
      <c r="T58" s="510"/>
      <c r="U58" s="511">
        <f>+MAX(U51:U54)</f>
        <v>19.184401591358139</v>
      </c>
      <c r="V58" s="511">
        <f t="shared" ref="V58:AE58" si="50">+MAX(V51:V54)</f>
        <v>13.859218744859007</v>
      </c>
      <c r="W58" s="511">
        <f t="shared" si="50"/>
        <v>276.82349428651929</v>
      </c>
      <c r="X58" s="511">
        <f t="shared" si="50"/>
        <v>356.77155996073532</v>
      </c>
      <c r="Y58" s="511">
        <f t="shared" si="50"/>
        <v>51.78508379585201</v>
      </c>
      <c r="Z58" s="511">
        <f t="shared" si="50"/>
        <v>621.04937974346308</v>
      </c>
      <c r="AA58" s="511">
        <f t="shared" si="50"/>
        <v>466.86385489743634</v>
      </c>
      <c r="AB58" s="511">
        <f t="shared" si="50"/>
        <v>151.98392649718707</v>
      </c>
      <c r="AC58" s="510">
        <f t="shared" si="50"/>
        <v>0</v>
      </c>
      <c r="AD58" s="511">
        <f t="shared" si="50"/>
        <v>1.6728806605188864</v>
      </c>
      <c r="AE58" s="512">
        <f t="shared" si="50"/>
        <v>1.3419123148286698</v>
      </c>
    </row>
    <row r="60" spans="2:31" x14ac:dyDescent="0.25">
      <c r="C60" s="211"/>
      <c r="D60" s="212"/>
      <c r="E60" s="213"/>
      <c r="F60" s="211"/>
      <c r="G60" s="211"/>
      <c r="H60" s="211"/>
      <c r="I60" s="214"/>
      <c r="J60" s="211"/>
      <c r="K60" s="211"/>
      <c r="L60" s="214"/>
      <c r="M60" s="214"/>
      <c r="N60" s="214"/>
      <c r="O60" s="214"/>
      <c r="P60" s="214"/>
      <c r="Q60" s="214"/>
      <c r="R60" s="214"/>
      <c r="S60" s="214"/>
      <c r="T60" s="215"/>
      <c r="U60" s="216"/>
      <c r="V60" s="216"/>
      <c r="W60" s="216"/>
      <c r="X60" s="216"/>
      <c r="Y60" s="216"/>
      <c r="Z60" s="216"/>
      <c r="AA60" s="216"/>
      <c r="AB60" s="216"/>
      <c r="AC60" s="216"/>
      <c r="AD60" s="216"/>
      <c r="AE60" s="216"/>
    </row>
    <row r="61" spans="2:31" x14ac:dyDescent="0.25">
      <c r="B61" s="53" t="s">
        <v>168</v>
      </c>
      <c r="U61" s="555"/>
      <c r="V61" s="555"/>
      <c r="W61" s="555"/>
      <c r="X61" s="555"/>
      <c r="Y61" s="555"/>
      <c r="Z61" s="555"/>
      <c r="AA61" s="555"/>
      <c r="AB61" s="555"/>
      <c r="AC61" s="555"/>
      <c r="AD61" s="555"/>
      <c r="AE61" s="555"/>
    </row>
    <row r="62" spans="2:31" x14ac:dyDescent="0.25">
      <c r="B62" s="53" t="s">
        <v>669</v>
      </c>
    </row>
    <row r="63" spans="2:31" x14ac:dyDescent="0.25">
      <c r="B63" s="53" t="s">
        <v>249</v>
      </c>
      <c r="C63" s="203"/>
      <c r="D63" s="217"/>
      <c r="E63" s="204"/>
      <c r="F63" s="205"/>
      <c r="G63" s="205"/>
      <c r="H63" s="205"/>
      <c r="I63" s="205"/>
      <c r="J63" s="218"/>
      <c r="K63" s="203"/>
      <c r="L63" s="203"/>
      <c r="M63" s="203"/>
      <c r="N63" s="203"/>
      <c r="O63" s="203"/>
      <c r="AC63" s="203"/>
    </row>
    <row r="64" spans="2:31" x14ac:dyDescent="0.25">
      <c r="B64" s="53" t="s">
        <v>250</v>
      </c>
      <c r="C64" s="203"/>
      <c r="D64" s="217"/>
      <c r="E64" s="204"/>
      <c r="F64" s="205"/>
      <c r="G64" s="205"/>
      <c r="H64" s="205"/>
      <c r="I64" s="205"/>
      <c r="J64" s="218"/>
      <c r="K64" s="203"/>
      <c r="L64" s="203"/>
      <c r="M64" s="203"/>
      <c r="N64" s="203"/>
      <c r="O64" s="203"/>
      <c r="AC64" s="203"/>
    </row>
    <row r="65" spans="2:29" x14ac:dyDescent="0.25">
      <c r="B65" s="53" t="s">
        <v>387</v>
      </c>
      <c r="C65" s="203"/>
      <c r="D65" s="217"/>
      <c r="E65" s="204"/>
      <c r="F65" s="218"/>
      <c r="G65" s="218"/>
      <c r="H65" s="218"/>
      <c r="I65" s="205"/>
      <c r="J65" s="218"/>
      <c r="K65" s="203"/>
      <c r="L65" s="203"/>
      <c r="M65" s="203"/>
      <c r="N65" s="203"/>
      <c r="O65" s="203"/>
      <c r="AC65" s="203"/>
    </row>
  </sheetData>
  <pageMargins left="0.7" right="0.7" top="0.75" bottom="0.75" header="0.3" footer="0.3"/>
  <pageSetup scale="41" orientation="portrait" horizontalDpi="1200" verticalDpi="1200" r:id="rId1"/>
  <customProperties>
    <customPr name="Guid" r:id="rId2"/>
  </customProperties>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71BB0-1C4B-4A65-8D07-B3FDCEDC707F}">
  <dimension ref="A1:L15"/>
  <sheetViews>
    <sheetView showGridLines="0" zoomScaleNormal="100" zoomScaleSheetLayoutView="100" workbookViewId="0"/>
  </sheetViews>
  <sheetFormatPr defaultColWidth="10.75" defaultRowHeight="13.8" x14ac:dyDescent="0.25"/>
  <cols>
    <col min="1" max="1" width="3.375" customWidth="1"/>
    <col min="2" max="2" width="30.75" customWidth="1"/>
    <col min="5" max="5" width="1.75" customWidth="1"/>
    <col min="9" max="9" width="1.75" customWidth="1"/>
    <col min="10" max="10" width="10.75" customWidth="1"/>
  </cols>
  <sheetData>
    <row r="1" spans="1:12" s="69" customFormat="1" ht="15.6" x14ac:dyDescent="0.3">
      <c r="A1" s="67" t="s">
        <v>76</v>
      </c>
      <c r="B1" s="68"/>
      <c r="C1" s="68"/>
      <c r="D1" s="68"/>
      <c r="E1" s="68"/>
      <c r="F1" s="68"/>
      <c r="G1" s="68"/>
      <c r="H1" s="68"/>
      <c r="I1" s="68"/>
      <c r="J1" s="68"/>
      <c r="K1" s="68"/>
      <c r="L1" s="68"/>
    </row>
    <row r="2" spans="1:12" s="53" customFormat="1" ht="18" x14ac:dyDescent="0.25">
      <c r="A2" s="70" t="s">
        <v>509</v>
      </c>
      <c r="B2" s="70"/>
      <c r="C2" s="70"/>
      <c r="D2" s="70"/>
      <c r="E2" s="70"/>
      <c r="F2" s="70"/>
      <c r="G2" s="70"/>
      <c r="H2" s="70"/>
      <c r="I2" s="70"/>
      <c r="J2" s="70"/>
      <c r="K2" s="70"/>
      <c r="L2" s="70"/>
    </row>
    <row r="3" spans="1:12" s="69" customFormat="1" ht="15.6" x14ac:dyDescent="0.3">
      <c r="A3" s="66" t="s">
        <v>229</v>
      </c>
      <c r="B3" s="71"/>
      <c r="C3" s="72"/>
      <c r="D3" s="71"/>
      <c r="E3" s="71"/>
      <c r="F3" s="72"/>
      <c r="G3" s="72"/>
      <c r="H3" s="72"/>
      <c r="I3" s="72"/>
      <c r="J3" s="72"/>
      <c r="K3" s="72"/>
      <c r="L3" s="72"/>
    </row>
    <row r="6" spans="1:12" x14ac:dyDescent="0.25">
      <c r="D6" s="63" t="s">
        <v>666</v>
      </c>
      <c r="E6" s="62"/>
      <c r="F6" s="61" t="s">
        <v>493</v>
      </c>
      <c r="G6" s="61"/>
      <c r="H6" s="61"/>
      <c r="I6" s="62"/>
      <c r="J6" s="61" t="s">
        <v>391</v>
      </c>
      <c r="K6" s="61"/>
      <c r="L6" s="61"/>
    </row>
    <row r="7" spans="1:12" x14ac:dyDescent="0.25">
      <c r="D7" s="63" t="s">
        <v>234</v>
      </c>
      <c r="E7" s="63"/>
      <c r="F7" s="63" t="s">
        <v>195</v>
      </c>
      <c r="G7" s="63" t="s">
        <v>275</v>
      </c>
      <c r="H7" s="63" t="s">
        <v>276</v>
      </c>
      <c r="I7" s="63"/>
      <c r="J7" s="63" t="s">
        <v>195</v>
      </c>
      <c r="K7" s="63" t="s">
        <v>275</v>
      </c>
      <c r="L7" s="63" t="s">
        <v>276</v>
      </c>
    </row>
    <row r="8" spans="1:12" ht="5.25" customHeight="1" x14ac:dyDescent="0.25">
      <c r="F8" s="47"/>
      <c r="G8" s="47"/>
      <c r="H8" s="47"/>
      <c r="J8" s="47"/>
      <c r="K8" s="47"/>
      <c r="L8" s="47"/>
    </row>
    <row r="9" spans="1:12" s="1" customFormat="1" x14ac:dyDescent="0.25">
      <c r="B9" s="1" t="s">
        <v>479</v>
      </c>
      <c r="D9" s="448">
        <f>+'Financial Statements'!G334</f>
        <v>57358</v>
      </c>
      <c r="E9" s="41"/>
      <c r="F9" s="446">
        <f>+Precedents!K22</f>
        <v>5.7709990059642147</v>
      </c>
      <c r="G9" s="446">
        <f>Precedents!K20</f>
        <v>12.60677086430629</v>
      </c>
      <c r="H9" s="446">
        <f>+Precedents!K23</f>
        <v>20.179021479713604</v>
      </c>
      <c r="J9" s="225">
        <f>+F9*$D$9</f>
        <v>331012.96098409541</v>
      </c>
      <c r="K9" s="225">
        <f>+G9*$D$9</f>
        <v>723099.16323488019</v>
      </c>
      <c r="L9" s="225">
        <f>+H9*$D$9</f>
        <v>1157428.3140334128</v>
      </c>
    </row>
    <row r="10" spans="1:12" ht="5.25" customHeight="1" x14ac:dyDescent="0.25">
      <c r="J10" s="221"/>
      <c r="K10" s="221"/>
      <c r="L10" s="221"/>
    </row>
    <row r="11" spans="1:12" x14ac:dyDescent="0.25">
      <c r="B11" s="76" t="s">
        <v>284</v>
      </c>
      <c r="C11" s="76"/>
      <c r="D11" s="76"/>
      <c r="E11" s="76"/>
      <c r="F11" s="76"/>
      <c r="G11" s="76"/>
      <c r="H11" s="76"/>
      <c r="I11" s="76"/>
      <c r="J11" s="449">
        <f>-Comps!$I$10</f>
        <v>-59107</v>
      </c>
      <c r="K11" s="395">
        <f>+J11</f>
        <v>-59107</v>
      </c>
      <c r="L11" s="395">
        <f>+K11</f>
        <v>-59107</v>
      </c>
    </row>
    <row r="12" spans="1:12" x14ac:dyDescent="0.25">
      <c r="B12" s="228" t="s">
        <v>397</v>
      </c>
      <c r="C12" s="228"/>
      <c r="D12" s="228"/>
      <c r="E12" s="228"/>
      <c r="F12" s="228"/>
      <c r="G12" s="228"/>
      <c r="H12" s="228"/>
      <c r="I12" s="228"/>
      <c r="J12" s="229">
        <f>J9+J11</f>
        <v>271905.96098409541</v>
      </c>
      <c r="K12" s="229">
        <f t="shared" ref="K12:L12" si="0">K9+K11</f>
        <v>663992.16323488019</v>
      </c>
      <c r="L12" s="229">
        <f t="shared" si="0"/>
        <v>1098321.3140334128</v>
      </c>
    </row>
    <row r="13" spans="1:12" ht="5.25" customHeight="1" x14ac:dyDescent="0.25">
      <c r="B13" s="1"/>
      <c r="C13" s="1"/>
      <c r="D13" s="1"/>
      <c r="E13" s="1"/>
      <c r="F13" s="1"/>
      <c r="G13" s="1"/>
      <c r="H13" s="1"/>
      <c r="I13" s="1"/>
      <c r="J13" s="225"/>
      <c r="K13" s="225"/>
      <c r="L13" s="225"/>
    </row>
    <row r="14" spans="1:12" x14ac:dyDescent="0.25">
      <c r="B14" s="76" t="s">
        <v>398</v>
      </c>
      <c r="C14" s="76"/>
      <c r="D14" s="76"/>
      <c r="E14" s="76"/>
      <c r="F14" s="76"/>
      <c r="G14" s="76"/>
      <c r="H14" s="76"/>
      <c r="I14" s="76"/>
      <c r="J14" s="447">
        <f>+Comps!$E$10</f>
        <v>518.20000000000005</v>
      </c>
      <c r="K14" s="462">
        <f>+J14</f>
        <v>518.20000000000005</v>
      </c>
      <c r="L14" s="462">
        <f>+K14</f>
        <v>518.20000000000005</v>
      </c>
    </row>
    <row r="15" spans="1:12" s="1" customFormat="1" x14ac:dyDescent="0.25">
      <c r="B15" s="228" t="s">
        <v>399</v>
      </c>
      <c r="C15" s="228"/>
      <c r="D15" s="228"/>
      <c r="E15" s="228"/>
      <c r="F15" s="228"/>
      <c r="G15" s="228"/>
      <c r="H15" s="228"/>
      <c r="I15" s="228"/>
      <c r="J15" s="229">
        <f>+J12/J14</f>
        <v>524.71239093804593</v>
      </c>
      <c r="K15" s="229">
        <f>+K12/K14</f>
        <v>1281.3434257716715</v>
      </c>
      <c r="L15" s="229">
        <f>+L12/L14</f>
        <v>2119.4930799564122</v>
      </c>
    </row>
  </sheetData>
  <pageMargins left="0.7" right="0.7" top="0.75" bottom="0.75" header="0.3" footer="0.3"/>
  <pageSetup scale="82" orientation="portrait" horizontalDpi="1200" verticalDpi="120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5C2E0-A21B-41AE-BA23-65808D824D5E}">
  <dimension ref="A1:R23"/>
  <sheetViews>
    <sheetView showGridLines="0" zoomScaleNormal="100" workbookViewId="0"/>
  </sheetViews>
  <sheetFormatPr defaultRowHeight="13.8" x14ac:dyDescent="0.25"/>
  <cols>
    <col min="1" max="1" width="3.375" customWidth="1"/>
    <col min="3" max="3" width="13.125" customWidth="1"/>
    <col min="4" max="4" width="37.25" bestFit="1" customWidth="1"/>
    <col min="5" max="5" width="40.125" bestFit="1" customWidth="1"/>
    <col min="6" max="6" width="15.875" bestFit="1" customWidth="1"/>
    <col min="7" max="17" width="13.125" customWidth="1"/>
    <col min="18" max="18" width="28.625" bestFit="1" customWidth="1"/>
  </cols>
  <sheetData>
    <row r="1" spans="1:18" ht="15.6" x14ac:dyDescent="0.25">
      <c r="A1" s="67" t="s">
        <v>76</v>
      </c>
      <c r="B1" s="267"/>
      <c r="C1" s="251"/>
      <c r="D1" s="251"/>
      <c r="E1" s="251"/>
      <c r="F1" s="251"/>
      <c r="G1" s="251"/>
      <c r="H1" s="251"/>
      <c r="I1" s="251"/>
      <c r="J1" s="251"/>
      <c r="K1" s="251"/>
      <c r="L1" s="251"/>
      <c r="M1" s="251"/>
      <c r="N1" s="251"/>
      <c r="O1" s="251"/>
      <c r="P1" s="251"/>
      <c r="Q1" s="251"/>
      <c r="R1" s="251"/>
    </row>
    <row r="2" spans="1:18" ht="18" x14ac:dyDescent="0.25">
      <c r="A2" s="70" t="s">
        <v>433</v>
      </c>
      <c r="B2" s="252"/>
      <c r="C2" s="252"/>
      <c r="D2" s="252"/>
      <c r="E2" s="252"/>
      <c r="F2" s="252"/>
      <c r="G2" s="252"/>
      <c r="H2" s="252"/>
      <c r="I2" s="252"/>
      <c r="J2" s="252"/>
      <c r="K2" s="252"/>
      <c r="L2" s="252"/>
      <c r="M2" s="252"/>
      <c r="N2" s="252"/>
      <c r="O2" s="252"/>
      <c r="P2" s="252"/>
      <c r="Q2" s="252"/>
      <c r="R2" s="252"/>
    </row>
    <row r="3" spans="1:18" ht="15.6" x14ac:dyDescent="0.25">
      <c r="A3" s="66" t="s">
        <v>229</v>
      </c>
      <c r="B3" s="268"/>
      <c r="C3" s="254"/>
      <c r="D3" s="254"/>
      <c r="E3" s="254"/>
      <c r="F3" s="254"/>
      <c r="G3" s="253"/>
      <c r="H3" s="253"/>
      <c r="I3" s="253"/>
      <c r="J3" s="253"/>
      <c r="K3" s="253"/>
      <c r="L3" s="253"/>
      <c r="M3" s="253"/>
      <c r="N3" s="253"/>
      <c r="O3" s="253"/>
      <c r="P3" s="253"/>
      <c r="Q3" s="253"/>
      <c r="R3" s="253"/>
    </row>
    <row r="4" spans="1:18" ht="14.4" x14ac:dyDescent="0.3">
      <c r="B4" s="255"/>
      <c r="C4" s="250"/>
      <c r="D4" s="250"/>
      <c r="E4" s="250"/>
      <c r="F4" s="250"/>
      <c r="G4" s="250"/>
      <c r="H4" s="250"/>
      <c r="I4" s="250"/>
      <c r="J4" s="250"/>
      <c r="K4" s="250"/>
      <c r="L4" s="250"/>
      <c r="M4" s="250"/>
      <c r="N4" s="250"/>
      <c r="O4" s="250"/>
      <c r="P4" s="250"/>
      <c r="Q4" s="250"/>
      <c r="R4" s="250"/>
    </row>
    <row r="5" spans="1:18" ht="15.6" x14ac:dyDescent="0.4">
      <c r="B5" s="256"/>
      <c r="C5" s="256"/>
      <c r="D5" s="270"/>
      <c r="E5" s="270"/>
      <c r="F5" s="270"/>
      <c r="G5" s="259"/>
      <c r="H5" s="259"/>
      <c r="I5" s="259"/>
      <c r="J5" s="256"/>
      <c r="K5" s="256"/>
      <c r="L5" s="256"/>
      <c r="M5" s="256"/>
      <c r="N5" s="257"/>
      <c r="O5" s="257"/>
      <c r="P5" s="257"/>
      <c r="Q5" s="257"/>
      <c r="R5" s="256"/>
    </row>
    <row r="6" spans="1:18" ht="15.6" x14ac:dyDescent="0.4">
      <c r="B6" s="258"/>
      <c r="C6" s="271" t="s">
        <v>434</v>
      </c>
      <c r="D6" s="259"/>
      <c r="E6" s="259"/>
      <c r="F6" s="259" t="s">
        <v>435</v>
      </c>
      <c r="G6" s="269" t="s">
        <v>435</v>
      </c>
      <c r="H6" s="269" t="s">
        <v>436</v>
      </c>
      <c r="I6" s="269" t="s">
        <v>437</v>
      </c>
      <c r="J6" s="257" t="s">
        <v>438</v>
      </c>
      <c r="K6" s="257"/>
      <c r="L6" s="257"/>
      <c r="M6" s="257"/>
      <c r="N6" s="257" t="s">
        <v>439</v>
      </c>
      <c r="O6" s="257"/>
      <c r="P6" s="257"/>
      <c r="Q6" s="257"/>
      <c r="R6" s="258"/>
    </row>
    <row r="7" spans="1:18" ht="15.6" x14ac:dyDescent="0.4">
      <c r="B7" s="260" t="s">
        <v>440</v>
      </c>
      <c r="C7" s="260" t="s">
        <v>441</v>
      </c>
      <c r="D7" s="261" t="s">
        <v>442</v>
      </c>
      <c r="E7" s="261" t="s">
        <v>443</v>
      </c>
      <c r="F7" s="261" t="s">
        <v>444</v>
      </c>
      <c r="G7" s="261" t="s">
        <v>445</v>
      </c>
      <c r="H7" s="261" t="s">
        <v>240</v>
      </c>
      <c r="I7" s="261" t="s">
        <v>139</v>
      </c>
      <c r="J7" s="257" t="s">
        <v>169</v>
      </c>
      <c r="K7" s="261" t="s">
        <v>170</v>
      </c>
      <c r="L7" s="261" t="s">
        <v>237</v>
      </c>
      <c r="M7" s="261" t="s">
        <v>238</v>
      </c>
      <c r="N7" s="257" t="s">
        <v>119</v>
      </c>
      <c r="O7" s="261" t="s">
        <v>234</v>
      </c>
      <c r="P7" s="261" t="s">
        <v>235</v>
      </c>
      <c r="Q7" s="261" t="s">
        <v>236</v>
      </c>
      <c r="R7" s="257" t="s">
        <v>446</v>
      </c>
    </row>
    <row r="8" spans="1:18" x14ac:dyDescent="0.25">
      <c r="B8" s="262"/>
      <c r="C8" s="262"/>
      <c r="D8" s="263"/>
      <c r="E8" s="263"/>
      <c r="F8" s="263"/>
      <c r="G8" s="263" t="s">
        <v>246</v>
      </c>
      <c r="H8" s="263" t="s">
        <v>246</v>
      </c>
      <c r="I8" s="263" t="s">
        <v>246</v>
      </c>
      <c r="J8" s="263" t="s">
        <v>247</v>
      </c>
      <c r="K8" s="263" t="s">
        <v>247</v>
      </c>
      <c r="L8" s="263" t="s">
        <v>247</v>
      </c>
      <c r="M8" s="263" t="s">
        <v>247</v>
      </c>
      <c r="N8" s="263" t="s">
        <v>246</v>
      </c>
      <c r="O8" s="263" t="s">
        <v>246</v>
      </c>
      <c r="P8" s="263" t="s">
        <v>246</v>
      </c>
      <c r="Q8" s="263" t="s">
        <v>246</v>
      </c>
      <c r="R8" s="262"/>
    </row>
    <row r="9" spans="1:18" x14ac:dyDescent="0.25">
      <c r="B9" s="262"/>
      <c r="C9" s="262"/>
      <c r="D9" s="263"/>
      <c r="E9" s="263"/>
      <c r="F9" s="263"/>
      <c r="G9" s="263"/>
      <c r="H9" s="263"/>
      <c r="I9" s="263"/>
      <c r="J9" s="263"/>
      <c r="K9" s="263"/>
      <c r="L9" s="263"/>
      <c r="M9" s="263"/>
      <c r="N9" s="263"/>
      <c r="O9" s="263"/>
      <c r="P9" s="263"/>
      <c r="Q9" s="263"/>
      <c r="R9" s="262"/>
    </row>
    <row r="10" spans="1:18" x14ac:dyDescent="0.25">
      <c r="B10" s="275">
        <v>1</v>
      </c>
      <c r="C10" s="273">
        <v>43782</v>
      </c>
      <c r="D10" s="264" t="s">
        <v>447</v>
      </c>
      <c r="E10" s="264" t="s">
        <v>448</v>
      </c>
      <c r="F10" s="272" t="s">
        <v>449</v>
      </c>
      <c r="G10" s="265">
        <v>5950.65</v>
      </c>
      <c r="H10" s="265">
        <v>679.91</v>
      </c>
      <c r="I10" s="265">
        <v>5270.74</v>
      </c>
      <c r="J10" s="266">
        <f t="shared" ref="J10:J15" si="0">+G10/N10</f>
        <v>0.16047226007365814</v>
      </c>
      <c r="K10" s="266">
        <f>+G10/O10</f>
        <v>7.2691236471134344</v>
      </c>
      <c r="L10" s="266">
        <f t="shared" ref="L10:L17" si="1">+I10/P10</f>
        <v>15.401612997486994</v>
      </c>
      <c r="M10" s="266">
        <f>+I10/Q10</f>
        <v>13.86671928439884</v>
      </c>
      <c r="N10" s="265">
        <v>37082.11</v>
      </c>
      <c r="O10" s="265">
        <v>818.62</v>
      </c>
      <c r="P10" s="265">
        <v>342.22</v>
      </c>
      <c r="Q10" s="265">
        <v>380.1</v>
      </c>
      <c r="R10" s="258" t="s">
        <v>450</v>
      </c>
    </row>
    <row r="11" spans="1:18" x14ac:dyDescent="0.25">
      <c r="B11" s="274">
        <v>2</v>
      </c>
      <c r="C11" s="273">
        <v>43087</v>
      </c>
      <c r="D11" s="264" t="s">
        <v>451</v>
      </c>
      <c r="E11" s="264" t="s">
        <v>452</v>
      </c>
      <c r="F11" s="272" t="s">
        <v>449</v>
      </c>
      <c r="G11" s="265">
        <v>1527.3</v>
      </c>
      <c r="H11" s="265">
        <v>582.15</v>
      </c>
      <c r="I11" s="265">
        <v>945.15</v>
      </c>
      <c r="J11" s="266">
        <f t="shared" si="0"/>
        <v>4.1092904996367743</v>
      </c>
      <c r="K11" s="266">
        <f>+G11/O11</f>
        <v>18.52395391146149</v>
      </c>
      <c r="L11" s="266">
        <f t="shared" si="1"/>
        <v>86.711009174311926</v>
      </c>
      <c r="M11" s="266">
        <f t="shared" ref="M11:M19" si="2">+I11/Q11</f>
        <v>52.508333333333333</v>
      </c>
      <c r="N11" s="265">
        <v>371.67</v>
      </c>
      <c r="O11" s="265">
        <v>82.45</v>
      </c>
      <c r="P11" s="265">
        <v>10.9</v>
      </c>
      <c r="Q11" s="265">
        <v>18</v>
      </c>
      <c r="R11" s="258" t="s">
        <v>450</v>
      </c>
    </row>
    <row r="12" spans="1:18" x14ac:dyDescent="0.25">
      <c r="B12" s="274">
        <v>3</v>
      </c>
      <c r="C12" s="273">
        <v>43444</v>
      </c>
      <c r="D12" s="264" t="s">
        <v>453</v>
      </c>
      <c r="E12" s="264" t="s">
        <v>454</v>
      </c>
      <c r="F12" s="272" t="s">
        <v>449</v>
      </c>
      <c r="G12" s="265">
        <v>1340.68</v>
      </c>
      <c r="H12" s="265">
        <v>-92.55</v>
      </c>
      <c r="I12" s="265">
        <v>1433.23</v>
      </c>
      <c r="J12" s="266">
        <f t="shared" si="0"/>
        <v>1.9353572098797511</v>
      </c>
      <c r="K12" s="266">
        <f>+G12/O12</f>
        <v>15.174646293152238</v>
      </c>
      <c r="L12" s="266">
        <f t="shared" si="1"/>
        <v>25.86124142908697</v>
      </c>
      <c r="M12" s="266">
        <f t="shared" si="2"/>
        <v>17.935552496558628</v>
      </c>
      <c r="N12" s="265">
        <v>692.73</v>
      </c>
      <c r="O12" s="265">
        <v>88.35</v>
      </c>
      <c r="P12" s="265">
        <v>55.42</v>
      </c>
      <c r="Q12" s="265">
        <v>79.91</v>
      </c>
      <c r="R12" s="258" t="s">
        <v>450</v>
      </c>
    </row>
    <row r="13" spans="1:18" x14ac:dyDescent="0.25">
      <c r="B13" s="274">
        <v>4</v>
      </c>
      <c r="C13" s="273">
        <v>43672</v>
      </c>
      <c r="D13" s="264" t="s">
        <v>455</v>
      </c>
      <c r="E13" s="264" t="s">
        <v>456</v>
      </c>
      <c r="F13" s="272" t="s">
        <v>449</v>
      </c>
      <c r="G13" s="265">
        <v>858.28</v>
      </c>
      <c r="H13" s="265">
        <v>32.99</v>
      </c>
      <c r="I13" s="265">
        <v>825.29</v>
      </c>
      <c r="J13" s="266">
        <f t="shared" si="0"/>
        <v>3.5181177242170847</v>
      </c>
      <c r="K13" s="266">
        <f>+G13/O13</f>
        <v>14.437005887300252</v>
      </c>
      <c r="L13" s="266">
        <f t="shared" si="1"/>
        <v>33.562017080113868</v>
      </c>
      <c r="M13" s="266">
        <f t="shared" si="2"/>
        <v>22.548907103825133</v>
      </c>
      <c r="N13" s="265">
        <v>243.96</v>
      </c>
      <c r="O13" s="265">
        <v>59.45</v>
      </c>
      <c r="P13" s="265">
        <v>24.59</v>
      </c>
      <c r="Q13" s="265">
        <v>36.6</v>
      </c>
      <c r="R13" s="258" t="s">
        <v>450</v>
      </c>
    </row>
    <row r="14" spans="1:18" x14ac:dyDescent="0.25">
      <c r="B14" s="274">
        <v>5</v>
      </c>
      <c r="C14" s="273">
        <v>43623</v>
      </c>
      <c r="D14" s="264" t="s">
        <v>457</v>
      </c>
      <c r="E14" s="264" t="s">
        <v>458</v>
      </c>
      <c r="F14" s="272" t="s">
        <v>449</v>
      </c>
      <c r="G14" s="265">
        <v>684.79</v>
      </c>
      <c r="H14" s="265">
        <v>194.36</v>
      </c>
      <c r="I14" s="265">
        <v>490.42999999999995</v>
      </c>
      <c r="J14" s="266">
        <f t="shared" si="0"/>
        <v>0.19274927872774611</v>
      </c>
      <c r="K14" s="266">
        <f>+G14/O14</f>
        <v>6.0670683086736945</v>
      </c>
      <c r="L14" s="266">
        <f t="shared" si="1"/>
        <v>133.63215258855584</v>
      </c>
      <c r="M14" s="266">
        <f t="shared" si="2"/>
        <v>4.6266981132075466</v>
      </c>
      <c r="N14" s="265">
        <v>3552.75</v>
      </c>
      <c r="O14" s="265">
        <v>112.87</v>
      </c>
      <c r="P14" s="265">
        <v>3.67</v>
      </c>
      <c r="Q14" s="265">
        <v>106</v>
      </c>
      <c r="R14" s="258" t="s">
        <v>450</v>
      </c>
    </row>
    <row r="15" spans="1:18" x14ac:dyDescent="0.25">
      <c r="B15" s="274">
        <v>6</v>
      </c>
      <c r="C15" s="273">
        <v>43185</v>
      </c>
      <c r="D15" s="264" t="s">
        <v>459</v>
      </c>
      <c r="E15" s="264" t="s">
        <v>460</v>
      </c>
      <c r="F15" s="272" t="s">
        <v>449</v>
      </c>
      <c r="G15" s="265">
        <v>464.45</v>
      </c>
      <c r="H15" s="265">
        <v>-93.39</v>
      </c>
      <c r="I15" s="265">
        <v>557.84</v>
      </c>
      <c r="J15" s="266">
        <f t="shared" si="0"/>
        <v>0.25256123026058208</v>
      </c>
      <c r="K15" s="266">
        <f t="shared" ref="K15:K19" si="3">+G15/O15</f>
        <v>5.7709990059642147</v>
      </c>
      <c r="L15" s="266">
        <f t="shared" si="1"/>
        <v>38.551485832757429</v>
      </c>
      <c r="M15" s="266">
        <f t="shared" si="2"/>
        <v>7.1794079794079799</v>
      </c>
      <c r="N15" s="265">
        <v>1838.96</v>
      </c>
      <c r="O15" s="265">
        <v>80.48</v>
      </c>
      <c r="P15" s="265">
        <v>14.47</v>
      </c>
      <c r="Q15" s="265">
        <v>77.7</v>
      </c>
      <c r="R15" s="258" t="s">
        <v>450</v>
      </c>
    </row>
    <row r="16" spans="1:18" x14ac:dyDescent="0.25">
      <c r="B16" s="274">
        <v>7</v>
      </c>
      <c r="C16" s="273">
        <v>43668</v>
      </c>
      <c r="D16" s="264" t="s">
        <v>461</v>
      </c>
      <c r="E16" s="264" t="s">
        <v>462</v>
      </c>
      <c r="F16" s="272" t="s">
        <v>449</v>
      </c>
      <c r="G16" s="265">
        <v>8455.01</v>
      </c>
      <c r="H16" s="265">
        <v>6594</v>
      </c>
      <c r="I16" s="265">
        <v>1861.0100000000002</v>
      </c>
      <c r="J16" s="266">
        <f t="shared" ref="J16:J19" si="4">+G16/N16</f>
        <v>0.90167537591980385</v>
      </c>
      <c r="K16" s="266">
        <f>+G16/O16</f>
        <v>20.179021479713604</v>
      </c>
      <c r="L16" s="266">
        <f t="shared" si="1"/>
        <v>-3.2592119089316993</v>
      </c>
      <c r="M16" s="266">
        <f>+I16/Q16</f>
        <v>-3.9179157894736845</v>
      </c>
      <c r="N16" s="265">
        <v>9377</v>
      </c>
      <c r="O16" s="265">
        <v>419</v>
      </c>
      <c r="P16" s="265">
        <v>-571</v>
      </c>
      <c r="Q16" s="265">
        <v>-475</v>
      </c>
      <c r="R16" s="258" t="s">
        <v>450</v>
      </c>
    </row>
    <row r="17" spans="2:18" x14ac:dyDescent="0.25">
      <c r="B17" s="274">
        <v>8</v>
      </c>
      <c r="C17" s="273">
        <v>43298</v>
      </c>
      <c r="D17" s="264" t="s">
        <v>463</v>
      </c>
      <c r="E17" s="264" t="s">
        <v>464</v>
      </c>
      <c r="F17" s="272" t="s">
        <v>449</v>
      </c>
      <c r="G17" s="265">
        <v>77395.850000000006</v>
      </c>
      <c r="H17" s="265">
        <v>13227</v>
      </c>
      <c r="I17" s="265">
        <v>64168.850000000006</v>
      </c>
      <c r="J17" s="266">
        <f t="shared" si="4"/>
        <v>0.60350464739091114</v>
      </c>
      <c r="K17" s="266">
        <f>+G17/O17</f>
        <v>9.1419619655090951</v>
      </c>
      <c r="L17" s="266">
        <f t="shared" si="1"/>
        <v>14.874559573481688</v>
      </c>
      <c r="M17" s="266">
        <f>+I17/Q17</f>
        <v>7.7658053975553676</v>
      </c>
      <c r="N17" s="265">
        <v>128244</v>
      </c>
      <c r="O17" s="265">
        <v>8466</v>
      </c>
      <c r="P17" s="265">
        <v>4314</v>
      </c>
      <c r="Q17" s="265">
        <v>8263</v>
      </c>
      <c r="R17" s="258" t="s">
        <v>465</v>
      </c>
    </row>
    <row r="18" spans="2:18" x14ac:dyDescent="0.25">
      <c r="B18" s="274">
        <v>9</v>
      </c>
      <c r="C18" s="273">
        <v>43157</v>
      </c>
      <c r="D18" s="264" t="s">
        <v>466</v>
      </c>
      <c r="E18" s="264" t="s">
        <v>467</v>
      </c>
      <c r="F18" s="272" t="s">
        <v>449</v>
      </c>
      <c r="G18" s="265">
        <v>227.67</v>
      </c>
      <c r="H18" s="265">
        <v>51.4</v>
      </c>
      <c r="I18" s="265">
        <v>176.26999999999998</v>
      </c>
      <c r="J18" s="266">
        <f t="shared" si="4"/>
        <v>2.4313327637761639</v>
      </c>
      <c r="K18" s="266">
        <f>+G18/O18</f>
        <v>16.691348973607038</v>
      </c>
      <c r="L18" s="266">
        <f t="shared" ref="L18:L19" si="5">+I18/P18</f>
        <v>-21.009535160905838</v>
      </c>
      <c r="M18" s="266">
        <f>+I18/Q18</f>
        <v>-32.049090909090907</v>
      </c>
      <c r="N18" s="265">
        <v>93.64</v>
      </c>
      <c r="O18" s="265">
        <v>13.64</v>
      </c>
      <c r="P18" s="265">
        <v>-8.39</v>
      </c>
      <c r="Q18" s="265">
        <v>-5.5</v>
      </c>
      <c r="R18" s="258" t="s">
        <v>468</v>
      </c>
    </row>
    <row r="19" spans="2:18" x14ac:dyDescent="0.25">
      <c r="B19" s="274">
        <v>10</v>
      </c>
      <c r="C19" s="523">
        <v>43991</v>
      </c>
      <c r="D19" s="524" t="s">
        <v>469</v>
      </c>
      <c r="E19" s="524" t="s">
        <v>470</v>
      </c>
      <c r="F19" s="525" t="s">
        <v>449</v>
      </c>
      <c r="G19" s="526">
        <v>2326.38</v>
      </c>
      <c r="H19" s="526">
        <v>856.71</v>
      </c>
      <c r="I19" s="526">
        <v>1469.67</v>
      </c>
      <c r="J19" s="266">
        <f t="shared" si="4"/>
        <v>1.4297356097201224</v>
      </c>
      <c r="K19" s="266">
        <f t="shared" si="3"/>
        <v>12.812579170567826</v>
      </c>
      <c r="L19" s="266">
        <f t="shared" si="5"/>
        <v>24.634093194770369</v>
      </c>
      <c r="M19" s="266">
        <f t="shared" si="2"/>
        <v>12.561282051282053</v>
      </c>
      <c r="N19" s="526">
        <v>1627.14</v>
      </c>
      <c r="O19" s="526">
        <v>181.57</v>
      </c>
      <c r="P19" s="526">
        <v>59.66</v>
      </c>
      <c r="Q19" s="526">
        <v>117</v>
      </c>
      <c r="R19" s="527" t="s">
        <v>471</v>
      </c>
    </row>
    <row r="20" spans="2:18" x14ac:dyDescent="0.25">
      <c r="B20" s="256"/>
      <c r="C20" s="519" t="s">
        <v>163</v>
      </c>
      <c r="D20" s="519"/>
      <c r="E20" s="519"/>
      <c r="F20" s="519"/>
      <c r="G20" s="520"/>
      <c r="H20" s="520"/>
      <c r="I20" s="520"/>
      <c r="J20" s="556">
        <f>+AVERAGE(J10:J19)</f>
        <v>1.5534796599602598</v>
      </c>
      <c r="K20" s="556">
        <f t="shared" ref="K20:L20" si="6">+AVERAGE(K10:K19)</f>
        <v>12.60677086430629</v>
      </c>
      <c r="L20" s="556">
        <f t="shared" si="6"/>
        <v>34.895942480072748</v>
      </c>
      <c r="M20" s="556">
        <f>+AVERAGE(M10:M19)</f>
        <v>10.302569906100429</v>
      </c>
      <c r="N20" s="522"/>
      <c r="O20" s="522"/>
      <c r="P20" s="522"/>
      <c r="Q20" s="522"/>
      <c r="R20" s="522"/>
    </row>
    <row r="21" spans="2:18" x14ac:dyDescent="0.25">
      <c r="B21" s="256"/>
      <c r="C21" s="519" t="s">
        <v>177</v>
      </c>
      <c r="D21" s="519"/>
      <c r="E21" s="519"/>
      <c r="F21" s="519"/>
      <c r="G21" s="520"/>
      <c r="H21" s="520"/>
      <c r="I21" s="520"/>
      <c r="J21" s="521">
        <f>+MEDIAN(J10:J19)</f>
        <v>1.1657054928199631</v>
      </c>
      <c r="K21" s="521">
        <f t="shared" ref="K21:L21" si="7">+MEDIAN(K10:K19)</f>
        <v>13.624792528934039</v>
      </c>
      <c r="L21" s="521">
        <f t="shared" si="7"/>
        <v>25.247667311928669</v>
      </c>
      <c r="M21" s="521">
        <f>+MEDIAN(M10:M19)</f>
        <v>10.163543724418711</v>
      </c>
      <c r="N21" s="522"/>
      <c r="O21" s="522"/>
      <c r="P21" s="522"/>
      <c r="Q21" s="522"/>
      <c r="R21" s="522"/>
    </row>
    <row r="22" spans="2:18" x14ac:dyDescent="0.25">
      <c r="C22" s="519" t="s">
        <v>195</v>
      </c>
      <c r="D22" s="519"/>
      <c r="E22" s="519"/>
      <c r="F22" s="519"/>
      <c r="G22" s="520"/>
      <c r="H22" s="520"/>
      <c r="I22" s="520"/>
      <c r="J22" s="521">
        <f>+MIN(J10:J19)</f>
        <v>0.16047226007365814</v>
      </c>
      <c r="K22" s="521">
        <f t="shared" ref="K22:L22" si="8">+MIN(K10:K19)</f>
        <v>5.7709990059642147</v>
      </c>
      <c r="L22" s="521">
        <f t="shared" si="8"/>
        <v>-21.009535160905838</v>
      </c>
      <c r="M22" s="521">
        <f>+MIN(M10:M19)</f>
        <v>-32.049090909090907</v>
      </c>
      <c r="N22" s="522"/>
      <c r="O22" s="522"/>
      <c r="P22" s="522"/>
      <c r="Q22" s="522"/>
      <c r="R22" s="522"/>
    </row>
    <row r="23" spans="2:18" x14ac:dyDescent="0.25">
      <c r="C23" s="519" t="s">
        <v>276</v>
      </c>
      <c r="D23" s="519"/>
      <c r="E23" s="519"/>
      <c r="F23" s="519"/>
      <c r="G23" s="520"/>
      <c r="H23" s="520"/>
      <c r="I23" s="520"/>
      <c r="J23" s="521">
        <f>+MAX(J10:J19)</f>
        <v>4.1092904996367743</v>
      </c>
      <c r="K23" s="521">
        <f t="shared" ref="K23:L23" si="9">+MAX(K10:K19)</f>
        <v>20.179021479713604</v>
      </c>
      <c r="L23" s="521">
        <f t="shared" si="9"/>
        <v>133.63215258855584</v>
      </c>
      <c r="M23" s="521">
        <f>+MAX(M10:M19)</f>
        <v>52.508333333333333</v>
      </c>
      <c r="N23" s="522"/>
      <c r="O23" s="522"/>
      <c r="P23" s="522"/>
      <c r="Q23" s="522"/>
      <c r="R23" s="522"/>
    </row>
  </sheetData>
  <pageMargins left="0.7" right="0.7" top="0.75" bottom="0.75" header="0.3" footer="0.3"/>
  <pageSetup scale="34" orientation="portrait" horizontalDpi="1200" verticalDpi="1200" r:id="rId1"/>
  <ignoredErrors>
    <ignoredError sqref="K10:K11 L10 K19 L18:L19 K13:K15 K12" formula="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B8264-D2F5-4D66-9AEB-48C456334FD4}">
  <dimension ref="A1:R43"/>
  <sheetViews>
    <sheetView showGridLines="0" zoomScaleNormal="100" workbookViewId="0"/>
  </sheetViews>
  <sheetFormatPr defaultRowHeight="13.8" x14ac:dyDescent="0.25"/>
  <cols>
    <col min="1" max="1" width="3.375" customWidth="1"/>
    <col min="2" max="2" width="33.875" customWidth="1"/>
    <col min="3" max="20" width="11.125" customWidth="1"/>
  </cols>
  <sheetData>
    <row r="1" spans="1:18" ht="17.850000000000001" customHeight="1" x14ac:dyDescent="0.25">
      <c r="A1" s="2" t="s">
        <v>76</v>
      </c>
      <c r="B1" s="2"/>
      <c r="C1" s="17"/>
      <c r="D1" s="17"/>
      <c r="E1" s="17"/>
      <c r="F1" s="17"/>
      <c r="G1" s="17"/>
      <c r="H1" s="17"/>
      <c r="I1" s="17"/>
      <c r="J1" s="43"/>
      <c r="K1" s="44"/>
      <c r="L1" s="17"/>
      <c r="M1" s="43"/>
      <c r="N1" s="44"/>
      <c r="O1" s="17"/>
      <c r="P1" s="17"/>
      <c r="Q1" s="17"/>
      <c r="R1" s="17"/>
    </row>
    <row r="2" spans="1:18" ht="18" x14ac:dyDescent="0.35">
      <c r="A2" s="282" t="s">
        <v>474</v>
      </c>
      <c r="B2" s="282"/>
      <c r="C2" s="17"/>
      <c r="D2" s="17"/>
      <c r="E2" s="17"/>
      <c r="F2" s="17"/>
      <c r="G2" s="17"/>
      <c r="H2" s="17"/>
      <c r="I2" s="17"/>
      <c r="J2" s="17"/>
      <c r="K2" s="17"/>
      <c r="L2" s="17"/>
      <c r="M2" s="17"/>
      <c r="N2" s="17"/>
      <c r="O2" s="17"/>
      <c r="P2" s="17"/>
      <c r="Q2" s="17"/>
      <c r="R2" s="17"/>
    </row>
    <row r="3" spans="1:18" x14ac:dyDescent="0.25">
      <c r="A3" s="66" t="s">
        <v>229</v>
      </c>
      <c r="B3" s="4"/>
      <c r="C3" s="284"/>
      <c r="D3" s="284"/>
      <c r="E3" s="284"/>
      <c r="F3" s="284"/>
      <c r="G3" s="284"/>
      <c r="H3" s="284"/>
      <c r="I3" s="284"/>
      <c r="J3" s="284"/>
      <c r="K3" s="284"/>
      <c r="L3" s="284"/>
      <c r="M3" s="284"/>
      <c r="N3" s="284"/>
      <c r="O3" s="284"/>
      <c r="P3" s="284"/>
      <c r="Q3" s="284"/>
      <c r="R3" s="284"/>
    </row>
    <row r="5" spans="1:18" x14ac:dyDescent="0.25">
      <c r="C5" s="528">
        <v>2015</v>
      </c>
      <c r="D5" s="528">
        <v>2016</v>
      </c>
      <c r="E5" s="528">
        <v>2017</v>
      </c>
      <c r="F5" s="528">
        <v>2018</v>
      </c>
      <c r="G5" s="528">
        <v>2019</v>
      </c>
      <c r="H5" s="529">
        <v>2020</v>
      </c>
      <c r="I5" s="529">
        <v>2021</v>
      </c>
      <c r="J5" s="529">
        <v>2022</v>
      </c>
      <c r="K5" s="529">
        <v>2023</v>
      </c>
      <c r="L5" s="529">
        <v>2024</v>
      </c>
      <c r="M5" s="529">
        <v>2025</v>
      </c>
      <c r="N5" s="529">
        <v>2026</v>
      </c>
      <c r="O5" s="529">
        <v>2027</v>
      </c>
      <c r="P5" s="529">
        <v>2028</v>
      </c>
      <c r="Q5" s="529">
        <v>2029</v>
      </c>
      <c r="R5" s="529">
        <v>2030</v>
      </c>
    </row>
    <row r="6" spans="1:18" ht="5.25" customHeight="1" x14ac:dyDescent="0.25"/>
    <row r="7" spans="1:18" x14ac:dyDescent="0.25">
      <c r="B7" s="219" t="s">
        <v>477</v>
      </c>
      <c r="C7" s="530"/>
      <c r="D7" s="530"/>
      <c r="E7" s="530"/>
      <c r="F7" s="530"/>
      <c r="G7" s="530"/>
      <c r="H7" s="283"/>
      <c r="I7" s="283"/>
      <c r="J7" s="283"/>
      <c r="K7" s="283"/>
      <c r="L7" s="283"/>
      <c r="M7" s="283"/>
      <c r="N7" s="283"/>
      <c r="O7" s="283"/>
      <c r="P7" s="283"/>
      <c r="Q7" s="283"/>
      <c r="R7" s="283"/>
    </row>
    <row r="8" spans="1:18" x14ac:dyDescent="0.25">
      <c r="B8" t="s">
        <v>475</v>
      </c>
      <c r="C8" s="26">
        <v>324.5838</v>
      </c>
      <c r="D8" s="26">
        <v>372.84690000000001</v>
      </c>
      <c r="E8" s="26">
        <v>426.30779999999999</v>
      </c>
      <c r="F8" s="26">
        <v>471.52070000000003</v>
      </c>
      <c r="G8" s="26">
        <v>518.88</v>
      </c>
      <c r="H8" s="26">
        <v>592.12469999999996</v>
      </c>
      <c r="I8" s="26">
        <v>619.61790000000008</v>
      </c>
      <c r="J8" s="26">
        <v>670.84319999999991</v>
      </c>
      <c r="K8" s="26">
        <v>722.90609999999992</v>
      </c>
      <c r="L8" s="26">
        <v>775.88969999999995</v>
      </c>
      <c r="M8" s="26">
        <v>831.47329999999999</v>
      </c>
      <c r="N8" s="26">
        <v>888.28399999999999</v>
      </c>
      <c r="O8" s="23">
        <f>N8*(1+O14)</f>
        <v>948.97631067167163</v>
      </c>
      <c r="P8" s="23">
        <f>O8*(1+P14)</f>
        <v>1013.8154444029353</v>
      </c>
      <c r="Q8" s="23">
        <f>P8*(1+Q14)</f>
        <v>1083.0847343095888</v>
      </c>
      <c r="R8" s="23">
        <f>Q8*(1+R14)</f>
        <v>1157.0868723402889</v>
      </c>
    </row>
    <row r="9" spans="1:18" x14ac:dyDescent="0.25">
      <c r="B9" t="s">
        <v>115</v>
      </c>
      <c r="C9" s="26">
        <v>293.47000000000003</v>
      </c>
      <c r="D9" s="26">
        <v>301.93</v>
      </c>
      <c r="E9" s="26">
        <v>312.47000000000003</v>
      </c>
      <c r="F9" s="26">
        <v>332.39</v>
      </c>
      <c r="G9" s="26">
        <v>349.35</v>
      </c>
      <c r="H9" s="26">
        <v>278.39</v>
      </c>
      <c r="I9" s="26">
        <v>312.83</v>
      </c>
      <c r="J9" s="26">
        <v>336.09</v>
      </c>
      <c r="K9" s="26">
        <v>350.01</v>
      </c>
      <c r="L9" s="26">
        <v>360.36</v>
      </c>
      <c r="M9" s="26">
        <v>368.35</v>
      </c>
      <c r="N9" s="26">
        <v>376.39</v>
      </c>
      <c r="O9" s="26">
        <v>390.64</v>
      </c>
      <c r="P9" s="23">
        <f>O9*(1+P15)</f>
        <v>405.42950025239776</v>
      </c>
      <c r="Q9" s="23">
        <f>P9*(1+Q15)</f>
        <v>420.77892605700646</v>
      </c>
      <c r="R9" s="23">
        <f>Q9*(1+R15)</f>
        <v>436.7094760086851</v>
      </c>
    </row>
    <row r="10" spans="1:18" x14ac:dyDescent="0.25">
      <c r="B10" t="s">
        <v>116</v>
      </c>
      <c r="C10" s="26">
        <v>142.56049999999999</v>
      </c>
      <c r="D10" s="26">
        <v>147.10570000000001</v>
      </c>
      <c r="E10" s="26">
        <v>162.13220000000001</v>
      </c>
      <c r="F10" s="26">
        <v>176.08120000000002</v>
      </c>
      <c r="G10" s="26">
        <v>180.58089999999999</v>
      </c>
      <c r="H10" s="26">
        <v>167.00800000000001</v>
      </c>
      <c r="I10" s="26">
        <v>167.29139999999998</v>
      </c>
      <c r="J10" s="26">
        <v>178.96220000000002</v>
      </c>
      <c r="K10" s="26">
        <v>195.3485</v>
      </c>
      <c r="L10" s="26">
        <v>205.12700000000001</v>
      </c>
      <c r="M10" s="26">
        <v>217.0162</v>
      </c>
      <c r="N10" s="26">
        <v>227.67949999999999</v>
      </c>
      <c r="O10" s="23">
        <f>N10*(1+O16)</f>
        <v>238.86675151555502</v>
      </c>
      <c r="P10" s="23">
        <f t="shared" ref="P10:R10" si="0">O10*(1+P16)</f>
        <v>250.60369940901097</v>
      </c>
      <c r="Q10" s="23">
        <f t="shared" si="0"/>
        <v>262.91735354132044</v>
      </c>
      <c r="R10" s="23">
        <f t="shared" si="0"/>
        <v>275.83605092896778</v>
      </c>
    </row>
    <row r="11" spans="1:18" x14ac:dyDescent="0.25">
      <c r="B11" t="s">
        <v>104</v>
      </c>
      <c r="C11" s="26">
        <v>637.13840000000005</v>
      </c>
      <c r="D11" s="26">
        <v>640.45259999999996</v>
      </c>
      <c r="E11" s="26">
        <v>652.46990000000005</v>
      </c>
      <c r="F11" s="26">
        <v>651.70500000000004</v>
      </c>
      <c r="G11" s="26">
        <v>652.74199999999996</v>
      </c>
      <c r="H11" s="26">
        <v>656.00250000000005</v>
      </c>
      <c r="I11" s="26">
        <v>658.0693</v>
      </c>
      <c r="J11" s="26">
        <v>660.17899999999997</v>
      </c>
      <c r="K11" s="26">
        <v>665.26409999999998</v>
      </c>
      <c r="L11" s="26">
        <v>669.85769999999991</v>
      </c>
      <c r="M11" s="26">
        <v>675.05939999999998</v>
      </c>
      <c r="N11" s="26">
        <v>679.93589999999995</v>
      </c>
      <c r="O11" s="23">
        <f>N11*(1+O17)</f>
        <v>684.84762690336572</v>
      </c>
      <c r="P11" s="23">
        <f>O11*(1+P17)</f>
        <v>689.79483518251004</v>
      </c>
      <c r="Q11" s="23">
        <f>P11*(1+Q17)</f>
        <v>694.77778114810576</v>
      </c>
      <c r="R11" s="23">
        <f>Q11*(1+R17)</f>
        <v>699.79672296236492</v>
      </c>
    </row>
    <row r="13" spans="1:18" x14ac:dyDescent="0.25">
      <c r="B13" s="219" t="s">
        <v>478</v>
      </c>
      <c r="C13" s="530"/>
      <c r="D13" s="530"/>
      <c r="E13" s="530"/>
      <c r="F13" s="530"/>
      <c r="G13" s="530"/>
      <c r="H13" s="283"/>
      <c r="I13" s="283"/>
      <c r="J13" s="283"/>
      <c r="K13" s="283"/>
      <c r="L13" s="283"/>
      <c r="M13" s="283"/>
      <c r="N13" s="283"/>
      <c r="O13" s="283"/>
      <c r="P13" s="283"/>
      <c r="Q13" s="283"/>
      <c r="R13" s="283"/>
    </row>
    <row r="14" spans="1:18" x14ac:dyDescent="0.25">
      <c r="B14" t="s">
        <v>475</v>
      </c>
      <c r="C14" s="285">
        <v>0.13800000000000001</v>
      </c>
      <c r="D14" s="6">
        <f t="shared" ref="D14:I14" si="1">(D8-C8)/C8</f>
        <v>0.14869226375438332</v>
      </c>
      <c r="E14" s="6">
        <f t="shared" si="1"/>
        <v>0.14338566312338921</v>
      </c>
      <c r="F14" s="6">
        <f t="shared" si="1"/>
        <v>0.10605693820286669</v>
      </c>
      <c r="G14" s="6">
        <f t="shared" si="1"/>
        <v>0.10043949290031161</v>
      </c>
      <c r="H14" s="6">
        <f t="shared" si="1"/>
        <v>0.14115922756706747</v>
      </c>
      <c r="I14" s="6">
        <f t="shared" si="1"/>
        <v>4.6431435810733987E-2</v>
      </c>
      <c r="J14" s="6">
        <f>(J8-I8)/I8</f>
        <v>8.2672401814085472E-2</v>
      </c>
      <c r="K14" s="6">
        <f>(K8-J8)/J8</f>
        <v>7.760815045900446E-2</v>
      </c>
      <c r="L14" s="6">
        <f>(L8-K8)/K8</f>
        <v>7.3292506454157774E-2</v>
      </c>
      <c r="M14" s="6">
        <f>(M8-L8)/L8</f>
        <v>7.1638533157483655E-2</v>
      </c>
      <c r="N14" s="6">
        <f>(N8-M8)/M8</f>
        <v>6.8325344902836926E-2</v>
      </c>
      <c r="O14" s="285">
        <f>N14</f>
        <v>6.8325344902836926E-2</v>
      </c>
      <c r="P14" s="285">
        <f>O14</f>
        <v>6.8325344902836926E-2</v>
      </c>
      <c r="Q14" s="285">
        <f>P14</f>
        <v>6.8325344902836926E-2</v>
      </c>
      <c r="R14" s="285">
        <f>Q14</f>
        <v>6.8325344902836926E-2</v>
      </c>
    </row>
    <row r="15" spans="1:18" x14ac:dyDescent="0.25">
      <c r="B15" t="s">
        <v>115</v>
      </c>
      <c r="C15" s="285">
        <v>0.03</v>
      </c>
      <c r="D15" s="6">
        <f t="shared" ref="D15:L15" si="2">(D9-C9)/C9</f>
        <v>2.8827478106791083E-2</v>
      </c>
      <c r="E15" s="6">
        <f t="shared" si="2"/>
        <v>3.4908753684628951E-2</v>
      </c>
      <c r="F15" s="6">
        <f t="shared" si="2"/>
        <v>6.3750120011520972E-2</v>
      </c>
      <c r="G15" s="6">
        <f t="shared" si="2"/>
        <v>5.1024399049309659E-2</v>
      </c>
      <c r="H15" s="6">
        <f t="shared" si="2"/>
        <v>-0.20312008014884794</v>
      </c>
      <c r="I15" s="6">
        <f t="shared" si="2"/>
        <v>0.12371134020618557</v>
      </c>
      <c r="J15" s="6">
        <f t="shared" si="2"/>
        <v>7.435348272224529E-2</v>
      </c>
      <c r="K15" s="6">
        <f t="shared" si="2"/>
        <v>4.141747746139432E-2</v>
      </c>
      <c r="L15" s="6">
        <f t="shared" si="2"/>
        <v>2.9570583697608704E-2</v>
      </c>
      <c r="M15" s="6">
        <f>(M9-L9)/L9</f>
        <v>2.2172272172272196E-2</v>
      </c>
      <c r="N15" s="6">
        <f>(N9-M9)/M9</f>
        <v>2.1827066648567837E-2</v>
      </c>
      <c r="O15" s="6">
        <f>(O9-N9)/N9</f>
        <v>3.7859666834931853E-2</v>
      </c>
      <c r="P15" s="285">
        <f>O15</f>
        <v>3.7859666834931853E-2</v>
      </c>
      <c r="Q15" s="285">
        <f t="shared" ref="P15:R17" si="3">P15</f>
        <v>3.7859666834931853E-2</v>
      </c>
      <c r="R15" s="285">
        <f t="shared" si="3"/>
        <v>3.7859666834931853E-2</v>
      </c>
    </row>
    <row r="16" spans="1:18" x14ac:dyDescent="0.25">
      <c r="B16" t="s">
        <v>116</v>
      </c>
      <c r="C16" s="285">
        <v>6.7100000000000007E-2</v>
      </c>
      <c r="D16" s="6">
        <f t="shared" ref="D16:L16" si="4">(D10-C10)/C10</f>
        <v>3.1882604227678933E-2</v>
      </c>
      <c r="E16" s="6">
        <f t="shared" si="4"/>
        <v>0.10214763941845896</v>
      </c>
      <c r="F16" s="6">
        <f t="shared" si="4"/>
        <v>8.6034729683554606E-2</v>
      </c>
      <c r="G16" s="6">
        <f t="shared" si="4"/>
        <v>2.555468726928236E-2</v>
      </c>
      <c r="H16" s="6">
        <f t="shared" si="4"/>
        <v>-7.5162434122323998E-2</v>
      </c>
      <c r="I16" s="6">
        <f t="shared" si="4"/>
        <v>1.6969246982178811E-3</v>
      </c>
      <c r="J16" s="6">
        <f t="shared" si="4"/>
        <v>6.9763299249094954E-2</v>
      </c>
      <c r="K16" s="6">
        <f t="shared" si="4"/>
        <v>9.1562911050489845E-2</v>
      </c>
      <c r="L16" s="6">
        <f t="shared" si="4"/>
        <v>5.0056693550244863E-2</v>
      </c>
      <c r="M16" s="6">
        <f>(M10-L10)/L10</f>
        <v>5.7960190516119225E-2</v>
      </c>
      <c r="N16" s="6">
        <f>(N10-M10)/M10</f>
        <v>4.9135963121647107E-2</v>
      </c>
      <c r="O16" s="285">
        <f>N16</f>
        <v>4.9135963121647107E-2</v>
      </c>
      <c r="P16" s="285">
        <f t="shared" si="3"/>
        <v>4.9135963121647107E-2</v>
      </c>
      <c r="Q16" s="285">
        <f t="shared" si="3"/>
        <v>4.9135963121647107E-2</v>
      </c>
      <c r="R16" s="285">
        <f t="shared" si="3"/>
        <v>4.9135963121647107E-2</v>
      </c>
    </row>
    <row r="17" spans="2:18" x14ac:dyDescent="0.25">
      <c r="B17" t="s">
        <v>104</v>
      </c>
      <c r="C17" s="285">
        <v>1.38E-2</v>
      </c>
      <c r="D17" s="6">
        <f t="shared" ref="D17:L17" si="5">(D11-C11)/C11</f>
        <v>5.201695581368058E-3</v>
      </c>
      <c r="E17" s="6">
        <f t="shared" si="5"/>
        <v>1.8763761752235986E-2</v>
      </c>
      <c r="F17" s="6">
        <f>(F11-E11)/E11</f>
        <v>-1.1723146155861158E-3</v>
      </c>
      <c r="G17" s="6">
        <f>(G11-F11)/F11</f>
        <v>1.5912107471937776E-3</v>
      </c>
      <c r="H17" s="6">
        <f>(H11-G11)/G11</f>
        <v>4.9950822836589233E-3</v>
      </c>
      <c r="I17" s="6">
        <f>(I11-H11)/H11</f>
        <v>3.1505977492462963E-3</v>
      </c>
      <c r="J17" s="6">
        <f t="shared" si="5"/>
        <v>3.2058933610791072E-3</v>
      </c>
      <c r="K17" s="6">
        <f t="shared" si="5"/>
        <v>7.7026079290616811E-3</v>
      </c>
      <c r="L17" s="6">
        <f t="shared" si="5"/>
        <v>6.9049269305226663E-3</v>
      </c>
      <c r="M17" s="6">
        <f>(M11-L11)/L11</f>
        <v>7.7653806174058674E-3</v>
      </c>
      <c r="N17" s="6">
        <f>(N11-M11)/M11</f>
        <v>7.2238087492744558E-3</v>
      </c>
      <c r="O17" s="285">
        <f>N17</f>
        <v>7.2238087492744558E-3</v>
      </c>
      <c r="P17" s="285">
        <f>O17</f>
        <v>7.2238087492744558E-3</v>
      </c>
      <c r="Q17" s="285">
        <f t="shared" si="3"/>
        <v>7.2238087492744558E-3</v>
      </c>
      <c r="R17" s="285">
        <f t="shared" si="3"/>
        <v>7.2238087492744558E-3</v>
      </c>
    </row>
    <row r="18" spans="2:18" x14ac:dyDescent="0.25">
      <c r="C18" s="286"/>
      <c r="D18" s="286"/>
      <c r="E18" s="286"/>
      <c r="F18" s="286"/>
      <c r="G18" s="286"/>
      <c r="H18" s="286"/>
      <c r="I18" s="286"/>
      <c r="J18" s="286"/>
      <c r="K18" s="286"/>
      <c r="L18" s="286"/>
      <c r="M18" s="286"/>
      <c r="N18" s="286"/>
      <c r="O18" s="286"/>
      <c r="P18" s="286"/>
      <c r="Q18" s="286"/>
      <c r="R18" s="286"/>
    </row>
    <row r="19" spans="2:18" x14ac:dyDescent="0.25">
      <c r="C19" s="286"/>
      <c r="D19" s="286"/>
      <c r="E19" s="286"/>
      <c r="F19" s="286"/>
      <c r="G19" s="286"/>
      <c r="H19" s="286"/>
      <c r="I19" s="286"/>
      <c r="J19" s="286"/>
      <c r="K19" s="286"/>
      <c r="L19" s="286"/>
      <c r="M19" s="286"/>
      <c r="N19" s="286"/>
      <c r="O19" s="286"/>
      <c r="P19" s="286"/>
      <c r="Q19" s="286"/>
      <c r="R19" s="286"/>
    </row>
    <row r="20" spans="2:18" x14ac:dyDescent="0.25">
      <c r="B20" t="s">
        <v>476</v>
      </c>
      <c r="C20" s="287">
        <f>_RoundBillions</f>
        <v>1000</v>
      </c>
      <c r="D20" s="286"/>
      <c r="E20" s="286"/>
      <c r="F20" s="286"/>
      <c r="G20" s="286"/>
      <c r="H20" s="286"/>
      <c r="I20" s="286"/>
      <c r="J20" s="286"/>
      <c r="K20" s="286"/>
      <c r="L20" s="286"/>
      <c r="M20" s="286"/>
      <c r="N20" s="286"/>
      <c r="O20" s="286"/>
      <c r="P20" s="286"/>
      <c r="Q20" s="286"/>
      <c r="R20" s="286"/>
    </row>
    <row r="22" spans="2:18" ht="14.4" x14ac:dyDescent="0.3">
      <c r="B22" s="234"/>
      <c r="J22" s="289"/>
      <c r="K22" s="289"/>
      <c r="L22" s="289"/>
      <c r="M22" s="289"/>
      <c r="N22" s="289"/>
      <c r="O22" s="289"/>
      <c r="P22" s="289"/>
      <c r="Q22" s="289"/>
      <c r="R22" s="289"/>
    </row>
    <row r="23" spans="2:18" ht="14.4" x14ac:dyDescent="0.3">
      <c r="B23" s="76" t="s">
        <v>655</v>
      </c>
      <c r="J23" s="289"/>
      <c r="K23" s="289"/>
      <c r="L23" s="289"/>
      <c r="M23" s="289"/>
      <c r="N23" s="289"/>
      <c r="O23" s="289"/>
      <c r="P23" s="289"/>
      <c r="Q23" s="289"/>
      <c r="R23" s="289"/>
    </row>
    <row r="24" spans="2:18" ht="14.4" x14ac:dyDescent="0.3">
      <c r="B24" t="s">
        <v>654</v>
      </c>
      <c r="J24" s="288"/>
      <c r="K24" s="288"/>
      <c r="L24" s="288"/>
      <c r="M24" s="288"/>
      <c r="N24" s="288"/>
      <c r="O24" s="288"/>
      <c r="P24" s="288"/>
      <c r="Q24" s="288"/>
      <c r="R24" s="288"/>
    </row>
    <row r="25" spans="2:18" ht="14.4" x14ac:dyDescent="0.3">
      <c r="J25" s="288"/>
      <c r="K25" s="288"/>
      <c r="L25" s="288"/>
      <c r="M25" s="288"/>
      <c r="N25" s="288"/>
      <c r="O25" s="288"/>
      <c r="P25" s="288"/>
      <c r="Q25" s="288"/>
      <c r="R25" s="288"/>
    </row>
    <row r="26" spans="2:18" x14ac:dyDescent="0.25">
      <c r="B26" s="1" t="s">
        <v>477</v>
      </c>
    </row>
    <row r="27" spans="2:18" x14ac:dyDescent="0.25">
      <c r="B27" s="562"/>
      <c r="C27" s="13"/>
      <c r="D27" s="13"/>
      <c r="E27" s="13"/>
      <c r="F27" s="13"/>
      <c r="G27" s="13"/>
      <c r="H27" s="13"/>
      <c r="I27" s="13"/>
      <c r="J27" s="563"/>
    </row>
    <row r="28" spans="2:18" x14ac:dyDescent="0.25">
      <c r="B28" s="312"/>
      <c r="J28" s="313"/>
    </row>
    <row r="29" spans="2:18" x14ac:dyDescent="0.25">
      <c r="B29" s="312"/>
      <c r="J29" s="313"/>
    </row>
    <row r="30" spans="2:18" x14ac:dyDescent="0.25">
      <c r="B30" s="312"/>
      <c r="J30" s="313"/>
    </row>
    <row r="31" spans="2:18" x14ac:dyDescent="0.25">
      <c r="B31" s="312"/>
      <c r="J31" s="313"/>
    </row>
    <row r="32" spans="2:18" x14ac:dyDescent="0.25">
      <c r="B32" s="312"/>
      <c r="J32" s="313"/>
    </row>
    <row r="33" spans="2:10" x14ac:dyDescent="0.25">
      <c r="B33" s="312"/>
      <c r="J33" s="313"/>
    </row>
    <row r="34" spans="2:10" x14ac:dyDescent="0.25">
      <c r="B34" s="312"/>
      <c r="J34" s="313"/>
    </row>
    <row r="35" spans="2:10" x14ac:dyDescent="0.25">
      <c r="B35" s="312"/>
      <c r="J35" s="313"/>
    </row>
    <row r="36" spans="2:10" x14ac:dyDescent="0.25">
      <c r="B36" s="312"/>
      <c r="J36" s="313"/>
    </row>
    <row r="37" spans="2:10" x14ac:dyDescent="0.25">
      <c r="B37" s="312"/>
      <c r="J37" s="313"/>
    </row>
    <row r="38" spans="2:10" x14ac:dyDescent="0.25">
      <c r="B38" s="312"/>
      <c r="J38" s="313"/>
    </row>
    <row r="39" spans="2:10" x14ac:dyDescent="0.25">
      <c r="B39" s="312"/>
      <c r="J39" s="313"/>
    </row>
    <row r="40" spans="2:10" x14ac:dyDescent="0.25">
      <c r="B40" s="312"/>
      <c r="J40" s="313"/>
    </row>
    <row r="41" spans="2:10" x14ac:dyDescent="0.25">
      <c r="B41" s="312"/>
      <c r="J41" s="313"/>
    </row>
    <row r="42" spans="2:10" x14ac:dyDescent="0.25">
      <c r="B42" s="312"/>
      <c r="J42" s="313"/>
    </row>
    <row r="43" spans="2:10" x14ac:dyDescent="0.25">
      <c r="B43" s="564"/>
      <c r="C43" s="76"/>
      <c r="D43" s="76"/>
      <c r="E43" s="76"/>
      <c r="F43" s="76"/>
      <c r="G43" s="76"/>
      <c r="H43" s="76"/>
      <c r="I43" s="76"/>
      <c r="J43" s="565"/>
    </row>
  </sheetData>
  <pageMargins left="0.7" right="0.7" top="0.75" bottom="0.75" header="0.3" footer="0.3"/>
  <pageSetup scale="44" orientation="portrait" horizontalDpi="1200" verticalDpi="120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8157A-AA48-42A7-887E-306EA19393CF}">
  <dimension ref="A1:I32"/>
  <sheetViews>
    <sheetView showGridLines="0" zoomScaleNormal="100" workbookViewId="0"/>
  </sheetViews>
  <sheetFormatPr defaultRowHeight="13.8" x14ac:dyDescent="0.25"/>
  <cols>
    <col min="1" max="1" width="3.375" customWidth="1"/>
    <col min="2" max="2" width="37.375" bestFit="1" customWidth="1"/>
    <col min="3" max="8" width="11.125" customWidth="1"/>
    <col min="9" max="9" width="22" bestFit="1" customWidth="1"/>
  </cols>
  <sheetData>
    <row r="1" spans="1:7" ht="17.850000000000001" customHeight="1" x14ac:dyDescent="0.25">
      <c r="A1" s="2" t="s">
        <v>76</v>
      </c>
      <c r="B1" s="2"/>
      <c r="C1" s="17"/>
      <c r="D1" s="17"/>
      <c r="E1" s="43"/>
      <c r="F1" s="44"/>
    </row>
    <row r="2" spans="1:7" ht="18" x14ac:dyDescent="0.35">
      <c r="A2" s="282" t="s">
        <v>482</v>
      </c>
      <c r="B2" s="282"/>
      <c r="C2" s="17"/>
      <c r="D2" s="17"/>
      <c r="E2" s="17"/>
      <c r="F2" s="17"/>
    </row>
    <row r="3" spans="1:7" x14ac:dyDescent="0.25">
      <c r="A3" s="66" t="s">
        <v>229</v>
      </c>
      <c r="B3" s="4"/>
      <c r="C3" s="284"/>
      <c r="D3" s="284"/>
      <c r="E3" s="284"/>
      <c r="F3" s="295"/>
    </row>
    <row r="5" spans="1:7" x14ac:dyDescent="0.25">
      <c r="C5" s="529">
        <v>2020</v>
      </c>
      <c r="D5" s="529">
        <v>2021</v>
      </c>
      <c r="E5" s="529">
        <v>2022</v>
      </c>
      <c r="F5" s="531" t="s">
        <v>486</v>
      </c>
    </row>
    <row r="6" spans="1:7" ht="5.25" customHeight="1" x14ac:dyDescent="0.25"/>
    <row r="7" spans="1:7" x14ac:dyDescent="0.25">
      <c r="B7" s="219" t="s">
        <v>492</v>
      </c>
      <c r="C7" s="219"/>
      <c r="D7" s="219"/>
      <c r="E7" s="219"/>
      <c r="F7" s="219"/>
    </row>
    <row r="8" spans="1:7" x14ac:dyDescent="0.25">
      <c r="B8" t="s">
        <v>484</v>
      </c>
      <c r="C8" s="285"/>
      <c r="D8" s="285"/>
      <c r="E8" s="285"/>
      <c r="F8" s="285"/>
    </row>
    <row r="9" spans="1:7" x14ac:dyDescent="0.25">
      <c r="B9" s="294" t="s">
        <v>485</v>
      </c>
      <c r="C9" s="285">
        <v>2.5000000000000001E-2</v>
      </c>
      <c r="D9" s="285">
        <v>2.4E-2</v>
      </c>
      <c r="E9" s="285">
        <v>2.5000000000000001E-2</v>
      </c>
      <c r="F9" s="285">
        <v>2.8000000000000001E-2</v>
      </c>
      <c r="G9" s="296"/>
    </row>
    <row r="10" spans="1:7" x14ac:dyDescent="0.25">
      <c r="B10" s="294" t="s">
        <v>483</v>
      </c>
      <c r="C10" s="285">
        <v>-3.9E-2</v>
      </c>
      <c r="D10" s="285">
        <v>5.0999999999999997E-2</v>
      </c>
      <c r="E10" s="285">
        <v>4.1000000000000002E-2</v>
      </c>
      <c r="F10" s="285">
        <v>3.4000000000000002E-2</v>
      </c>
      <c r="G10" s="296"/>
    </row>
    <row r="11" spans="1:7" x14ac:dyDescent="0.25">
      <c r="B11" t="s">
        <v>670</v>
      </c>
      <c r="C11" s="285">
        <v>0.106</v>
      </c>
      <c r="D11" s="285">
        <v>8.4000000000000005E-2</v>
      </c>
      <c r="E11" s="285">
        <v>7.0999999999999994E-2</v>
      </c>
      <c r="F11" s="285">
        <f>((2/5)*6.3%)+((3/5*4.8%))</f>
        <v>5.3999999999999999E-2</v>
      </c>
    </row>
    <row r="12" spans="1:7" x14ac:dyDescent="0.25">
      <c r="B12" t="s">
        <v>491</v>
      </c>
      <c r="C12" s="297">
        <v>-3.9E-2</v>
      </c>
      <c r="D12" s="297">
        <v>5.8999999999999997E-2</v>
      </c>
      <c r="E12" s="297">
        <v>0.05</v>
      </c>
      <c r="F12" s="285">
        <f>((1/4)*2.6%)+((3/4*2%))</f>
        <v>2.1499999999999998E-2</v>
      </c>
    </row>
    <row r="14" spans="1:7" x14ac:dyDescent="0.25">
      <c r="B14" s="76" t="s">
        <v>488</v>
      </c>
      <c r="C14" s="298"/>
      <c r="D14" s="298"/>
      <c r="E14" s="298"/>
      <c r="F14" s="298"/>
    </row>
    <row r="15" spans="1:7" x14ac:dyDescent="0.25">
      <c r="B15" s="234" t="s">
        <v>487</v>
      </c>
      <c r="C15" s="286"/>
      <c r="D15" s="286"/>
      <c r="E15" s="286"/>
      <c r="F15" s="286"/>
    </row>
    <row r="16" spans="1:7" x14ac:dyDescent="0.25">
      <c r="B16" s="234" t="s">
        <v>489</v>
      </c>
      <c r="C16" s="286"/>
      <c r="D16" s="286"/>
      <c r="E16" s="286"/>
      <c r="F16" s="286"/>
    </row>
    <row r="17" spans="2:9" ht="14.4" x14ac:dyDescent="0.3">
      <c r="B17" s="234" t="s">
        <v>490</v>
      </c>
      <c r="C17" s="286"/>
      <c r="D17" s="286"/>
      <c r="E17" s="286"/>
      <c r="F17" s="286"/>
      <c r="I17" s="291"/>
    </row>
    <row r="18" spans="2:9" ht="14.4" x14ac:dyDescent="0.3">
      <c r="I18" s="291"/>
    </row>
    <row r="19" spans="2:9" ht="14.4" x14ac:dyDescent="0.3">
      <c r="B19" s="234"/>
      <c r="E19" s="289"/>
      <c r="F19" s="289"/>
      <c r="I19" s="291"/>
    </row>
    <row r="20" spans="2:9" ht="14.4" x14ac:dyDescent="0.3">
      <c r="B20" s="567" t="s">
        <v>492</v>
      </c>
      <c r="E20" s="289"/>
      <c r="F20" s="289"/>
      <c r="I20" s="291"/>
    </row>
    <row r="21" spans="2:9" ht="14.4" x14ac:dyDescent="0.3">
      <c r="B21" s="562"/>
      <c r="C21" s="13"/>
      <c r="D21" s="13"/>
      <c r="E21" s="566"/>
      <c r="F21" s="566"/>
      <c r="G21" s="13"/>
      <c r="H21" s="563"/>
      <c r="I21" s="291"/>
    </row>
    <row r="22" spans="2:9" ht="14.4" x14ac:dyDescent="0.3">
      <c r="B22" s="312"/>
      <c r="E22" s="288"/>
      <c r="F22" s="288"/>
      <c r="H22" s="313"/>
      <c r="I22" s="291"/>
    </row>
    <row r="23" spans="2:9" ht="14.4" x14ac:dyDescent="0.3">
      <c r="B23" s="312"/>
      <c r="H23" s="313"/>
      <c r="I23" s="291"/>
    </row>
    <row r="24" spans="2:9" ht="14.4" x14ac:dyDescent="0.3">
      <c r="B24" s="312"/>
      <c r="H24" s="313"/>
      <c r="I24" s="291"/>
    </row>
    <row r="25" spans="2:9" ht="14.4" x14ac:dyDescent="0.3">
      <c r="B25" s="312"/>
      <c r="H25" s="313"/>
      <c r="I25" s="291"/>
    </row>
    <row r="26" spans="2:9" ht="14.4" x14ac:dyDescent="0.3">
      <c r="B26" s="312"/>
      <c r="H26" s="313"/>
      <c r="I26" s="291"/>
    </row>
    <row r="27" spans="2:9" ht="14.4" x14ac:dyDescent="0.3">
      <c r="B27" s="312"/>
      <c r="H27" s="313"/>
      <c r="I27" s="291"/>
    </row>
    <row r="28" spans="2:9" ht="14.4" x14ac:dyDescent="0.3">
      <c r="B28" s="312"/>
      <c r="H28" s="313"/>
      <c r="I28" s="291"/>
    </row>
    <row r="29" spans="2:9" x14ac:dyDescent="0.25">
      <c r="B29" s="312"/>
      <c r="H29" s="313"/>
    </row>
    <row r="30" spans="2:9" x14ac:dyDescent="0.25">
      <c r="B30" s="312"/>
      <c r="H30" s="313"/>
    </row>
    <row r="31" spans="2:9" x14ac:dyDescent="0.25">
      <c r="B31" s="312"/>
      <c r="H31" s="313"/>
    </row>
    <row r="32" spans="2:9" x14ac:dyDescent="0.25">
      <c r="B32" s="564"/>
      <c r="C32" s="76"/>
      <c r="D32" s="76"/>
      <c r="E32" s="76"/>
      <c r="F32" s="76"/>
      <c r="G32" s="76"/>
      <c r="H32" s="565"/>
    </row>
  </sheetData>
  <hyperlinks>
    <hyperlink ref="B16" r:id="rId1" xr:uid="{9386412A-FF8B-4B25-84A8-7B8D13F36CB9}"/>
    <hyperlink ref="B15" r:id="rId2" xr:uid="{48325265-E761-42FD-8292-EEF807F9B6DF}"/>
    <hyperlink ref="B17" r:id="rId3" xr:uid="{DFB0E77A-9854-4FA7-A2CE-8BDF44DB1ECC}"/>
  </hyperlinks>
  <pageMargins left="0.7" right="0.7" top="0.75" bottom="0.75" header="0.3" footer="0.3"/>
  <pageSetup scale="94" orientation="portrait" horizontalDpi="1200" verticalDpi="1200" r:id="rId4"/>
  <customProperties>
    <customPr name="Guid" r:id="rId5"/>
  </customProperties>
  <drawing r:id="rId6"/>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ABF00-AC76-4748-A9C0-C2B33E60DB69}">
  <sheetPr codeName="Sheet1"/>
  <dimension ref="A1:F37"/>
  <sheetViews>
    <sheetView showGridLines="0" zoomScaleNormal="100" workbookViewId="0"/>
  </sheetViews>
  <sheetFormatPr defaultRowHeight="15.6" x14ac:dyDescent="0.3"/>
  <cols>
    <col min="1" max="1" width="3.375" style="69" customWidth="1"/>
    <col min="2" max="2" width="12.75" style="69" bestFit="1" customWidth="1"/>
    <col min="3" max="3" width="28.125" style="69" customWidth="1"/>
    <col min="4" max="4" width="17.625" style="69" customWidth="1"/>
    <col min="5" max="5" width="11.375" style="69" bestFit="1" customWidth="1"/>
    <col min="6" max="6" width="18.75" style="69" bestFit="1" customWidth="1"/>
  </cols>
  <sheetData>
    <row r="1" spans="1:6" x14ac:dyDescent="0.25">
      <c r="A1" s="67" t="s">
        <v>76</v>
      </c>
      <c r="B1" s="68"/>
      <c r="C1" s="68"/>
      <c r="D1" s="68"/>
      <c r="E1" s="68"/>
      <c r="F1" s="68"/>
    </row>
    <row r="2" spans="1:6" ht="18" x14ac:dyDescent="0.35">
      <c r="A2" s="46" t="s">
        <v>405</v>
      </c>
      <c r="B2" s="102"/>
      <c r="C2" s="102"/>
      <c r="D2" s="102"/>
      <c r="E2" s="102"/>
      <c r="F2" s="102"/>
    </row>
    <row r="3" spans="1:6" x14ac:dyDescent="0.25">
      <c r="A3" s="66" t="s">
        <v>645</v>
      </c>
      <c r="B3" s="72"/>
      <c r="C3" s="72"/>
      <c r="D3" s="72"/>
      <c r="E3" s="72"/>
      <c r="F3" s="72"/>
    </row>
    <row r="6" spans="1:6" x14ac:dyDescent="0.3">
      <c r="B6" s="536" t="s">
        <v>683</v>
      </c>
      <c r="C6" s="536" t="s">
        <v>406</v>
      </c>
      <c r="D6" s="536" t="s">
        <v>684</v>
      </c>
      <c r="E6" s="537" t="s">
        <v>407</v>
      </c>
      <c r="F6" s="537" t="s">
        <v>408</v>
      </c>
    </row>
    <row r="7" spans="1:6" ht="16.5" customHeight="1" x14ac:dyDescent="0.3">
      <c r="B7" s="69" t="s">
        <v>685</v>
      </c>
      <c r="C7" s="571" t="s">
        <v>686</v>
      </c>
      <c r="D7" s="571" t="s">
        <v>687</v>
      </c>
      <c r="E7" s="532">
        <v>4000</v>
      </c>
      <c r="F7" s="572" t="s">
        <v>186</v>
      </c>
    </row>
    <row r="8" spans="1:6" ht="16.5" customHeight="1" x14ac:dyDescent="0.3">
      <c r="B8" s="69" t="s">
        <v>685</v>
      </c>
      <c r="C8" s="571" t="s">
        <v>688</v>
      </c>
      <c r="D8" s="571" t="s">
        <v>687</v>
      </c>
      <c r="E8" s="532">
        <v>3750</v>
      </c>
      <c r="F8" s="572" t="s">
        <v>186</v>
      </c>
    </row>
    <row r="9" spans="1:6" ht="16.5" customHeight="1" x14ac:dyDescent="0.3">
      <c r="B9" s="69" t="s">
        <v>685</v>
      </c>
      <c r="C9" s="571" t="s">
        <v>689</v>
      </c>
      <c r="D9" s="571" t="s">
        <v>687</v>
      </c>
      <c r="E9" s="532">
        <v>5200</v>
      </c>
      <c r="F9" s="572" t="s">
        <v>690</v>
      </c>
    </row>
    <row r="10" spans="1:6" ht="16.5" customHeight="1" x14ac:dyDescent="0.3">
      <c r="B10" s="69" t="s">
        <v>685</v>
      </c>
      <c r="C10" s="571" t="s">
        <v>691</v>
      </c>
      <c r="D10" s="571" t="s">
        <v>687</v>
      </c>
      <c r="E10" s="532">
        <v>4500</v>
      </c>
      <c r="F10" s="572" t="s">
        <v>186</v>
      </c>
    </row>
    <row r="11" spans="1:6" ht="16.5" customHeight="1" x14ac:dyDescent="0.3">
      <c r="B11" s="69" t="s">
        <v>685</v>
      </c>
      <c r="C11" s="571" t="s">
        <v>692</v>
      </c>
      <c r="D11" s="571" t="s">
        <v>687</v>
      </c>
      <c r="E11" s="532">
        <v>4000</v>
      </c>
      <c r="F11" s="572" t="s">
        <v>186</v>
      </c>
    </row>
    <row r="12" spans="1:6" ht="16.5" customHeight="1" x14ac:dyDescent="0.3">
      <c r="B12" s="69" t="s">
        <v>685</v>
      </c>
      <c r="C12" s="571" t="s">
        <v>693</v>
      </c>
      <c r="D12" s="571" t="s">
        <v>687</v>
      </c>
      <c r="E12" s="532">
        <v>4100</v>
      </c>
      <c r="F12" s="572" t="s">
        <v>694</v>
      </c>
    </row>
    <row r="13" spans="1:6" ht="16.5" customHeight="1" x14ac:dyDescent="0.3">
      <c r="B13" s="69" t="s">
        <v>685</v>
      </c>
      <c r="C13" s="571" t="s">
        <v>695</v>
      </c>
      <c r="D13" s="571" t="s">
        <v>687</v>
      </c>
      <c r="E13" s="532">
        <v>3975</v>
      </c>
      <c r="F13" s="572" t="s">
        <v>186</v>
      </c>
    </row>
    <row r="14" spans="1:6" ht="16.5" customHeight="1" x14ac:dyDescent="0.3">
      <c r="B14" s="69" t="s">
        <v>685</v>
      </c>
      <c r="C14" s="571" t="s">
        <v>696</v>
      </c>
      <c r="D14" s="571" t="s">
        <v>687</v>
      </c>
      <c r="E14" s="532">
        <v>3940</v>
      </c>
      <c r="F14" s="572" t="s">
        <v>694</v>
      </c>
    </row>
    <row r="15" spans="1:6" ht="16.5" customHeight="1" x14ac:dyDescent="0.3">
      <c r="B15" s="69" t="s">
        <v>685</v>
      </c>
      <c r="C15" s="571" t="s">
        <v>697</v>
      </c>
      <c r="D15" s="571" t="s">
        <v>687</v>
      </c>
      <c r="E15" s="532">
        <v>4250</v>
      </c>
      <c r="F15" s="572" t="s">
        <v>186</v>
      </c>
    </row>
    <row r="16" spans="1:6" ht="16.5" customHeight="1" x14ac:dyDescent="0.3">
      <c r="B16" s="69" t="s">
        <v>685</v>
      </c>
      <c r="C16" s="571" t="s">
        <v>698</v>
      </c>
      <c r="D16" s="571" t="s">
        <v>687</v>
      </c>
      <c r="E16" s="532">
        <v>3700</v>
      </c>
      <c r="F16" s="572" t="s">
        <v>699</v>
      </c>
    </row>
    <row r="17" spans="2:6" ht="16.5" customHeight="1" x14ac:dyDescent="0.3">
      <c r="B17" s="69" t="s">
        <v>685</v>
      </c>
      <c r="C17" s="571" t="s">
        <v>700</v>
      </c>
      <c r="D17" s="571" t="s">
        <v>701</v>
      </c>
      <c r="E17" s="532">
        <v>4000</v>
      </c>
      <c r="F17" s="572" t="s">
        <v>694</v>
      </c>
    </row>
    <row r="18" spans="2:6" ht="16.5" customHeight="1" x14ac:dyDescent="0.3">
      <c r="B18" s="69" t="s">
        <v>685</v>
      </c>
      <c r="C18" s="571" t="s">
        <v>702</v>
      </c>
      <c r="D18" s="571" t="s">
        <v>687</v>
      </c>
      <c r="E18" s="532">
        <v>4000</v>
      </c>
      <c r="F18" s="572" t="s">
        <v>694</v>
      </c>
    </row>
    <row r="19" spans="2:6" ht="16.5" customHeight="1" x14ac:dyDescent="0.3">
      <c r="B19" s="69" t="s">
        <v>685</v>
      </c>
      <c r="C19" s="571" t="s">
        <v>703</v>
      </c>
      <c r="D19" s="571" t="s">
        <v>687</v>
      </c>
      <c r="E19" s="532">
        <v>4000</v>
      </c>
      <c r="F19" s="572" t="s">
        <v>186</v>
      </c>
    </row>
    <row r="20" spans="2:6" ht="16.5" customHeight="1" x14ac:dyDescent="0.3">
      <c r="B20" s="69" t="s">
        <v>685</v>
      </c>
      <c r="C20" s="571" t="s">
        <v>704</v>
      </c>
      <c r="D20" s="571" t="s">
        <v>687</v>
      </c>
      <c r="E20" s="532">
        <v>4400</v>
      </c>
      <c r="F20" s="572" t="s">
        <v>694</v>
      </c>
    </row>
    <row r="21" spans="2:6" ht="16.5" customHeight="1" x14ac:dyDescent="0.3">
      <c r="B21" s="69" t="s">
        <v>685</v>
      </c>
      <c r="C21" s="571" t="s">
        <v>705</v>
      </c>
      <c r="D21" s="571" t="s">
        <v>687</v>
      </c>
      <c r="E21" s="532">
        <v>4100</v>
      </c>
      <c r="F21" s="572" t="s">
        <v>186</v>
      </c>
    </row>
    <row r="22" spans="2:6" ht="16.5" customHeight="1" x14ac:dyDescent="0.3">
      <c r="B22" s="69" t="s">
        <v>685</v>
      </c>
      <c r="C22" s="571" t="s">
        <v>706</v>
      </c>
      <c r="D22" s="571" t="s">
        <v>687</v>
      </c>
      <c r="E22" s="532">
        <v>5200</v>
      </c>
      <c r="F22" s="572" t="s">
        <v>690</v>
      </c>
    </row>
    <row r="23" spans="2:6" ht="16.5" customHeight="1" x14ac:dyDescent="0.3">
      <c r="B23" s="69" t="s">
        <v>685</v>
      </c>
      <c r="C23" s="571" t="s">
        <v>707</v>
      </c>
      <c r="D23" s="571" t="s">
        <v>687</v>
      </c>
      <c r="E23" s="532">
        <v>4250</v>
      </c>
      <c r="F23" s="572" t="s">
        <v>186</v>
      </c>
    </row>
    <row r="24" spans="2:6" ht="16.5" customHeight="1" x14ac:dyDescent="0.3">
      <c r="B24" s="69" t="s">
        <v>685</v>
      </c>
      <c r="C24" s="571" t="s">
        <v>708</v>
      </c>
      <c r="D24" s="571" t="s">
        <v>687</v>
      </c>
      <c r="E24" s="532">
        <v>3860</v>
      </c>
      <c r="F24" s="572" t="s">
        <v>709</v>
      </c>
    </row>
    <row r="25" spans="2:6" ht="16.5" customHeight="1" x14ac:dyDescent="0.3">
      <c r="B25" s="69" t="s">
        <v>685</v>
      </c>
      <c r="C25" s="571" t="s">
        <v>710</v>
      </c>
      <c r="D25" s="571" t="s">
        <v>687</v>
      </c>
      <c r="E25" s="532">
        <v>4400</v>
      </c>
      <c r="F25" s="572" t="s">
        <v>186</v>
      </c>
    </row>
    <row r="26" spans="2:6" ht="16.5" customHeight="1" x14ac:dyDescent="0.3">
      <c r="B26" s="69" t="s">
        <v>685</v>
      </c>
      <c r="C26" s="571" t="s">
        <v>711</v>
      </c>
      <c r="D26" s="571" t="s">
        <v>701</v>
      </c>
      <c r="E26" s="532">
        <v>4150</v>
      </c>
      <c r="F26" s="572" t="s">
        <v>712</v>
      </c>
    </row>
    <row r="27" spans="2:6" ht="16.5" customHeight="1" x14ac:dyDescent="0.3">
      <c r="B27" s="69" t="s">
        <v>685</v>
      </c>
      <c r="C27" s="571" t="s">
        <v>409</v>
      </c>
      <c r="D27" s="571" t="s">
        <v>687</v>
      </c>
      <c r="E27" s="532">
        <v>4350</v>
      </c>
      <c r="F27" s="572" t="s">
        <v>590</v>
      </c>
    </row>
    <row r="28" spans="2:6" ht="16.5" customHeight="1" x14ac:dyDescent="0.3">
      <c r="B28" s="69" t="s">
        <v>685</v>
      </c>
      <c r="C28" s="571" t="s">
        <v>713</v>
      </c>
      <c r="D28" s="571" t="s">
        <v>687</v>
      </c>
      <c r="E28" s="532">
        <v>4650</v>
      </c>
      <c r="F28" s="572" t="s">
        <v>186</v>
      </c>
    </row>
    <row r="29" spans="2:6" ht="16.5" customHeight="1" x14ac:dyDescent="0.3">
      <c r="B29" s="69" t="s">
        <v>714</v>
      </c>
      <c r="C29" s="571" t="s">
        <v>715</v>
      </c>
      <c r="D29" s="571" t="s">
        <v>687</v>
      </c>
      <c r="E29" s="532">
        <v>4155</v>
      </c>
      <c r="F29" s="572" t="s">
        <v>699</v>
      </c>
    </row>
    <row r="30" spans="2:6" ht="16.5" customHeight="1" x14ac:dyDescent="0.3">
      <c r="B30" s="69" t="s">
        <v>716</v>
      </c>
      <c r="C30" s="571" t="s">
        <v>717</v>
      </c>
      <c r="D30" s="571" t="s">
        <v>687</v>
      </c>
      <c r="E30" s="532">
        <v>4000</v>
      </c>
      <c r="F30" s="572" t="s">
        <v>186</v>
      </c>
    </row>
    <row r="31" spans="2:6" ht="16.5" customHeight="1" x14ac:dyDescent="0.3">
      <c r="B31" s="69" t="s">
        <v>718</v>
      </c>
      <c r="C31" s="571" t="s">
        <v>719</v>
      </c>
      <c r="D31" s="571" t="s">
        <v>687</v>
      </c>
      <c r="E31" s="532">
        <v>3900</v>
      </c>
      <c r="F31" s="572" t="s">
        <v>699</v>
      </c>
    </row>
    <row r="32" spans="2:6" ht="16.5" customHeight="1" x14ac:dyDescent="0.3">
      <c r="B32" s="571"/>
      <c r="C32" s="571"/>
      <c r="D32" s="571"/>
      <c r="E32" s="533"/>
      <c r="F32" s="572"/>
    </row>
    <row r="33" spans="2:6" ht="16.5" customHeight="1" x14ac:dyDescent="0.3">
      <c r="B33" s="399" t="s">
        <v>410</v>
      </c>
      <c r="C33" s="573"/>
      <c r="D33" s="573"/>
      <c r="E33" s="534">
        <f>AVERAGE(E7:E31)</f>
        <v>4193.2</v>
      </c>
      <c r="F33"/>
    </row>
    <row r="34" spans="2:6" x14ac:dyDescent="0.3">
      <c r="B34" s="399" t="s">
        <v>177</v>
      </c>
      <c r="C34" s="399"/>
      <c r="D34" s="399"/>
      <c r="E34" s="534">
        <f>MEDIAN(E7:E31)</f>
        <v>4100</v>
      </c>
      <c r="F34"/>
    </row>
    <row r="35" spans="2:6" x14ac:dyDescent="0.3">
      <c r="B35" s="399" t="s">
        <v>411</v>
      </c>
      <c r="C35" s="399"/>
      <c r="D35" s="399"/>
      <c r="E35" s="534">
        <f>MODE(E7:E31)</f>
        <v>4000</v>
      </c>
      <c r="F35"/>
    </row>
    <row r="36" spans="2:6" ht="16.5" customHeight="1" x14ac:dyDescent="0.3">
      <c r="B36" s="93" t="s">
        <v>195</v>
      </c>
      <c r="C36" s="93"/>
      <c r="D36" s="93"/>
      <c r="E36" s="574">
        <f>MIN(E7:E31)</f>
        <v>3700</v>
      </c>
      <c r="F36"/>
    </row>
    <row r="37" spans="2:6" x14ac:dyDescent="0.3">
      <c r="B37" s="112" t="s">
        <v>276</v>
      </c>
      <c r="D37" s="93"/>
      <c r="E37" s="535">
        <f>MAX(E7:E31)</f>
        <v>5200</v>
      </c>
      <c r="F37"/>
    </row>
  </sheetData>
  <pageMargins left="0.7" right="0.7" top="0.75" bottom="0.75" header="0.3" footer="0.3"/>
  <pageSetup scale="77" orientation="portrait" horizontalDpi="1200" verticalDpi="1200" r:id="rId1"/>
  <rowBreaks count="1" manualBreakCount="1">
    <brk id="21" max="16383"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4AD62-1586-4BAF-B4DF-E3932B01F22A}">
  <sheetPr>
    <pageSetUpPr autoPageBreaks="0"/>
  </sheetPr>
  <dimension ref="A1:L1382"/>
  <sheetViews>
    <sheetView showGridLines="0" zoomScaleNormal="100" workbookViewId="0"/>
  </sheetViews>
  <sheetFormatPr defaultColWidth="8.75" defaultRowHeight="12.75" customHeight="1" x14ac:dyDescent="0.25"/>
  <cols>
    <col min="1" max="1" width="3.375" style="405" customWidth="1"/>
    <col min="2" max="2" width="18.375" style="405" customWidth="1"/>
    <col min="3" max="3" width="44.375" style="405" customWidth="1"/>
    <col min="4" max="4" width="11.125" style="405" customWidth="1"/>
    <col min="5" max="5" width="11.625" style="405" customWidth="1"/>
    <col min="6" max="6" width="19.375" style="405" customWidth="1"/>
    <col min="7" max="16384" width="8.75" style="405"/>
  </cols>
  <sheetData>
    <row r="1" spans="1:12" ht="15.75" customHeight="1" x14ac:dyDescent="0.2">
      <c r="A1" s="2" t="s">
        <v>76</v>
      </c>
      <c r="B1" s="2"/>
      <c r="C1" s="404"/>
      <c r="D1" s="404"/>
      <c r="E1" s="404"/>
      <c r="F1" s="404"/>
      <c r="G1" s="404"/>
      <c r="H1" s="404"/>
      <c r="I1" s="404"/>
      <c r="J1" s="404"/>
      <c r="K1" s="404"/>
      <c r="L1" s="404"/>
    </row>
    <row r="2" spans="1:12" ht="15.75" customHeight="1" x14ac:dyDescent="0.25">
      <c r="A2" s="70" t="s">
        <v>194</v>
      </c>
      <c r="B2" s="70"/>
      <c r="C2" s="404"/>
      <c r="D2" s="404"/>
      <c r="E2" s="404"/>
      <c r="F2" s="404"/>
      <c r="G2" s="404"/>
      <c r="H2" s="404"/>
      <c r="I2" s="404"/>
      <c r="J2" s="404"/>
      <c r="K2" s="404"/>
      <c r="L2" s="404"/>
    </row>
    <row r="3" spans="1:12" ht="15.75" customHeight="1" x14ac:dyDescent="0.25">
      <c r="A3" s="66" t="s">
        <v>645</v>
      </c>
      <c r="B3" s="4"/>
      <c r="C3" s="404"/>
      <c r="D3" s="404"/>
      <c r="E3" s="404"/>
      <c r="F3" s="404"/>
      <c r="G3" s="404"/>
      <c r="H3" s="404"/>
      <c r="I3" s="404"/>
      <c r="J3" s="404"/>
      <c r="K3" s="404"/>
      <c r="L3" s="404"/>
    </row>
    <row r="5" spans="1:12" ht="13.8" x14ac:dyDescent="0.25">
      <c r="B5" s="402"/>
      <c r="C5" s="406"/>
      <c r="D5" s="407"/>
      <c r="E5" s="408"/>
      <c r="F5" s="408"/>
    </row>
    <row r="6" spans="1:12" ht="13.8" x14ac:dyDescent="0.25">
      <c r="B6" s="399" t="s">
        <v>533</v>
      </c>
      <c r="C6" s="399"/>
      <c r="D6" s="400">
        <f>MAX(C1122:$C$1374)</f>
        <v>3531.45</v>
      </c>
      <c r="E6" s="408"/>
      <c r="F6" s="408"/>
    </row>
    <row r="7" spans="1:12" ht="13.8" x14ac:dyDescent="0.25">
      <c r="B7" s="403" t="s">
        <v>534</v>
      </c>
      <c r="C7" s="402"/>
      <c r="D7" s="401">
        <f>MIN(C1122:$C$1374)</f>
        <v>1846.09</v>
      </c>
      <c r="E7" s="408"/>
      <c r="F7" s="408"/>
    </row>
    <row r="8" spans="1:12" ht="13.8" x14ac:dyDescent="0.25">
      <c r="B8" s="399" t="s">
        <v>535</v>
      </c>
      <c r="C8" s="399"/>
      <c r="D8" s="400">
        <f>AVERAGE(C1122:$C$1374)</f>
        <v>2941.4628458498009</v>
      </c>
      <c r="E8" s="408"/>
      <c r="F8" s="408"/>
    </row>
    <row r="9" spans="1:12" ht="13.8" x14ac:dyDescent="0.25">
      <c r="B9" s="402"/>
      <c r="C9" s="406"/>
      <c r="D9" s="407"/>
      <c r="E9" s="408"/>
      <c r="F9" s="408"/>
    </row>
    <row r="10" spans="1:12" ht="28.2" x14ac:dyDescent="0.3">
      <c r="B10" s="397" t="s">
        <v>196</v>
      </c>
      <c r="C10" s="398" t="s">
        <v>197</v>
      </c>
      <c r="D10" s="329"/>
      <c r="E10" s="329"/>
      <c r="F10" s="329"/>
    </row>
    <row r="11" spans="1:12" ht="12.75" customHeight="1" x14ac:dyDescent="0.25">
      <c r="B11" s="412">
        <v>42307</v>
      </c>
      <c r="C11" s="413">
        <v>625.9</v>
      </c>
      <c r="D11" s="409"/>
      <c r="E11" s="409"/>
      <c r="F11" s="409"/>
    </row>
    <row r="12" spans="1:12" ht="12.75" customHeight="1" x14ac:dyDescent="0.25">
      <c r="B12" s="412">
        <v>42310</v>
      </c>
      <c r="C12" s="413">
        <v>628.35</v>
      </c>
      <c r="D12" s="409"/>
      <c r="E12" s="409"/>
      <c r="F12" s="409"/>
    </row>
    <row r="13" spans="1:12" ht="12.75" customHeight="1" x14ac:dyDescent="0.25">
      <c r="B13" s="412">
        <v>42311</v>
      </c>
      <c r="C13" s="413">
        <v>625.30999999999995</v>
      </c>
      <c r="D13" s="409"/>
      <c r="E13" s="409"/>
      <c r="F13" s="409"/>
    </row>
    <row r="14" spans="1:12" ht="12.75" customHeight="1" x14ac:dyDescent="0.25">
      <c r="B14" s="412">
        <v>42312</v>
      </c>
      <c r="C14" s="413">
        <v>640.95000000000005</v>
      </c>
      <c r="D14" s="409"/>
      <c r="E14" s="409"/>
      <c r="F14" s="409"/>
    </row>
    <row r="15" spans="1:12" ht="12.75" customHeight="1" x14ac:dyDescent="0.25">
      <c r="B15" s="412">
        <v>42313</v>
      </c>
      <c r="C15" s="413">
        <v>655.65</v>
      </c>
      <c r="D15" s="409"/>
      <c r="E15" s="409"/>
      <c r="F15" s="409"/>
    </row>
    <row r="16" spans="1:12" ht="12.75" customHeight="1" x14ac:dyDescent="0.25">
      <c r="B16" s="412">
        <v>42314</v>
      </c>
      <c r="C16" s="413">
        <v>659.37</v>
      </c>
      <c r="D16" s="409"/>
      <c r="E16" s="409"/>
      <c r="F16" s="409"/>
    </row>
    <row r="17" spans="2:6" ht="12.75" customHeight="1" x14ac:dyDescent="0.25">
      <c r="B17" s="412">
        <v>42317</v>
      </c>
      <c r="C17" s="413">
        <v>655.49</v>
      </c>
      <c r="D17" s="409"/>
      <c r="E17" s="409"/>
      <c r="F17" s="409"/>
    </row>
    <row r="18" spans="2:6" ht="12.75" customHeight="1" x14ac:dyDescent="0.25">
      <c r="B18" s="412">
        <v>42318</v>
      </c>
      <c r="C18" s="413">
        <v>659.68</v>
      </c>
      <c r="D18" s="409"/>
      <c r="E18" s="409"/>
      <c r="F18" s="409"/>
    </row>
    <row r="19" spans="2:6" ht="12.75" customHeight="1" x14ac:dyDescent="0.25">
      <c r="B19" s="412">
        <v>42319</v>
      </c>
      <c r="C19" s="413">
        <v>673.25</v>
      </c>
      <c r="D19" s="409"/>
      <c r="E19" s="409"/>
      <c r="F19" s="409"/>
    </row>
    <row r="20" spans="2:6" ht="12.75" customHeight="1" x14ac:dyDescent="0.25">
      <c r="B20" s="412">
        <v>42320</v>
      </c>
      <c r="C20" s="413">
        <v>665.6</v>
      </c>
      <c r="D20" s="409"/>
      <c r="E20" s="409"/>
      <c r="F20" s="409"/>
    </row>
    <row r="21" spans="2:6" ht="12.75" customHeight="1" x14ac:dyDescent="0.25">
      <c r="B21" s="412">
        <v>42321</v>
      </c>
      <c r="C21" s="413">
        <v>642.35</v>
      </c>
      <c r="D21" s="409"/>
      <c r="E21" s="409"/>
      <c r="F21" s="409"/>
    </row>
    <row r="22" spans="2:6" ht="12.75" customHeight="1" x14ac:dyDescent="0.25">
      <c r="B22" s="412">
        <v>42324</v>
      </c>
      <c r="C22" s="413">
        <v>647.80999999999995</v>
      </c>
      <c r="D22" s="409"/>
      <c r="E22" s="409"/>
      <c r="F22" s="409"/>
    </row>
    <row r="23" spans="2:6" ht="12.75" customHeight="1" x14ac:dyDescent="0.25">
      <c r="B23" s="412">
        <v>42325</v>
      </c>
      <c r="C23" s="413">
        <v>643.29999999999995</v>
      </c>
      <c r="D23" s="409"/>
      <c r="E23" s="409"/>
      <c r="F23" s="409"/>
    </row>
    <row r="24" spans="2:6" ht="12.75" customHeight="1" x14ac:dyDescent="0.25">
      <c r="B24" s="412">
        <v>42326</v>
      </c>
      <c r="C24" s="413">
        <v>663.54</v>
      </c>
      <c r="D24" s="409"/>
      <c r="E24" s="409"/>
      <c r="F24" s="409"/>
    </row>
    <row r="25" spans="2:6" ht="12.75" customHeight="1" x14ac:dyDescent="0.25">
      <c r="B25" s="412">
        <v>42327</v>
      </c>
      <c r="C25" s="413">
        <v>661.27</v>
      </c>
      <c r="D25" s="409"/>
      <c r="E25" s="409"/>
      <c r="F25" s="409"/>
    </row>
    <row r="26" spans="2:6" ht="12.75" customHeight="1" x14ac:dyDescent="0.25">
      <c r="B26" s="412">
        <v>42328</v>
      </c>
      <c r="C26" s="413">
        <v>668.45</v>
      </c>
      <c r="D26" s="409"/>
      <c r="E26" s="409"/>
      <c r="F26" s="409"/>
    </row>
    <row r="27" spans="2:6" ht="12.75" customHeight="1" x14ac:dyDescent="0.25">
      <c r="B27" s="412">
        <v>42331</v>
      </c>
      <c r="C27" s="413">
        <v>678.99</v>
      </c>
      <c r="D27" s="409"/>
      <c r="E27" s="409"/>
      <c r="F27" s="409"/>
    </row>
    <row r="28" spans="2:6" ht="12.75" customHeight="1" x14ac:dyDescent="0.25">
      <c r="B28" s="412">
        <v>42332</v>
      </c>
      <c r="C28" s="413">
        <v>671.15</v>
      </c>
      <c r="D28" s="409"/>
      <c r="E28" s="409"/>
      <c r="F28" s="409"/>
    </row>
    <row r="29" spans="2:6" ht="12.75" customHeight="1" x14ac:dyDescent="0.25">
      <c r="B29" s="412">
        <v>42333</v>
      </c>
      <c r="C29" s="413">
        <v>675.34</v>
      </c>
      <c r="D29" s="409"/>
      <c r="E29" s="409"/>
      <c r="F29" s="409"/>
    </row>
    <row r="30" spans="2:6" ht="12.75" customHeight="1" x14ac:dyDescent="0.25">
      <c r="B30" s="412">
        <v>42335</v>
      </c>
      <c r="C30" s="413">
        <v>673.26</v>
      </c>
      <c r="D30" s="409"/>
      <c r="E30" s="409"/>
      <c r="F30" s="409"/>
    </row>
    <row r="31" spans="2:6" ht="12.75" customHeight="1" x14ac:dyDescent="0.25">
      <c r="B31" s="412">
        <v>42338</v>
      </c>
      <c r="C31" s="413">
        <v>664.8</v>
      </c>
      <c r="D31" s="409"/>
      <c r="E31" s="409"/>
      <c r="F31" s="409"/>
    </row>
    <row r="32" spans="2:6" ht="12.75" customHeight="1" x14ac:dyDescent="0.25">
      <c r="B32" s="412">
        <v>42339</v>
      </c>
      <c r="C32" s="413">
        <v>679.06</v>
      </c>
      <c r="D32" s="409"/>
      <c r="E32" s="409"/>
      <c r="F32" s="409"/>
    </row>
    <row r="33" spans="2:6" ht="12.75" customHeight="1" x14ac:dyDescent="0.25">
      <c r="B33" s="412">
        <v>42340</v>
      </c>
      <c r="C33" s="413">
        <v>676.01</v>
      </c>
      <c r="D33" s="409"/>
      <c r="E33" s="409"/>
      <c r="F33" s="409"/>
    </row>
    <row r="34" spans="2:6" ht="12.75" customHeight="1" x14ac:dyDescent="0.25">
      <c r="B34" s="412">
        <v>42341</v>
      </c>
      <c r="C34" s="413">
        <v>666.25</v>
      </c>
      <c r="D34" s="409"/>
      <c r="E34" s="409"/>
      <c r="F34" s="409"/>
    </row>
    <row r="35" spans="2:6" ht="12.75" customHeight="1" x14ac:dyDescent="0.25">
      <c r="B35" s="412">
        <v>42342</v>
      </c>
      <c r="C35" s="413">
        <v>672.64</v>
      </c>
      <c r="D35" s="409"/>
      <c r="E35" s="409"/>
      <c r="F35" s="409"/>
    </row>
    <row r="36" spans="2:6" ht="12.75" customHeight="1" x14ac:dyDescent="0.25">
      <c r="B36" s="412">
        <v>42345</v>
      </c>
      <c r="C36" s="413">
        <v>669.83</v>
      </c>
      <c r="D36" s="409"/>
      <c r="E36" s="409"/>
      <c r="F36" s="409"/>
    </row>
    <row r="37" spans="2:6" ht="12.75" customHeight="1" x14ac:dyDescent="0.25">
      <c r="B37" s="412">
        <v>42346</v>
      </c>
      <c r="C37" s="413">
        <v>677.33</v>
      </c>
      <c r="D37" s="409"/>
      <c r="E37" s="409"/>
      <c r="F37" s="409"/>
    </row>
    <row r="38" spans="2:6" ht="12.75" customHeight="1" x14ac:dyDescent="0.25">
      <c r="B38" s="412">
        <v>42347</v>
      </c>
      <c r="C38" s="413">
        <v>664.79</v>
      </c>
      <c r="D38" s="409"/>
      <c r="E38" s="409"/>
      <c r="F38" s="409"/>
    </row>
    <row r="39" spans="2:6" ht="12.75" customHeight="1" x14ac:dyDescent="0.25">
      <c r="B39" s="412">
        <v>42348</v>
      </c>
      <c r="C39" s="413">
        <v>662.32</v>
      </c>
      <c r="D39" s="409"/>
      <c r="E39" s="409"/>
      <c r="F39" s="409"/>
    </row>
    <row r="40" spans="2:6" ht="12.75" customHeight="1" x14ac:dyDescent="0.25">
      <c r="B40" s="412">
        <v>42349</v>
      </c>
      <c r="C40" s="413">
        <v>640.15</v>
      </c>
      <c r="D40" s="409"/>
      <c r="E40" s="409"/>
      <c r="F40" s="409"/>
    </row>
    <row r="41" spans="2:6" ht="12.75" customHeight="1" x14ac:dyDescent="0.25">
      <c r="B41" s="412">
        <v>42352</v>
      </c>
      <c r="C41" s="413">
        <v>657.91</v>
      </c>
      <c r="D41" s="409"/>
      <c r="E41" s="409"/>
      <c r="F41" s="409"/>
    </row>
    <row r="42" spans="2:6" ht="12.75" customHeight="1" x14ac:dyDescent="0.25">
      <c r="B42" s="412">
        <v>42353</v>
      </c>
      <c r="C42" s="413">
        <v>658.64</v>
      </c>
      <c r="D42" s="409"/>
      <c r="E42" s="409"/>
      <c r="F42" s="409"/>
    </row>
    <row r="43" spans="2:6" ht="12.75" customHeight="1" x14ac:dyDescent="0.25">
      <c r="B43" s="412">
        <v>42354</v>
      </c>
      <c r="C43" s="413">
        <v>675.77</v>
      </c>
      <c r="D43" s="409"/>
      <c r="E43" s="409"/>
      <c r="F43" s="409"/>
    </row>
    <row r="44" spans="2:6" ht="12.75" customHeight="1" x14ac:dyDescent="0.25">
      <c r="B44" s="412">
        <v>42355</v>
      </c>
      <c r="C44" s="413">
        <v>670.65</v>
      </c>
      <c r="D44" s="409"/>
      <c r="E44" s="409"/>
      <c r="F44" s="409"/>
    </row>
    <row r="45" spans="2:6" ht="12.75" customHeight="1" x14ac:dyDescent="0.25">
      <c r="B45" s="412">
        <v>42356</v>
      </c>
      <c r="C45" s="413">
        <v>664.14</v>
      </c>
      <c r="D45" s="409"/>
      <c r="E45" s="409"/>
      <c r="F45" s="409"/>
    </row>
    <row r="46" spans="2:6" ht="12.75" customHeight="1" x14ac:dyDescent="0.25">
      <c r="B46" s="412">
        <v>42359</v>
      </c>
      <c r="C46" s="413">
        <v>664.51</v>
      </c>
      <c r="D46" s="409"/>
      <c r="E46" s="409"/>
      <c r="F46" s="409"/>
    </row>
    <row r="47" spans="2:6" ht="12.75" customHeight="1" x14ac:dyDescent="0.25">
      <c r="B47" s="412">
        <v>42360</v>
      </c>
      <c r="C47" s="413">
        <v>663.15</v>
      </c>
      <c r="D47" s="409"/>
      <c r="E47" s="409"/>
      <c r="F47" s="409"/>
    </row>
    <row r="48" spans="2:6" ht="12.75" customHeight="1" x14ac:dyDescent="0.25">
      <c r="B48" s="412">
        <v>42361</v>
      </c>
      <c r="C48" s="413">
        <v>663.7</v>
      </c>
      <c r="D48" s="409"/>
      <c r="E48" s="409"/>
      <c r="F48" s="409"/>
    </row>
    <row r="49" spans="2:6" ht="12.75" customHeight="1" x14ac:dyDescent="0.25">
      <c r="B49" s="412">
        <v>42362</v>
      </c>
      <c r="C49" s="413">
        <v>662.79</v>
      </c>
      <c r="D49" s="409"/>
      <c r="E49" s="409"/>
      <c r="F49" s="409"/>
    </row>
    <row r="50" spans="2:6" ht="12.75" customHeight="1" x14ac:dyDescent="0.25">
      <c r="B50" s="412">
        <v>42366</v>
      </c>
      <c r="C50" s="413">
        <v>675.2</v>
      </c>
      <c r="D50" s="409"/>
      <c r="E50" s="409"/>
      <c r="F50" s="409"/>
    </row>
    <row r="51" spans="2:6" ht="12.75" customHeight="1" x14ac:dyDescent="0.25">
      <c r="B51" s="412">
        <v>42367</v>
      </c>
      <c r="C51" s="413">
        <v>693.97</v>
      </c>
      <c r="D51" s="409"/>
      <c r="E51" s="409"/>
      <c r="F51" s="409"/>
    </row>
    <row r="52" spans="2:6" ht="12.75" customHeight="1" x14ac:dyDescent="0.25">
      <c r="B52" s="412">
        <v>42368</v>
      </c>
      <c r="C52" s="413">
        <v>689.07</v>
      </c>
      <c r="D52" s="409"/>
      <c r="E52" s="409"/>
      <c r="F52" s="409"/>
    </row>
    <row r="53" spans="2:6" ht="12.75" customHeight="1" x14ac:dyDescent="0.25">
      <c r="B53" s="412">
        <v>42369</v>
      </c>
      <c r="C53" s="413">
        <v>675.89</v>
      </c>
      <c r="D53" s="409"/>
      <c r="E53" s="409"/>
      <c r="F53" s="409"/>
    </row>
    <row r="54" spans="2:6" ht="12.75" customHeight="1" x14ac:dyDescent="0.25">
      <c r="B54" s="412">
        <v>42373</v>
      </c>
      <c r="C54" s="413">
        <v>636.99</v>
      </c>
      <c r="D54" s="409"/>
      <c r="E54" s="409"/>
      <c r="F54" s="409"/>
    </row>
    <row r="55" spans="2:6" ht="12.75" customHeight="1" x14ac:dyDescent="0.25">
      <c r="B55" s="412">
        <v>42374</v>
      </c>
      <c r="C55" s="413">
        <v>633.79</v>
      </c>
      <c r="D55" s="409"/>
      <c r="E55" s="409"/>
      <c r="F55" s="409"/>
    </row>
    <row r="56" spans="2:6" ht="12.75" customHeight="1" x14ac:dyDescent="0.25">
      <c r="B56" s="412">
        <v>42375</v>
      </c>
      <c r="C56" s="413">
        <v>632.65</v>
      </c>
      <c r="D56" s="409"/>
      <c r="E56" s="409"/>
      <c r="F56" s="409"/>
    </row>
    <row r="57" spans="2:6" ht="12.75" customHeight="1" x14ac:dyDescent="0.25">
      <c r="B57" s="412">
        <v>42376</v>
      </c>
      <c r="C57" s="413">
        <v>607.94000000000005</v>
      </c>
      <c r="D57" s="409"/>
      <c r="E57" s="409"/>
      <c r="F57" s="409"/>
    </row>
    <row r="58" spans="2:6" ht="12.75" customHeight="1" x14ac:dyDescent="0.25">
      <c r="B58" s="412">
        <v>42377</v>
      </c>
      <c r="C58" s="413">
        <v>607.04999999999995</v>
      </c>
      <c r="D58" s="409"/>
      <c r="E58" s="409"/>
      <c r="F58" s="409"/>
    </row>
    <row r="59" spans="2:6" ht="12.75" customHeight="1" x14ac:dyDescent="0.25">
      <c r="B59" s="412">
        <v>42380</v>
      </c>
      <c r="C59" s="413">
        <v>617.74</v>
      </c>
      <c r="D59" s="409"/>
      <c r="E59" s="409"/>
      <c r="F59" s="409"/>
    </row>
    <row r="60" spans="2:6" ht="12.75" customHeight="1" x14ac:dyDescent="0.25">
      <c r="B60" s="412">
        <v>42381</v>
      </c>
      <c r="C60" s="413">
        <v>617.89</v>
      </c>
      <c r="D60" s="409"/>
      <c r="E60" s="409"/>
      <c r="F60" s="409"/>
    </row>
    <row r="61" spans="2:6" ht="12.75" customHeight="1" x14ac:dyDescent="0.25">
      <c r="B61" s="412">
        <v>42382</v>
      </c>
      <c r="C61" s="413">
        <v>581.80999999999995</v>
      </c>
      <c r="D61" s="409"/>
      <c r="E61" s="409"/>
      <c r="F61" s="409"/>
    </row>
    <row r="62" spans="2:6" ht="12.75" customHeight="1" x14ac:dyDescent="0.25">
      <c r="B62" s="412">
        <v>42383</v>
      </c>
      <c r="C62" s="413">
        <v>593</v>
      </c>
      <c r="D62" s="409"/>
      <c r="E62" s="409"/>
      <c r="F62" s="409"/>
    </row>
    <row r="63" spans="2:6" ht="12.75" customHeight="1" x14ac:dyDescent="0.25">
      <c r="B63" s="412">
        <v>42384</v>
      </c>
      <c r="C63" s="413">
        <v>570.17999999999995</v>
      </c>
      <c r="D63" s="409"/>
      <c r="E63" s="409"/>
      <c r="F63" s="409"/>
    </row>
    <row r="64" spans="2:6" ht="12.75" customHeight="1" x14ac:dyDescent="0.25">
      <c r="B64" s="412">
        <v>42388</v>
      </c>
      <c r="C64" s="413">
        <v>574.48</v>
      </c>
      <c r="D64" s="409"/>
      <c r="E64" s="409"/>
      <c r="F64" s="409"/>
    </row>
    <row r="65" spans="2:6" ht="12.75" customHeight="1" x14ac:dyDescent="0.25">
      <c r="B65" s="412">
        <v>42389</v>
      </c>
      <c r="C65" s="413">
        <v>571.77</v>
      </c>
      <c r="D65" s="409"/>
      <c r="E65" s="409"/>
      <c r="F65" s="409"/>
    </row>
    <row r="66" spans="2:6" ht="12.75" customHeight="1" x14ac:dyDescent="0.25">
      <c r="B66" s="412">
        <v>42390</v>
      </c>
      <c r="C66" s="413">
        <v>575.02</v>
      </c>
      <c r="D66" s="409"/>
      <c r="E66" s="409"/>
      <c r="F66" s="409"/>
    </row>
    <row r="67" spans="2:6" ht="12.75" customHeight="1" x14ac:dyDescent="0.25">
      <c r="B67" s="412">
        <v>42391</v>
      </c>
      <c r="C67" s="413">
        <v>596.38</v>
      </c>
      <c r="D67" s="409"/>
      <c r="E67" s="409"/>
      <c r="F67" s="409"/>
    </row>
    <row r="68" spans="2:6" ht="12.75" customHeight="1" x14ac:dyDescent="0.25">
      <c r="B68" s="412">
        <v>42394</v>
      </c>
      <c r="C68" s="413">
        <v>596.53</v>
      </c>
      <c r="D68" s="409"/>
      <c r="E68" s="409"/>
      <c r="F68" s="409"/>
    </row>
    <row r="69" spans="2:6" ht="12.75" customHeight="1" x14ac:dyDescent="0.25">
      <c r="B69" s="412">
        <v>42395</v>
      </c>
      <c r="C69" s="413">
        <v>601.25</v>
      </c>
      <c r="D69" s="409"/>
      <c r="E69" s="409"/>
      <c r="F69" s="409"/>
    </row>
    <row r="70" spans="2:6" ht="12.75" customHeight="1" x14ac:dyDescent="0.25">
      <c r="B70" s="412">
        <v>42396</v>
      </c>
      <c r="C70" s="413">
        <v>583.35</v>
      </c>
      <c r="D70" s="409"/>
      <c r="E70" s="409"/>
      <c r="F70" s="409"/>
    </row>
    <row r="71" spans="2:6" ht="12.75" customHeight="1" x14ac:dyDescent="0.25">
      <c r="B71" s="412">
        <v>42397</v>
      </c>
      <c r="C71" s="413">
        <v>635.35</v>
      </c>
      <c r="D71" s="409"/>
      <c r="E71" s="409"/>
      <c r="F71" s="409"/>
    </row>
    <row r="72" spans="2:6" ht="12.75" customHeight="1" x14ac:dyDescent="0.25">
      <c r="B72" s="412">
        <v>42398</v>
      </c>
      <c r="C72" s="413">
        <v>587</v>
      </c>
      <c r="D72" s="409"/>
      <c r="E72" s="409"/>
      <c r="F72" s="409"/>
    </row>
    <row r="73" spans="2:6" ht="12.75" customHeight="1" x14ac:dyDescent="0.25">
      <c r="B73" s="412">
        <v>42401</v>
      </c>
      <c r="C73" s="413">
        <v>574.80999999999995</v>
      </c>
      <c r="D73" s="409"/>
      <c r="E73" s="409"/>
      <c r="F73" s="409"/>
    </row>
    <row r="74" spans="2:6" ht="12.75" customHeight="1" x14ac:dyDescent="0.25">
      <c r="B74" s="412">
        <v>42402</v>
      </c>
      <c r="C74" s="413">
        <v>552.1</v>
      </c>
      <c r="D74" s="409"/>
      <c r="E74" s="409"/>
      <c r="F74" s="409"/>
    </row>
    <row r="75" spans="2:6" ht="12.75" customHeight="1" x14ac:dyDescent="0.25">
      <c r="B75" s="412">
        <v>42403</v>
      </c>
      <c r="C75" s="413">
        <v>531.07000000000005</v>
      </c>
      <c r="D75" s="409"/>
      <c r="E75" s="409"/>
      <c r="F75" s="409"/>
    </row>
    <row r="76" spans="2:6" ht="12.75" customHeight="1" x14ac:dyDescent="0.25">
      <c r="B76" s="412">
        <v>42404</v>
      </c>
      <c r="C76" s="413">
        <v>536.26</v>
      </c>
      <c r="D76" s="409"/>
      <c r="E76" s="409"/>
      <c r="F76" s="409"/>
    </row>
    <row r="77" spans="2:6" ht="12.75" customHeight="1" x14ac:dyDescent="0.25">
      <c r="B77" s="412">
        <v>42405</v>
      </c>
      <c r="C77" s="413">
        <v>502.13</v>
      </c>
      <c r="D77" s="409"/>
      <c r="E77" s="409"/>
      <c r="F77" s="409"/>
    </row>
    <row r="78" spans="2:6" ht="12.75" customHeight="1" x14ac:dyDescent="0.25">
      <c r="B78" s="412">
        <v>42408</v>
      </c>
      <c r="C78" s="413">
        <v>488.1</v>
      </c>
      <c r="D78" s="409"/>
      <c r="E78" s="409"/>
      <c r="F78" s="409"/>
    </row>
    <row r="79" spans="2:6" ht="12.75" customHeight="1" x14ac:dyDescent="0.25">
      <c r="B79" s="412">
        <v>42409</v>
      </c>
      <c r="C79" s="413">
        <v>482.07</v>
      </c>
      <c r="D79" s="409"/>
      <c r="E79" s="409"/>
      <c r="F79" s="409"/>
    </row>
    <row r="80" spans="2:6" ht="12.75" customHeight="1" x14ac:dyDescent="0.25">
      <c r="B80" s="412">
        <v>42410</v>
      </c>
      <c r="C80" s="413">
        <v>490.48</v>
      </c>
      <c r="D80" s="409"/>
      <c r="E80" s="409"/>
      <c r="F80" s="409"/>
    </row>
    <row r="81" spans="2:6" ht="12.75" customHeight="1" x14ac:dyDescent="0.25">
      <c r="B81" s="412">
        <v>42411</v>
      </c>
      <c r="C81" s="413">
        <v>503.82</v>
      </c>
      <c r="D81" s="409"/>
      <c r="E81" s="409"/>
      <c r="F81" s="409"/>
    </row>
    <row r="82" spans="2:6" ht="12.75" customHeight="1" x14ac:dyDescent="0.25">
      <c r="B82" s="412">
        <v>42412</v>
      </c>
      <c r="C82" s="413">
        <v>507.08</v>
      </c>
      <c r="D82" s="409"/>
      <c r="E82" s="409"/>
      <c r="F82" s="409"/>
    </row>
    <row r="83" spans="2:6" ht="12.75" customHeight="1" x14ac:dyDescent="0.25">
      <c r="B83" s="412">
        <v>42416</v>
      </c>
      <c r="C83" s="413">
        <v>521.1</v>
      </c>
      <c r="D83" s="409"/>
      <c r="E83" s="409"/>
      <c r="F83" s="409"/>
    </row>
    <row r="84" spans="2:6" ht="12.75" customHeight="1" x14ac:dyDescent="0.25">
      <c r="B84" s="412">
        <v>42417</v>
      </c>
      <c r="C84" s="413">
        <v>534.1</v>
      </c>
      <c r="D84" s="409"/>
      <c r="E84" s="409"/>
      <c r="F84" s="409"/>
    </row>
    <row r="85" spans="2:6" ht="12.75" customHeight="1" x14ac:dyDescent="0.25">
      <c r="B85" s="412">
        <v>42418</v>
      </c>
      <c r="C85" s="413">
        <v>525</v>
      </c>
      <c r="D85" s="409"/>
      <c r="E85" s="409"/>
      <c r="F85" s="409"/>
    </row>
    <row r="86" spans="2:6" ht="12.75" customHeight="1" x14ac:dyDescent="0.25">
      <c r="B86" s="412">
        <v>42419</v>
      </c>
      <c r="C86" s="413">
        <v>534.9</v>
      </c>
      <c r="D86" s="409"/>
      <c r="E86" s="409"/>
      <c r="F86" s="409"/>
    </row>
    <row r="87" spans="2:6" ht="12.75" customHeight="1" x14ac:dyDescent="0.25">
      <c r="B87" s="412">
        <v>42422</v>
      </c>
      <c r="C87" s="413">
        <v>559.5</v>
      </c>
      <c r="D87" s="409"/>
      <c r="E87" s="409"/>
      <c r="F87" s="409"/>
    </row>
    <row r="88" spans="2:6" ht="12.75" customHeight="1" x14ac:dyDescent="0.25">
      <c r="B88" s="412">
        <v>42423</v>
      </c>
      <c r="C88" s="413">
        <v>552.94000000000005</v>
      </c>
      <c r="D88" s="409"/>
      <c r="E88" s="409"/>
      <c r="F88" s="409"/>
    </row>
    <row r="89" spans="2:6" ht="12.75" customHeight="1" x14ac:dyDescent="0.25">
      <c r="B89" s="412">
        <v>42424</v>
      </c>
      <c r="C89" s="413">
        <v>554.04</v>
      </c>
      <c r="D89" s="409"/>
      <c r="E89" s="409"/>
      <c r="F89" s="409"/>
    </row>
    <row r="90" spans="2:6" ht="12.75" customHeight="1" x14ac:dyDescent="0.25">
      <c r="B90" s="412">
        <v>42425</v>
      </c>
      <c r="C90" s="413">
        <v>555.15</v>
      </c>
      <c r="D90" s="409"/>
      <c r="E90" s="409"/>
      <c r="F90" s="409"/>
    </row>
    <row r="91" spans="2:6" ht="12.75" customHeight="1" x14ac:dyDescent="0.25">
      <c r="B91" s="412">
        <v>42426</v>
      </c>
      <c r="C91" s="413">
        <v>555.23</v>
      </c>
      <c r="D91" s="409"/>
      <c r="E91" s="409"/>
      <c r="F91" s="409"/>
    </row>
    <row r="92" spans="2:6" ht="12.75" customHeight="1" x14ac:dyDescent="0.25">
      <c r="B92" s="412">
        <v>42429</v>
      </c>
      <c r="C92" s="413">
        <v>552.52</v>
      </c>
      <c r="D92" s="409"/>
      <c r="E92" s="409"/>
      <c r="F92" s="409"/>
    </row>
    <row r="93" spans="2:6" ht="12.75" customHeight="1" x14ac:dyDescent="0.25">
      <c r="B93" s="412">
        <v>42430</v>
      </c>
      <c r="C93" s="413">
        <v>579.04</v>
      </c>
      <c r="D93" s="409"/>
      <c r="E93" s="409"/>
      <c r="F93" s="409"/>
    </row>
    <row r="94" spans="2:6" ht="12.75" customHeight="1" x14ac:dyDescent="0.25">
      <c r="B94" s="412">
        <v>42431</v>
      </c>
      <c r="C94" s="413">
        <v>580.21</v>
      </c>
      <c r="D94" s="409"/>
      <c r="E94" s="409"/>
      <c r="F94" s="409"/>
    </row>
    <row r="95" spans="2:6" ht="12.75" customHeight="1" x14ac:dyDescent="0.25">
      <c r="B95" s="412">
        <v>42432</v>
      </c>
      <c r="C95" s="413">
        <v>577.49</v>
      </c>
      <c r="D95" s="409"/>
      <c r="E95" s="409"/>
      <c r="F95" s="409"/>
    </row>
    <row r="96" spans="2:6" ht="12.75" customHeight="1" x14ac:dyDescent="0.25">
      <c r="B96" s="412">
        <v>42433</v>
      </c>
      <c r="C96" s="413">
        <v>575.14</v>
      </c>
      <c r="D96" s="409"/>
      <c r="E96" s="409"/>
      <c r="F96" s="409"/>
    </row>
    <row r="97" spans="2:6" ht="12.75" customHeight="1" x14ac:dyDescent="0.25">
      <c r="B97" s="412">
        <v>42436</v>
      </c>
      <c r="C97" s="413">
        <v>562.79999999999995</v>
      </c>
      <c r="D97" s="409"/>
      <c r="E97" s="409"/>
      <c r="F97" s="409"/>
    </row>
    <row r="98" spans="2:6" ht="12.75" customHeight="1" x14ac:dyDescent="0.25">
      <c r="B98" s="412">
        <v>42437</v>
      </c>
      <c r="C98" s="413">
        <v>560.26</v>
      </c>
      <c r="D98" s="409"/>
      <c r="E98" s="409"/>
      <c r="F98" s="409"/>
    </row>
    <row r="99" spans="2:6" ht="12.75" customHeight="1" x14ac:dyDescent="0.25">
      <c r="B99" s="412">
        <v>42438</v>
      </c>
      <c r="C99" s="413">
        <v>559.47</v>
      </c>
      <c r="D99" s="409"/>
      <c r="E99" s="409"/>
      <c r="F99" s="409"/>
    </row>
    <row r="100" spans="2:6" ht="12.75" customHeight="1" x14ac:dyDescent="0.25">
      <c r="B100" s="412">
        <v>42439</v>
      </c>
      <c r="C100" s="413">
        <v>558.92999999999995</v>
      </c>
      <c r="D100" s="409"/>
      <c r="E100" s="409"/>
      <c r="F100" s="409"/>
    </row>
    <row r="101" spans="2:6" ht="12.75" customHeight="1" x14ac:dyDescent="0.25">
      <c r="B101" s="412">
        <v>42440</v>
      </c>
      <c r="C101" s="413">
        <v>569.61</v>
      </c>
      <c r="D101" s="409"/>
      <c r="E101" s="409"/>
      <c r="F101" s="409"/>
    </row>
    <row r="102" spans="2:6" ht="12.75" customHeight="1" x14ac:dyDescent="0.25">
      <c r="B102" s="412">
        <v>42443</v>
      </c>
      <c r="C102" s="413">
        <v>573.37</v>
      </c>
      <c r="D102" s="409"/>
      <c r="E102" s="409"/>
      <c r="F102" s="409"/>
    </row>
    <row r="103" spans="2:6" ht="12.75" customHeight="1" x14ac:dyDescent="0.25">
      <c r="B103" s="412">
        <v>42444</v>
      </c>
      <c r="C103" s="413">
        <v>577.02</v>
      </c>
      <c r="D103" s="409"/>
      <c r="E103" s="409"/>
      <c r="F103" s="409"/>
    </row>
    <row r="104" spans="2:6" ht="12.75" customHeight="1" x14ac:dyDescent="0.25">
      <c r="B104" s="412">
        <v>42445</v>
      </c>
      <c r="C104" s="413">
        <v>574.27</v>
      </c>
      <c r="D104" s="409"/>
      <c r="E104" s="409"/>
      <c r="F104" s="409"/>
    </row>
    <row r="105" spans="2:6" ht="12.75" customHeight="1" x14ac:dyDescent="0.25">
      <c r="B105" s="412">
        <v>42446</v>
      </c>
      <c r="C105" s="413">
        <v>559.44000000000005</v>
      </c>
      <c r="D105" s="409"/>
      <c r="E105" s="409"/>
      <c r="F105" s="409"/>
    </row>
    <row r="106" spans="2:6" ht="12.75" customHeight="1" x14ac:dyDescent="0.25">
      <c r="B106" s="412">
        <v>42447</v>
      </c>
      <c r="C106" s="413">
        <v>552.08000000000004</v>
      </c>
      <c r="D106" s="409"/>
      <c r="E106" s="409"/>
      <c r="F106" s="409"/>
    </row>
    <row r="107" spans="2:6" ht="12.75" customHeight="1" x14ac:dyDescent="0.25">
      <c r="B107" s="412">
        <v>42450</v>
      </c>
      <c r="C107" s="413">
        <v>553.98</v>
      </c>
      <c r="D107" s="409"/>
      <c r="E107" s="409"/>
      <c r="F107" s="409"/>
    </row>
    <row r="108" spans="2:6" ht="12.75" customHeight="1" x14ac:dyDescent="0.25">
      <c r="B108" s="412">
        <v>42451</v>
      </c>
      <c r="C108" s="413">
        <v>560.48</v>
      </c>
      <c r="D108" s="409"/>
      <c r="E108" s="409"/>
      <c r="F108" s="409"/>
    </row>
    <row r="109" spans="2:6" ht="12.75" customHeight="1" x14ac:dyDescent="0.25">
      <c r="B109" s="412">
        <v>42452</v>
      </c>
      <c r="C109" s="413">
        <v>569.63</v>
      </c>
      <c r="D109" s="409"/>
      <c r="E109" s="409"/>
      <c r="F109" s="409"/>
    </row>
    <row r="110" spans="2:6" ht="12.75" customHeight="1" x14ac:dyDescent="0.25">
      <c r="B110" s="412">
        <v>42453</v>
      </c>
      <c r="C110" s="413">
        <v>582.95000000000005</v>
      </c>
      <c r="D110" s="409"/>
      <c r="E110" s="409"/>
      <c r="F110" s="409"/>
    </row>
    <row r="111" spans="2:6" ht="12.75" customHeight="1" x14ac:dyDescent="0.25">
      <c r="B111" s="412">
        <v>42457</v>
      </c>
      <c r="C111" s="413">
        <v>579.87</v>
      </c>
      <c r="D111" s="409"/>
      <c r="E111" s="409"/>
      <c r="F111" s="409"/>
    </row>
    <row r="112" spans="2:6" ht="12.75" customHeight="1" x14ac:dyDescent="0.25">
      <c r="B112" s="412">
        <v>42458</v>
      </c>
      <c r="C112" s="413">
        <v>593.86</v>
      </c>
      <c r="D112" s="409"/>
      <c r="E112" s="409"/>
      <c r="F112" s="409"/>
    </row>
    <row r="113" spans="2:6" ht="12.75" customHeight="1" x14ac:dyDescent="0.25">
      <c r="B113" s="412">
        <v>42459</v>
      </c>
      <c r="C113" s="413">
        <v>598.69000000000005</v>
      </c>
      <c r="D113" s="409"/>
      <c r="E113" s="409"/>
      <c r="F113" s="409"/>
    </row>
    <row r="114" spans="2:6" ht="12.75" customHeight="1" x14ac:dyDescent="0.25">
      <c r="B114" s="412">
        <v>42460</v>
      </c>
      <c r="C114" s="413">
        <v>593.64</v>
      </c>
      <c r="D114" s="409"/>
      <c r="E114" s="409"/>
      <c r="F114" s="409"/>
    </row>
    <row r="115" spans="2:6" ht="12.75" customHeight="1" x14ac:dyDescent="0.25">
      <c r="B115" s="412">
        <v>42461</v>
      </c>
      <c r="C115" s="413">
        <v>598.5</v>
      </c>
      <c r="D115" s="409"/>
      <c r="E115" s="409"/>
      <c r="F115" s="409"/>
    </row>
    <row r="116" spans="2:6" ht="12.75" customHeight="1" x14ac:dyDescent="0.25">
      <c r="B116" s="412">
        <v>42464</v>
      </c>
      <c r="C116" s="413">
        <v>593.19000000000005</v>
      </c>
      <c r="D116" s="409"/>
      <c r="E116" s="409"/>
      <c r="F116" s="409"/>
    </row>
    <row r="117" spans="2:6" ht="12.75" customHeight="1" x14ac:dyDescent="0.25">
      <c r="B117" s="412">
        <v>42465</v>
      </c>
      <c r="C117" s="413">
        <v>586.14</v>
      </c>
      <c r="D117" s="409"/>
      <c r="E117" s="409"/>
      <c r="F117" s="409"/>
    </row>
    <row r="118" spans="2:6" ht="12.75" customHeight="1" x14ac:dyDescent="0.25">
      <c r="B118" s="412">
        <v>42466</v>
      </c>
      <c r="C118" s="413">
        <v>602.08000000000004</v>
      </c>
      <c r="D118" s="409"/>
      <c r="E118" s="409"/>
      <c r="F118" s="409"/>
    </row>
    <row r="119" spans="2:6" ht="12.75" customHeight="1" x14ac:dyDescent="0.25">
      <c r="B119" s="412">
        <v>42467</v>
      </c>
      <c r="C119" s="413">
        <v>591.42999999999995</v>
      </c>
      <c r="D119" s="409"/>
      <c r="E119" s="409"/>
      <c r="F119" s="409"/>
    </row>
    <row r="120" spans="2:6" ht="12.75" customHeight="1" x14ac:dyDescent="0.25">
      <c r="B120" s="412">
        <v>42468</v>
      </c>
      <c r="C120" s="413">
        <v>594.6</v>
      </c>
      <c r="D120" s="409"/>
      <c r="E120" s="409"/>
      <c r="F120" s="409"/>
    </row>
    <row r="121" spans="2:6" ht="12.75" customHeight="1" x14ac:dyDescent="0.25">
      <c r="B121" s="412">
        <v>42471</v>
      </c>
      <c r="C121" s="413">
        <v>595.92999999999995</v>
      </c>
      <c r="D121" s="409"/>
      <c r="E121" s="409"/>
      <c r="F121" s="409"/>
    </row>
    <row r="122" spans="2:6" ht="12.75" customHeight="1" x14ac:dyDescent="0.25">
      <c r="B122" s="412">
        <v>42472</v>
      </c>
      <c r="C122" s="413">
        <v>603.16999999999996</v>
      </c>
      <c r="D122" s="409"/>
      <c r="E122" s="409"/>
      <c r="F122" s="409"/>
    </row>
    <row r="123" spans="2:6" ht="12.75" customHeight="1" x14ac:dyDescent="0.25">
      <c r="B123" s="412">
        <v>42473</v>
      </c>
      <c r="C123" s="413">
        <v>614.82000000000005</v>
      </c>
      <c r="D123" s="409"/>
      <c r="E123" s="409"/>
      <c r="F123" s="409"/>
    </row>
    <row r="124" spans="2:6" ht="12.75" customHeight="1" x14ac:dyDescent="0.25">
      <c r="B124" s="412">
        <v>42474</v>
      </c>
      <c r="C124" s="413">
        <v>620.75</v>
      </c>
      <c r="D124" s="409"/>
      <c r="E124" s="409"/>
      <c r="F124" s="409"/>
    </row>
    <row r="125" spans="2:6" ht="12.75" customHeight="1" x14ac:dyDescent="0.25">
      <c r="B125" s="412">
        <v>42475</v>
      </c>
      <c r="C125" s="413">
        <v>625.89</v>
      </c>
      <c r="D125" s="409"/>
      <c r="E125" s="409"/>
      <c r="F125" s="409"/>
    </row>
    <row r="126" spans="2:6" ht="12.75" customHeight="1" x14ac:dyDescent="0.25">
      <c r="B126" s="412">
        <v>42478</v>
      </c>
      <c r="C126" s="413">
        <v>635.35</v>
      </c>
      <c r="D126" s="409"/>
      <c r="E126" s="409"/>
      <c r="F126" s="409"/>
    </row>
    <row r="127" spans="2:6" ht="12.75" customHeight="1" x14ac:dyDescent="0.25">
      <c r="B127" s="412">
        <v>42479</v>
      </c>
      <c r="C127" s="413">
        <v>627.9</v>
      </c>
      <c r="D127" s="409"/>
      <c r="E127" s="409"/>
      <c r="F127" s="409"/>
    </row>
    <row r="128" spans="2:6" ht="12.75" customHeight="1" x14ac:dyDescent="0.25">
      <c r="B128" s="412">
        <v>42480</v>
      </c>
      <c r="C128" s="413">
        <v>632.99</v>
      </c>
      <c r="D128" s="409"/>
      <c r="E128" s="409"/>
      <c r="F128" s="409"/>
    </row>
    <row r="129" spans="2:6" ht="12.75" customHeight="1" x14ac:dyDescent="0.25">
      <c r="B129" s="412">
        <v>42481</v>
      </c>
      <c r="C129" s="413">
        <v>631</v>
      </c>
      <c r="D129" s="409"/>
      <c r="E129" s="409"/>
      <c r="F129" s="409"/>
    </row>
    <row r="130" spans="2:6" ht="12.75" customHeight="1" x14ac:dyDescent="0.25">
      <c r="B130" s="412">
        <v>42482</v>
      </c>
      <c r="C130" s="413">
        <v>620.5</v>
      </c>
      <c r="D130" s="409"/>
      <c r="E130" s="409"/>
      <c r="F130" s="409"/>
    </row>
    <row r="131" spans="2:6" ht="12.75" customHeight="1" x14ac:dyDescent="0.25">
      <c r="B131" s="412">
        <v>42485</v>
      </c>
      <c r="C131" s="413">
        <v>626.20000000000005</v>
      </c>
      <c r="D131" s="409"/>
      <c r="E131" s="409"/>
      <c r="F131" s="409"/>
    </row>
    <row r="132" spans="2:6" ht="12.75" customHeight="1" x14ac:dyDescent="0.25">
      <c r="B132" s="412">
        <v>42486</v>
      </c>
      <c r="C132" s="413">
        <v>616.88</v>
      </c>
      <c r="D132" s="409"/>
      <c r="E132" s="409"/>
      <c r="F132" s="409"/>
    </row>
    <row r="133" spans="2:6" ht="12.75" customHeight="1" x14ac:dyDescent="0.25">
      <c r="B133" s="412">
        <v>42487</v>
      </c>
      <c r="C133" s="413">
        <v>606.57000000000005</v>
      </c>
      <c r="D133" s="409"/>
      <c r="E133" s="409"/>
      <c r="F133" s="409"/>
    </row>
    <row r="134" spans="2:6" ht="12.75" customHeight="1" x14ac:dyDescent="0.25">
      <c r="B134" s="412">
        <v>42488</v>
      </c>
      <c r="C134" s="413">
        <v>602</v>
      </c>
      <c r="D134" s="409"/>
      <c r="E134" s="409"/>
      <c r="F134" s="409"/>
    </row>
    <row r="135" spans="2:6" ht="12.75" customHeight="1" x14ac:dyDescent="0.25">
      <c r="B135" s="412">
        <v>42489</v>
      </c>
      <c r="C135" s="413">
        <v>659.59</v>
      </c>
      <c r="D135" s="409"/>
      <c r="E135" s="409"/>
      <c r="F135" s="409"/>
    </row>
    <row r="136" spans="2:6" ht="12.75" customHeight="1" x14ac:dyDescent="0.25">
      <c r="B136" s="412">
        <v>42492</v>
      </c>
      <c r="C136" s="413">
        <v>683.85</v>
      </c>
      <c r="D136" s="409"/>
      <c r="E136" s="409"/>
      <c r="F136" s="409"/>
    </row>
    <row r="137" spans="2:6" ht="12.75" customHeight="1" x14ac:dyDescent="0.25">
      <c r="B137" s="412">
        <v>42493</v>
      </c>
      <c r="C137" s="413">
        <v>671.32</v>
      </c>
      <c r="D137" s="409"/>
      <c r="E137" s="409"/>
      <c r="F137" s="409"/>
    </row>
    <row r="138" spans="2:6" ht="12.75" customHeight="1" x14ac:dyDescent="0.25">
      <c r="B138" s="412">
        <v>42494</v>
      </c>
      <c r="C138" s="413">
        <v>670.9</v>
      </c>
      <c r="D138" s="409"/>
      <c r="E138" s="409"/>
      <c r="F138" s="409"/>
    </row>
    <row r="139" spans="2:6" ht="12.75" customHeight="1" x14ac:dyDescent="0.25">
      <c r="B139" s="412">
        <v>42495</v>
      </c>
      <c r="C139" s="413">
        <v>659.09</v>
      </c>
      <c r="D139" s="409"/>
      <c r="E139" s="409"/>
      <c r="F139" s="409"/>
    </row>
    <row r="140" spans="2:6" ht="12.75" customHeight="1" x14ac:dyDescent="0.25">
      <c r="B140" s="412">
        <v>42496</v>
      </c>
      <c r="C140" s="413">
        <v>673.95</v>
      </c>
      <c r="D140" s="409"/>
      <c r="E140" s="409"/>
      <c r="F140" s="409"/>
    </row>
    <row r="141" spans="2:6" ht="12.75" customHeight="1" x14ac:dyDescent="0.25">
      <c r="B141" s="412">
        <v>42499</v>
      </c>
      <c r="C141" s="413">
        <v>679.75</v>
      </c>
      <c r="D141" s="409"/>
      <c r="E141" s="409"/>
      <c r="F141" s="409"/>
    </row>
    <row r="142" spans="2:6" ht="12.75" customHeight="1" x14ac:dyDescent="0.25">
      <c r="B142" s="412">
        <v>42500</v>
      </c>
      <c r="C142" s="413">
        <v>703.07</v>
      </c>
      <c r="D142" s="409"/>
      <c r="E142" s="409"/>
      <c r="F142" s="409"/>
    </row>
    <row r="143" spans="2:6" ht="12.75" customHeight="1" x14ac:dyDescent="0.25">
      <c r="B143" s="412">
        <v>42501</v>
      </c>
      <c r="C143" s="413">
        <v>713.23</v>
      </c>
      <c r="D143" s="409"/>
      <c r="E143" s="409"/>
      <c r="F143" s="409"/>
    </row>
    <row r="144" spans="2:6" ht="12.75" customHeight="1" x14ac:dyDescent="0.25">
      <c r="B144" s="412">
        <v>42502</v>
      </c>
      <c r="C144" s="413">
        <v>717.93</v>
      </c>
      <c r="D144" s="409"/>
      <c r="E144" s="409"/>
      <c r="F144" s="409"/>
    </row>
    <row r="145" spans="2:6" ht="12.75" customHeight="1" x14ac:dyDescent="0.25">
      <c r="B145" s="412">
        <v>42503</v>
      </c>
      <c r="C145" s="413">
        <v>709.92</v>
      </c>
      <c r="D145" s="409"/>
      <c r="E145" s="409"/>
      <c r="F145" s="409"/>
    </row>
    <row r="146" spans="2:6" ht="12.75" customHeight="1" x14ac:dyDescent="0.25">
      <c r="B146" s="412">
        <v>42506</v>
      </c>
      <c r="C146" s="413">
        <v>710.66</v>
      </c>
      <c r="D146" s="409"/>
      <c r="E146" s="409"/>
      <c r="F146" s="409"/>
    </row>
    <row r="147" spans="2:6" ht="12.75" customHeight="1" x14ac:dyDescent="0.25">
      <c r="B147" s="412">
        <v>42507</v>
      </c>
      <c r="C147" s="413">
        <v>695.27</v>
      </c>
      <c r="D147" s="409"/>
      <c r="E147" s="409"/>
      <c r="F147" s="409"/>
    </row>
    <row r="148" spans="2:6" ht="12.75" customHeight="1" x14ac:dyDescent="0.25">
      <c r="B148" s="412">
        <v>42508</v>
      </c>
      <c r="C148" s="413">
        <v>697.45</v>
      </c>
      <c r="D148" s="409"/>
      <c r="E148" s="409"/>
      <c r="F148" s="409"/>
    </row>
    <row r="149" spans="2:6" ht="12.75" customHeight="1" x14ac:dyDescent="0.25">
      <c r="B149" s="412">
        <v>42509</v>
      </c>
      <c r="C149" s="413">
        <v>698.52</v>
      </c>
      <c r="D149" s="409"/>
      <c r="E149" s="409"/>
      <c r="F149" s="409"/>
    </row>
    <row r="150" spans="2:6" ht="12.75" customHeight="1" x14ac:dyDescent="0.25">
      <c r="B150" s="412">
        <v>42510</v>
      </c>
      <c r="C150" s="413">
        <v>702.8</v>
      </c>
      <c r="D150" s="409"/>
      <c r="E150" s="409"/>
      <c r="F150" s="409"/>
    </row>
    <row r="151" spans="2:6" ht="12.75" customHeight="1" x14ac:dyDescent="0.25">
      <c r="B151" s="412">
        <v>42513</v>
      </c>
      <c r="C151" s="413">
        <v>696.75</v>
      </c>
      <c r="D151" s="409"/>
      <c r="E151" s="409"/>
      <c r="F151" s="409"/>
    </row>
    <row r="152" spans="2:6" ht="12.75" customHeight="1" x14ac:dyDescent="0.25">
      <c r="B152" s="412">
        <v>42514</v>
      </c>
      <c r="C152" s="413">
        <v>704.2</v>
      </c>
      <c r="D152" s="409"/>
      <c r="E152" s="409"/>
      <c r="F152" s="409"/>
    </row>
    <row r="153" spans="2:6" ht="12.75" customHeight="1" x14ac:dyDescent="0.25">
      <c r="B153" s="412">
        <v>42515</v>
      </c>
      <c r="C153" s="413">
        <v>708.35</v>
      </c>
      <c r="D153" s="409"/>
      <c r="E153" s="409"/>
      <c r="F153" s="409"/>
    </row>
    <row r="154" spans="2:6" ht="12.75" customHeight="1" x14ac:dyDescent="0.25">
      <c r="B154" s="412">
        <v>42516</v>
      </c>
      <c r="C154" s="413">
        <v>714.91</v>
      </c>
      <c r="D154" s="409"/>
      <c r="E154" s="409"/>
      <c r="F154" s="409"/>
    </row>
    <row r="155" spans="2:6" ht="12.75" customHeight="1" x14ac:dyDescent="0.25">
      <c r="B155" s="412">
        <v>42517</v>
      </c>
      <c r="C155" s="413">
        <v>712.24</v>
      </c>
      <c r="D155" s="409"/>
      <c r="E155" s="409"/>
      <c r="F155" s="409"/>
    </row>
    <row r="156" spans="2:6" ht="12.75" customHeight="1" x14ac:dyDescent="0.25">
      <c r="B156" s="412">
        <v>42521</v>
      </c>
      <c r="C156" s="413">
        <v>722.79</v>
      </c>
      <c r="D156" s="409"/>
      <c r="E156" s="409"/>
      <c r="F156" s="409"/>
    </row>
    <row r="157" spans="2:6" ht="12.75" customHeight="1" x14ac:dyDescent="0.25">
      <c r="B157" s="412">
        <v>42522</v>
      </c>
      <c r="C157" s="413">
        <v>719.44</v>
      </c>
      <c r="D157" s="409"/>
      <c r="E157" s="409"/>
      <c r="F157" s="409"/>
    </row>
    <row r="158" spans="2:6" ht="12.75" customHeight="1" x14ac:dyDescent="0.25">
      <c r="B158" s="412">
        <v>42523</v>
      </c>
      <c r="C158" s="413">
        <v>728.24</v>
      </c>
      <c r="D158" s="409"/>
      <c r="E158" s="409"/>
      <c r="F158" s="409"/>
    </row>
    <row r="159" spans="2:6" ht="12.75" customHeight="1" x14ac:dyDescent="0.25">
      <c r="B159" s="412">
        <v>42524</v>
      </c>
      <c r="C159" s="413">
        <v>725.54</v>
      </c>
      <c r="D159" s="409"/>
      <c r="E159" s="409"/>
      <c r="F159" s="409"/>
    </row>
    <row r="160" spans="2:6" ht="12.75" customHeight="1" x14ac:dyDescent="0.25">
      <c r="B160" s="412">
        <v>42527</v>
      </c>
      <c r="C160" s="413">
        <v>726.73</v>
      </c>
      <c r="D160" s="409"/>
      <c r="E160" s="409"/>
      <c r="F160" s="409"/>
    </row>
    <row r="161" spans="2:6" ht="12.75" customHeight="1" x14ac:dyDescent="0.25">
      <c r="B161" s="412">
        <v>42528</v>
      </c>
      <c r="C161" s="413">
        <v>723.74</v>
      </c>
      <c r="D161" s="409"/>
      <c r="E161" s="409"/>
      <c r="F161" s="409"/>
    </row>
    <row r="162" spans="2:6" ht="12.75" customHeight="1" x14ac:dyDescent="0.25">
      <c r="B162" s="412">
        <v>42529</v>
      </c>
      <c r="C162" s="413">
        <v>726.64</v>
      </c>
      <c r="D162" s="409"/>
      <c r="E162" s="409"/>
      <c r="F162" s="409"/>
    </row>
    <row r="163" spans="2:6" ht="12.75" customHeight="1" x14ac:dyDescent="0.25">
      <c r="B163" s="412">
        <v>42530</v>
      </c>
      <c r="C163" s="413">
        <v>727.65</v>
      </c>
      <c r="D163" s="409"/>
      <c r="E163" s="409"/>
      <c r="F163" s="409"/>
    </row>
    <row r="164" spans="2:6" ht="12.75" customHeight="1" x14ac:dyDescent="0.25">
      <c r="B164" s="412">
        <v>42531</v>
      </c>
      <c r="C164" s="413">
        <v>717.91</v>
      </c>
      <c r="D164" s="409"/>
      <c r="E164" s="409"/>
      <c r="F164" s="409"/>
    </row>
    <row r="165" spans="2:6" ht="12.75" customHeight="1" x14ac:dyDescent="0.25">
      <c r="B165" s="412">
        <v>42534</v>
      </c>
      <c r="C165" s="413">
        <v>715.24</v>
      </c>
      <c r="D165" s="409"/>
      <c r="E165" s="409"/>
      <c r="F165" s="409"/>
    </row>
    <row r="166" spans="2:6" ht="12.75" customHeight="1" x14ac:dyDescent="0.25">
      <c r="B166" s="412">
        <v>42535</v>
      </c>
      <c r="C166" s="413">
        <v>719.3</v>
      </c>
      <c r="D166" s="409"/>
      <c r="E166" s="409"/>
      <c r="F166" s="409"/>
    </row>
    <row r="167" spans="2:6" ht="12.75" customHeight="1" x14ac:dyDescent="0.25">
      <c r="B167" s="412">
        <v>42536</v>
      </c>
      <c r="C167" s="413">
        <v>714.26</v>
      </c>
      <c r="D167" s="409"/>
      <c r="E167" s="409"/>
      <c r="F167" s="409"/>
    </row>
    <row r="168" spans="2:6" ht="12.75" customHeight="1" x14ac:dyDescent="0.25">
      <c r="B168" s="412">
        <v>42537</v>
      </c>
      <c r="C168" s="413">
        <v>717.51</v>
      </c>
      <c r="D168" s="409"/>
      <c r="E168" s="409"/>
      <c r="F168" s="409"/>
    </row>
    <row r="169" spans="2:6" ht="12.75" customHeight="1" x14ac:dyDescent="0.25">
      <c r="B169" s="412">
        <v>42538</v>
      </c>
      <c r="C169" s="413">
        <v>706.39</v>
      </c>
      <c r="D169" s="409"/>
      <c r="E169" s="409"/>
      <c r="F169" s="409"/>
    </row>
    <row r="170" spans="2:6" ht="12.75" customHeight="1" x14ac:dyDescent="0.25">
      <c r="B170" s="412">
        <v>42541</v>
      </c>
      <c r="C170" s="413">
        <v>714.01</v>
      </c>
      <c r="D170" s="409"/>
      <c r="E170" s="409"/>
      <c r="F170" s="409"/>
    </row>
    <row r="171" spans="2:6" ht="12.75" customHeight="1" x14ac:dyDescent="0.25">
      <c r="B171" s="412">
        <v>42542</v>
      </c>
      <c r="C171" s="413">
        <v>715.82</v>
      </c>
      <c r="D171" s="409"/>
      <c r="E171" s="409"/>
      <c r="F171" s="409"/>
    </row>
    <row r="172" spans="2:6" ht="12.75" customHeight="1" x14ac:dyDescent="0.25">
      <c r="B172" s="412">
        <v>42543</v>
      </c>
      <c r="C172" s="413">
        <v>710.6</v>
      </c>
      <c r="D172" s="409"/>
      <c r="E172" s="409"/>
      <c r="F172" s="409"/>
    </row>
    <row r="173" spans="2:6" ht="12.75" customHeight="1" x14ac:dyDescent="0.25">
      <c r="B173" s="412">
        <v>42544</v>
      </c>
      <c r="C173" s="413">
        <v>722.08</v>
      </c>
      <c r="D173" s="409"/>
      <c r="E173" s="409"/>
      <c r="F173" s="409"/>
    </row>
    <row r="174" spans="2:6" ht="12.75" customHeight="1" x14ac:dyDescent="0.25">
      <c r="B174" s="412">
        <v>42545</v>
      </c>
      <c r="C174" s="413">
        <v>698.96</v>
      </c>
      <c r="D174" s="409"/>
      <c r="E174" s="409"/>
      <c r="F174" s="409"/>
    </row>
    <row r="175" spans="2:6" ht="12.75" customHeight="1" x14ac:dyDescent="0.25">
      <c r="B175" s="412">
        <v>42548</v>
      </c>
      <c r="C175" s="413">
        <v>691.36</v>
      </c>
      <c r="D175" s="409"/>
      <c r="E175" s="409"/>
      <c r="F175" s="409"/>
    </row>
    <row r="176" spans="2:6" ht="12.75" customHeight="1" x14ac:dyDescent="0.25">
      <c r="B176" s="412">
        <v>42549</v>
      </c>
      <c r="C176" s="413">
        <v>707.95</v>
      </c>
      <c r="D176" s="409"/>
      <c r="E176" s="409"/>
      <c r="F176" s="409"/>
    </row>
    <row r="177" spans="2:6" ht="12.75" customHeight="1" x14ac:dyDescent="0.25">
      <c r="B177" s="412">
        <v>42550</v>
      </c>
      <c r="C177" s="413">
        <v>715.6</v>
      </c>
      <c r="D177" s="409"/>
      <c r="E177" s="409"/>
      <c r="F177" s="409"/>
    </row>
    <row r="178" spans="2:6" ht="12.75" customHeight="1" x14ac:dyDescent="0.25">
      <c r="B178" s="412">
        <v>42551</v>
      </c>
      <c r="C178" s="413">
        <v>715.62</v>
      </c>
      <c r="D178" s="409"/>
      <c r="E178" s="409"/>
      <c r="F178" s="409"/>
    </row>
    <row r="179" spans="2:6" ht="12.75" customHeight="1" x14ac:dyDescent="0.25">
      <c r="B179" s="412">
        <v>42552</v>
      </c>
      <c r="C179" s="413">
        <v>725.68</v>
      </c>
      <c r="D179" s="409"/>
      <c r="E179" s="409"/>
      <c r="F179" s="409"/>
    </row>
    <row r="180" spans="2:6" ht="12.75" customHeight="1" x14ac:dyDescent="0.25">
      <c r="B180" s="412">
        <v>42556</v>
      </c>
      <c r="C180" s="413">
        <v>728.1</v>
      </c>
      <c r="D180" s="409"/>
      <c r="E180" s="409"/>
      <c r="F180" s="409"/>
    </row>
    <row r="181" spans="2:6" ht="12.75" customHeight="1" x14ac:dyDescent="0.25">
      <c r="B181" s="412">
        <v>42557</v>
      </c>
      <c r="C181" s="413">
        <v>737.61</v>
      </c>
      <c r="D181" s="409"/>
      <c r="E181" s="409"/>
      <c r="F181" s="409"/>
    </row>
    <row r="182" spans="2:6" ht="12.75" customHeight="1" x14ac:dyDescent="0.25">
      <c r="B182" s="412">
        <v>42558</v>
      </c>
      <c r="C182" s="413">
        <v>736.57</v>
      </c>
      <c r="D182" s="409"/>
      <c r="E182" s="409"/>
      <c r="F182" s="409"/>
    </row>
    <row r="183" spans="2:6" ht="12.75" customHeight="1" x14ac:dyDescent="0.25">
      <c r="B183" s="412">
        <v>42559</v>
      </c>
      <c r="C183" s="413">
        <v>745.81</v>
      </c>
      <c r="D183" s="409"/>
      <c r="E183" s="409"/>
      <c r="F183" s="409"/>
    </row>
    <row r="184" spans="2:6" ht="12.75" customHeight="1" x14ac:dyDescent="0.25">
      <c r="B184" s="412">
        <v>42562</v>
      </c>
      <c r="C184" s="413">
        <v>753.78</v>
      </c>
      <c r="D184" s="409"/>
      <c r="E184" s="409"/>
      <c r="F184" s="409"/>
    </row>
    <row r="185" spans="2:6" ht="12.75" customHeight="1" x14ac:dyDescent="0.25">
      <c r="B185" s="412">
        <v>42563</v>
      </c>
      <c r="C185" s="413">
        <v>748.21</v>
      </c>
      <c r="D185" s="409"/>
      <c r="E185" s="409"/>
      <c r="F185" s="409"/>
    </row>
    <row r="186" spans="2:6" ht="12.75" customHeight="1" x14ac:dyDescent="0.25">
      <c r="B186" s="412">
        <v>42564</v>
      </c>
      <c r="C186" s="413">
        <v>742.63</v>
      </c>
      <c r="D186" s="409"/>
      <c r="E186" s="409"/>
      <c r="F186" s="409"/>
    </row>
    <row r="187" spans="2:6" ht="12.75" customHeight="1" x14ac:dyDescent="0.25">
      <c r="B187" s="412">
        <v>42565</v>
      </c>
      <c r="C187" s="413">
        <v>741.2</v>
      </c>
      <c r="D187" s="409"/>
      <c r="E187" s="409"/>
      <c r="F187" s="409"/>
    </row>
    <row r="188" spans="2:6" ht="12.75" customHeight="1" x14ac:dyDescent="0.25">
      <c r="B188" s="412">
        <v>42566</v>
      </c>
      <c r="C188" s="413">
        <v>735.44</v>
      </c>
      <c r="D188" s="409"/>
      <c r="E188" s="409"/>
      <c r="F188" s="409"/>
    </row>
    <row r="189" spans="2:6" ht="12.75" customHeight="1" x14ac:dyDescent="0.25">
      <c r="B189" s="412">
        <v>42569</v>
      </c>
      <c r="C189" s="413">
        <v>736.07</v>
      </c>
      <c r="D189" s="409"/>
      <c r="E189" s="409"/>
      <c r="F189" s="409"/>
    </row>
    <row r="190" spans="2:6" ht="12.75" customHeight="1" x14ac:dyDescent="0.25">
      <c r="B190" s="412">
        <v>42570</v>
      </c>
      <c r="C190" s="413">
        <v>739.95</v>
      </c>
      <c r="D190" s="409"/>
      <c r="E190" s="409"/>
      <c r="F190" s="409"/>
    </row>
    <row r="191" spans="2:6" ht="12.75" customHeight="1" x14ac:dyDescent="0.25">
      <c r="B191" s="412">
        <v>42571</v>
      </c>
      <c r="C191" s="413">
        <v>745.72</v>
      </c>
      <c r="D191" s="409"/>
      <c r="E191" s="409"/>
      <c r="F191" s="409"/>
    </row>
    <row r="192" spans="2:6" ht="12.75" customHeight="1" x14ac:dyDescent="0.25">
      <c r="B192" s="412">
        <v>42572</v>
      </c>
      <c r="C192" s="413">
        <v>744.43</v>
      </c>
      <c r="D192" s="409"/>
      <c r="E192" s="409"/>
      <c r="F192" s="409"/>
    </row>
    <row r="193" spans="2:6" ht="12.75" customHeight="1" x14ac:dyDescent="0.25">
      <c r="B193" s="412">
        <v>42573</v>
      </c>
      <c r="C193" s="413">
        <v>744.86</v>
      </c>
      <c r="D193" s="409"/>
      <c r="E193" s="409"/>
      <c r="F193" s="409"/>
    </row>
    <row r="194" spans="2:6" ht="12.75" customHeight="1" x14ac:dyDescent="0.25">
      <c r="B194" s="412">
        <v>42576</v>
      </c>
      <c r="C194" s="413">
        <v>739.61</v>
      </c>
      <c r="D194" s="409"/>
      <c r="E194" s="409"/>
      <c r="F194" s="409"/>
    </row>
    <row r="195" spans="2:6" ht="12.75" customHeight="1" x14ac:dyDescent="0.25">
      <c r="B195" s="412">
        <v>42577</v>
      </c>
      <c r="C195" s="413">
        <v>735.59</v>
      </c>
      <c r="D195" s="409"/>
      <c r="E195" s="409"/>
      <c r="F195" s="409"/>
    </row>
    <row r="196" spans="2:6" ht="12.75" customHeight="1" x14ac:dyDescent="0.25">
      <c r="B196" s="412">
        <v>42578</v>
      </c>
      <c r="C196" s="413">
        <v>736.67</v>
      </c>
      <c r="D196" s="409"/>
      <c r="E196" s="409"/>
      <c r="F196" s="409"/>
    </row>
    <row r="197" spans="2:6" ht="12.75" customHeight="1" x14ac:dyDescent="0.25">
      <c r="B197" s="412">
        <v>42579</v>
      </c>
      <c r="C197" s="413">
        <v>752.61</v>
      </c>
      <c r="D197" s="409"/>
      <c r="E197" s="409"/>
      <c r="F197" s="409"/>
    </row>
    <row r="198" spans="2:6" ht="12.75" customHeight="1" x14ac:dyDescent="0.25">
      <c r="B198" s="412">
        <v>42580</v>
      </c>
      <c r="C198" s="413">
        <v>758.81</v>
      </c>
      <c r="D198" s="409"/>
      <c r="E198" s="409"/>
      <c r="F198" s="409"/>
    </row>
    <row r="199" spans="2:6" ht="12.75" customHeight="1" x14ac:dyDescent="0.25">
      <c r="B199" s="412">
        <v>42583</v>
      </c>
      <c r="C199" s="413">
        <v>767.74</v>
      </c>
      <c r="D199" s="409"/>
      <c r="E199" s="409"/>
      <c r="F199" s="409"/>
    </row>
    <row r="200" spans="2:6" ht="12.75" customHeight="1" x14ac:dyDescent="0.25">
      <c r="B200" s="412">
        <v>42584</v>
      </c>
      <c r="C200" s="413">
        <v>760.58</v>
      </c>
      <c r="D200" s="409"/>
      <c r="E200" s="409"/>
      <c r="F200" s="409"/>
    </row>
    <row r="201" spans="2:6" ht="12.75" customHeight="1" x14ac:dyDescent="0.25">
      <c r="B201" s="412">
        <v>42585</v>
      </c>
      <c r="C201" s="413">
        <v>754.64</v>
      </c>
      <c r="D201" s="409"/>
      <c r="E201" s="409"/>
      <c r="F201" s="409"/>
    </row>
    <row r="202" spans="2:6" ht="12.75" customHeight="1" x14ac:dyDescent="0.25">
      <c r="B202" s="412">
        <v>42586</v>
      </c>
      <c r="C202" s="413">
        <v>760.77</v>
      </c>
      <c r="D202" s="409"/>
      <c r="E202" s="409"/>
      <c r="F202" s="409"/>
    </row>
    <row r="203" spans="2:6" ht="12.75" customHeight="1" x14ac:dyDescent="0.25">
      <c r="B203" s="412">
        <v>42587</v>
      </c>
      <c r="C203" s="413">
        <v>765.98</v>
      </c>
      <c r="D203" s="409"/>
      <c r="E203" s="409"/>
      <c r="F203" s="409"/>
    </row>
    <row r="204" spans="2:6" ht="12.75" customHeight="1" x14ac:dyDescent="0.25">
      <c r="B204" s="412">
        <v>42590</v>
      </c>
      <c r="C204" s="413">
        <v>766.56</v>
      </c>
      <c r="D204" s="409"/>
      <c r="E204" s="409"/>
      <c r="F204" s="409"/>
    </row>
    <row r="205" spans="2:6" ht="12.75" customHeight="1" x14ac:dyDescent="0.25">
      <c r="B205" s="412">
        <v>42591</v>
      </c>
      <c r="C205" s="413">
        <v>768.31</v>
      </c>
      <c r="D205" s="409"/>
      <c r="E205" s="409"/>
      <c r="F205" s="409"/>
    </row>
    <row r="206" spans="2:6" ht="12.75" customHeight="1" x14ac:dyDescent="0.25">
      <c r="B206" s="412">
        <v>42592</v>
      </c>
      <c r="C206" s="413">
        <v>768.56</v>
      </c>
      <c r="D206" s="409"/>
      <c r="E206" s="409"/>
      <c r="F206" s="409"/>
    </row>
    <row r="207" spans="2:6" ht="12.75" customHeight="1" x14ac:dyDescent="0.25">
      <c r="B207" s="412">
        <v>42593</v>
      </c>
      <c r="C207" s="413">
        <v>771.24</v>
      </c>
      <c r="D207" s="409"/>
      <c r="E207" s="409"/>
      <c r="F207" s="409"/>
    </row>
    <row r="208" spans="2:6" ht="12.75" customHeight="1" x14ac:dyDescent="0.25">
      <c r="B208" s="412">
        <v>42594</v>
      </c>
      <c r="C208" s="413">
        <v>772.56</v>
      </c>
      <c r="D208" s="409"/>
      <c r="E208" s="409"/>
      <c r="F208" s="409"/>
    </row>
    <row r="209" spans="2:6" ht="12.75" customHeight="1" x14ac:dyDescent="0.25">
      <c r="B209" s="412">
        <v>42597</v>
      </c>
      <c r="C209" s="413">
        <v>768.49</v>
      </c>
      <c r="D209" s="409"/>
      <c r="E209" s="409"/>
      <c r="F209" s="409"/>
    </row>
    <row r="210" spans="2:6" ht="12.75" customHeight="1" x14ac:dyDescent="0.25">
      <c r="B210" s="412">
        <v>42598</v>
      </c>
      <c r="C210" s="413">
        <v>764.04</v>
      </c>
      <c r="D210" s="409"/>
      <c r="E210" s="409"/>
      <c r="F210" s="409"/>
    </row>
    <row r="211" spans="2:6" ht="12.75" customHeight="1" x14ac:dyDescent="0.25">
      <c r="B211" s="412">
        <v>42599</v>
      </c>
      <c r="C211" s="413">
        <v>764.63</v>
      </c>
      <c r="D211" s="409"/>
      <c r="E211" s="409"/>
      <c r="F211" s="409"/>
    </row>
    <row r="212" spans="2:6" ht="12.75" customHeight="1" x14ac:dyDescent="0.25">
      <c r="B212" s="412">
        <v>42600</v>
      </c>
      <c r="C212" s="413">
        <v>764.46</v>
      </c>
      <c r="D212" s="409"/>
      <c r="E212" s="409"/>
      <c r="F212" s="409"/>
    </row>
    <row r="213" spans="2:6" ht="12.75" customHeight="1" x14ac:dyDescent="0.25">
      <c r="B213" s="412">
        <v>42601</v>
      </c>
      <c r="C213" s="413">
        <v>757.31</v>
      </c>
      <c r="D213" s="409"/>
      <c r="E213" s="409"/>
      <c r="F213" s="409"/>
    </row>
    <row r="214" spans="2:6" ht="12.75" customHeight="1" x14ac:dyDescent="0.25">
      <c r="B214" s="412">
        <v>42604</v>
      </c>
      <c r="C214" s="413">
        <v>759.48</v>
      </c>
      <c r="D214" s="409"/>
      <c r="E214" s="409"/>
      <c r="F214" s="409"/>
    </row>
    <row r="215" spans="2:6" ht="12.75" customHeight="1" x14ac:dyDescent="0.25">
      <c r="B215" s="412">
        <v>42605</v>
      </c>
      <c r="C215" s="413">
        <v>762.45</v>
      </c>
      <c r="D215" s="409"/>
      <c r="E215" s="409"/>
      <c r="F215" s="409"/>
    </row>
    <row r="216" spans="2:6" ht="12.75" customHeight="1" x14ac:dyDescent="0.25">
      <c r="B216" s="412">
        <v>42606</v>
      </c>
      <c r="C216" s="413">
        <v>757.25</v>
      </c>
      <c r="D216" s="409"/>
      <c r="E216" s="409"/>
      <c r="F216" s="409"/>
    </row>
    <row r="217" spans="2:6" ht="12.75" customHeight="1" x14ac:dyDescent="0.25">
      <c r="B217" s="412">
        <v>42607</v>
      </c>
      <c r="C217" s="413">
        <v>759.22</v>
      </c>
      <c r="D217" s="409"/>
      <c r="E217" s="409"/>
      <c r="F217" s="409"/>
    </row>
    <row r="218" spans="2:6" ht="12.75" customHeight="1" x14ac:dyDescent="0.25">
      <c r="B218" s="412">
        <v>42608</v>
      </c>
      <c r="C218" s="413">
        <v>769</v>
      </c>
      <c r="D218" s="409"/>
      <c r="E218" s="409"/>
      <c r="F218" s="409"/>
    </row>
    <row r="219" spans="2:6" ht="12.75" customHeight="1" x14ac:dyDescent="0.25">
      <c r="B219" s="412">
        <v>42611</v>
      </c>
      <c r="C219" s="413">
        <v>771.29</v>
      </c>
      <c r="D219" s="409"/>
      <c r="E219" s="409"/>
      <c r="F219" s="409"/>
    </row>
    <row r="220" spans="2:6" ht="12.75" customHeight="1" x14ac:dyDescent="0.25">
      <c r="B220" s="412">
        <v>42612</v>
      </c>
      <c r="C220" s="413">
        <v>767.58</v>
      </c>
      <c r="D220" s="409"/>
      <c r="E220" s="409"/>
      <c r="F220" s="409"/>
    </row>
    <row r="221" spans="2:6" ht="12.75" customHeight="1" x14ac:dyDescent="0.25">
      <c r="B221" s="412">
        <v>42613</v>
      </c>
      <c r="C221" s="413">
        <v>769.16</v>
      </c>
      <c r="D221" s="409"/>
      <c r="E221" s="409"/>
      <c r="F221" s="409"/>
    </row>
    <row r="222" spans="2:6" ht="12.75" customHeight="1" x14ac:dyDescent="0.25">
      <c r="B222" s="412">
        <v>42614</v>
      </c>
      <c r="C222" s="413">
        <v>770.62</v>
      </c>
      <c r="D222" s="409"/>
      <c r="E222" s="409"/>
      <c r="F222" s="409"/>
    </row>
    <row r="223" spans="2:6" ht="12.75" customHeight="1" x14ac:dyDescent="0.25">
      <c r="B223" s="412">
        <v>42615</v>
      </c>
      <c r="C223" s="413">
        <v>772.44</v>
      </c>
      <c r="D223" s="409"/>
      <c r="E223" s="409"/>
      <c r="F223" s="409"/>
    </row>
    <row r="224" spans="2:6" ht="12.75" customHeight="1" x14ac:dyDescent="0.25">
      <c r="B224" s="412">
        <v>42619</v>
      </c>
      <c r="C224" s="413">
        <v>788.87</v>
      </c>
      <c r="D224" s="409"/>
      <c r="E224" s="409"/>
      <c r="F224" s="409"/>
    </row>
    <row r="225" spans="2:6" ht="12.75" customHeight="1" x14ac:dyDescent="0.25">
      <c r="B225" s="412">
        <v>42620</v>
      </c>
      <c r="C225" s="413">
        <v>784.48</v>
      </c>
      <c r="D225" s="409"/>
      <c r="E225" s="409"/>
      <c r="F225" s="409"/>
    </row>
    <row r="226" spans="2:6" ht="12.75" customHeight="1" x14ac:dyDescent="0.25">
      <c r="B226" s="412">
        <v>42621</v>
      </c>
      <c r="C226" s="413">
        <v>784.06</v>
      </c>
      <c r="D226" s="409"/>
      <c r="E226" s="409"/>
      <c r="F226" s="409"/>
    </row>
    <row r="227" spans="2:6" ht="12.75" customHeight="1" x14ac:dyDescent="0.25">
      <c r="B227" s="412">
        <v>42622</v>
      </c>
      <c r="C227" s="413">
        <v>760.14</v>
      </c>
      <c r="D227" s="409"/>
      <c r="E227" s="409"/>
      <c r="F227" s="409"/>
    </row>
    <row r="228" spans="2:6" ht="12.75" customHeight="1" x14ac:dyDescent="0.25">
      <c r="B228" s="412">
        <v>42625</v>
      </c>
      <c r="C228" s="413">
        <v>771.49</v>
      </c>
      <c r="D228" s="409"/>
      <c r="E228" s="409"/>
      <c r="F228" s="409"/>
    </row>
    <row r="229" spans="2:6" ht="12.75" customHeight="1" x14ac:dyDescent="0.25">
      <c r="B229" s="412">
        <v>42626</v>
      </c>
      <c r="C229" s="413">
        <v>761.01</v>
      </c>
      <c r="D229" s="409"/>
      <c r="E229" s="409"/>
      <c r="F229" s="409"/>
    </row>
    <row r="230" spans="2:6" ht="12.75" customHeight="1" x14ac:dyDescent="0.25">
      <c r="B230" s="412">
        <v>42627</v>
      </c>
      <c r="C230" s="413">
        <v>761.09</v>
      </c>
      <c r="D230" s="409"/>
      <c r="E230" s="409"/>
      <c r="F230" s="409"/>
    </row>
    <row r="231" spans="2:6" ht="12.75" customHeight="1" x14ac:dyDescent="0.25">
      <c r="B231" s="412">
        <v>42628</v>
      </c>
      <c r="C231" s="413">
        <v>769.69</v>
      </c>
      <c r="D231" s="409"/>
      <c r="E231" s="409"/>
      <c r="F231" s="409"/>
    </row>
    <row r="232" spans="2:6" ht="12.75" customHeight="1" x14ac:dyDescent="0.25">
      <c r="B232" s="412">
        <v>42629</v>
      </c>
      <c r="C232" s="413">
        <v>778.52</v>
      </c>
      <c r="D232" s="409"/>
      <c r="E232" s="409"/>
      <c r="F232" s="409"/>
    </row>
    <row r="233" spans="2:6" ht="12.75" customHeight="1" x14ac:dyDescent="0.25">
      <c r="B233" s="412">
        <v>42632</v>
      </c>
      <c r="C233" s="413">
        <v>775.1</v>
      </c>
      <c r="D233" s="409"/>
      <c r="E233" s="409"/>
      <c r="F233" s="409"/>
    </row>
    <row r="234" spans="2:6" ht="12.75" customHeight="1" x14ac:dyDescent="0.25">
      <c r="B234" s="412">
        <v>42633</v>
      </c>
      <c r="C234" s="413">
        <v>780.22</v>
      </c>
      <c r="D234" s="409"/>
      <c r="E234" s="409"/>
      <c r="F234" s="409"/>
    </row>
    <row r="235" spans="2:6" ht="12.75" customHeight="1" x14ac:dyDescent="0.25">
      <c r="B235" s="412">
        <v>42634</v>
      </c>
      <c r="C235" s="413">
        <v>789.74</v>
      </c>
      <c r="D235" s="409"/>
      <c r="E235" s="409"/>
      <c r="F235" s="409"/>
    </row>
    <row r="236" spans="2:6" ht="12.75" customHeight="1" x14ac:dyDescent="0.25">
      <c r="B236" s="412">
        <v>42635</v>
      </c>
      <c r="C236" s="413">
        <v>804.7</v>
      </c>
      <c r="D236" s="409"/>
      <c r="E236" s="409"/>
      <c r="F236" s="409"/>
    </row>
    <row r="237" spans="2:6" ht="12.75" customHeight="1" x14ac:dyDescent="0.25">
      <c r="B237" s="412">
        <v>42636</v>
      </c>
      <c r="C237" s="413">
        <v>805.75</v>
      </c>
      <c r="D237" s="409"/>
      <c r="E237" s="409"/>
      <c r="F237" s="409"/>
    </row>
    <row r="238" spans="2:6" ht="12.75" customHeight="1" x14ac:dyDescent="0.25">
      <c r="B238" s="412">
        <v>42639</v>
      </c>
      <c r="C238" s="413">
        <v>799.16</v>
      </c>
      <c r="D238" s="409"/>
      <c r="E238" s="409"/>
      <c r="F238" s="409"/>
    </row>
    <row r="239" spans="2:6" ht="12.75" customHeight="1" x14ac:dyDescent="0.25">
      <c r="B239" s="412">
        <v>42640</v>
      </c>
      <c r="C239" s="413">
        <v>816.11</v>
      </c>
      <c r="D239" s="409"/>
      <c r="E239" s="409"/>
      <c r="F239" s="409"/>
    </row>
    <row r="240" spans="2:6" ht="12.75" customHeight="1" x14ac:dyDescent="0.25">
      <c r="B240" s="412">
        <v>42641</v>
      </c>
      <c r="C240" s="413">
        <v>828.72</v>
      </c>
      <c r="D240" s="409"/>
      <c r="E240" s="409"/>
      <c r="F240" s="409"/>
    </row>
    <row r="241" spans="2:6" ht="12.75" customHeight="1" x14ac:dyDescent="0.25">
      <c r="B241" s="412">
        <v>42642</v>
      </c>
      <c r="C241" s="413">
        <v>829.05</v>
      </c>
      <c r="D241" s="409"/>
      <c r="E241" s="409"/>
      <c r="F241" s="409"/>
    </row>
    <row r="242" spans="2:6" ht="12.75" customHeight="1" x14ac:dyDescent="0.25">
      <c r="B242" s="412">
        <v>42643</v>
      </c>
      <c r="C242" s="413">
        <v>837.31</v>
      </c>
      <c r="D242" s="409"/>
      <c r="E242" s="409"/>
      <c r="F242" s="409"/>
    </row>
    <row r="243" spans="2:6" ht="12.75" customHeight="1" x14ac:dyDescent="0.25">
      <c r="B243" s="412">
        <v>42646</v>
      </c>
      <c r="C243" s="413">
        <v>836.74</v>
      </c>
      <c r="D243" s="409"/>
      <c r="E243" s="409"/>
      <c r="F243" s="409"/>
    </row>
    <row r="244" spans="2:6" ht="12.75" customHeight="1" x14ac:dyDescent="0.25">
      <c r="B244" s="412">
        <v>42647</v>
      </c>
      <c r="C244" s="413">
        <v>834.03</v>
      </c>
      <c r="D244" s="409"/>
      <c r="E244" s="409"/>
      <c r="F244" s="409"/>
    </row>
    <row r="245" spans="2:6" ht="12.75" customHeight="1" x14ac:dyDescent="0.25">
      <c r="B245" s="412">
        <v>42648</v>
      </c>
      <c r="C245" s="413">
        <v>844.36</v>
      </c>
      <c r="D245" s="409"/>
      <c r="E245" s="409"/>
      <c r="F245" s="409"/>
    </row>
    <row r="246" spans="2:6" ht="12.75" customHeight="1" x14ac:dyDescent="0.25">
      <c r="B246" s="412">
        <v>42649</v>
      </c>
      <c r="C246" s="413">
        <v>841.66</v>
      </c>
      <c r="D246" s="409"/>
      <c r="E246" s="409"/>
      <c r="F246" s="409"/>
    </row>
    <row r="247" spans="2:6" ht="12.75" customHeight="1" x14ac:dyDescent="0.25">
      <c r="B247" s="412">
        <v>42650</v>
      </c>
      <c r="C247" s="413">
        <v>839.43</v>
      </c>
      <c r="D247" s="409"/>
      <c r="E247" s="409"/>
      <c r="F247" s="409"/>
    </row>
    <row r="248" spans="2:6" ht="12.75" customHeight="1" x14ac:dyDescent="0.25">
      <c r="B248" s="412">
        <v>42653</v>
      </c>
      <c r="C248" s="413">
        <v>841.71</v>
      </c>
      <c r="D248" s="409"/>
      <c r="E248" s="409"/>
      <c r="F248" s="409"/>
    </row>
    <row r="249" spans="2:6" ht="12.75" customHeight="1" x14ac:dyDescent="0.25">
      <c r="B249" s="412">
        <v>42654</v>
      </c>
      <c r="C249" s="413">
        <v>831</v>
      </c>
      <c r="D249" s="409"/>
      <c r="E249" s="409"/>
      <c r="F249" s="409"/>
    </row>
    <row r="250" spans="2:6" ht="12.75" customHeight="1" x14ac:dyDescent="0.25">
      <c r="B250" s="412">
        <v>42655</v>
      </c>
      <c r="C250" s="413">
        <v>834.09</v>
      </c>
      <c r="D250" s="409"/>
      <c r="E250" s="409"/>
      <c r="F250" s="409"/>
    </row>
    <row r="251" spans="2:6" ht="12.75" customHeight="1" x14ac:dyDescent="0.25">
      <c r="B251" s="412">
        <v>42656</v>
      </c>
      <c r="C251" s="413">
        <v>829.28</v>
      </c>
      <c r="D251" s="409"/>
      <c r="E251" s="409"/>
      <c r="F251" s="409"/>
    </row>
    <row r="252" spans="2:6" ht="12.75" customHeight="1" x14ac:dyDescent="0.25">
      <c r="B252" s="412">
        <v>42657</v>
      </c>
      <c r="C252" s="413">
        <v>822.96</v>
      </c>
      <c r="D252" s="409"/>
      <c r="E252" s="409"/>
      <c r="F252" s="409"/>
    </row>
    <row r="253" spans="2:6" ht="12.75" customHeight="1" x14ac:dyDescent="0.25">
      <c r="B253" s="412">
        <v>42660</v>
      </c>
      <c r="C253" s="413">
        <v>812.95</v>
      </c>
      <c r="D253" s="409"/>
      <c r="E253" s="409"/>
      <c r="F253" s="409"/>
    </row>
    <row r="254" spans="2:6" ht="12.75" customHeight="1" x14ac:dyDescent="0.25">
      <c r="B254" s="412">
        <v>42661</v>
      </c>
      <c r="C254" s="413">
        <v>817.65</v>
      </c>
      <c r="D254" s="409"/>
      <c r="E254" s="409"/>
      <c r="F254" s="409"/>
    </row>
    <row r="255" spans="2:6" ht="12.75" customHeight="1" x14ac:dyDescent="0.25">
      <c r="B255" s="412">
        <v>42662</v>
      </c>
      <c r="C255" s="413">
        <v>817.69</v>
      </c>
      <c r="D255" s="409"/>
      <c r="E255" s="409"/>
      <c r="F255" s="409"/>
    </row>
    <row r="256" spans="2:6" ht="12.75" customHeight="1" x14ac:dyDescent="0.25">
      <c r="B256" s="412">
        <v>42663</v>
      </c>
      <c r="C256" s="413">
        <v>810.32</v>
      </c>
      <c r="D256" s="409"/>
      <c r="E256" s="409"/>
      <c r="F256" s="409"/>
    </row>
    <row r="257" spans="2:6" ht="12.75" customHeight="1" x14ac:dyDescent="0.25">
      <c r="B257" s="412">
        <v>42664</v>
      </c>
      <c r="C257" s="413">
        <v>818.99</v>
      </c>
      <c r="D257" s="409"/>
      <c r="E257" s="409"/>
      <c r="F257" s="409"/>
    </row>
    <row r="258" spans="2:6" ht="12.75" customHeight="1" x14ac:dyDescent="0.25">
      <c r="B258" s="412">
        <v>42667</v>
      </c>
      <c r="C258" s="413">
        <v>838.09</v>
      </c>
      <c r="D258" s="409"/>
      <c r="E258" s="409"/>
      <c r="F258" s="409"/>
    </row>
    <row r="259" spans="2:6" ht="12.75" customHeight="1" x14ac:dyDescent="0.25">
      <c r="B259" s="412">
        <v>42668</v>
      </c>
      <c r="C259" s="413">
        <v>835.18</v>
      </c>
      <c r="D259" s="409"/>
      <c r="E259" s="409"/>
      <c r="F259" s="409"/>
    </row>
    <row r="260" spans="2:6" ht="12.75" customHeight="1" x14ac:dyDescent="0.25">
      <c r="B260" s="412">
        <v>42669</v>
      </c>
      <c r="C260" s="413">
        <v>822.59</v>
      </c>
      <c r="D260" s="409"/>
      <c r="E260" s="409"/>
      <c r="F260" s="409"/>
    </row>
    <row r="261" spans="2:6" ht="12.75" customHeight="1" x14ac:dyDescent="0.25">
      <c r="B261" s="412">
        <v>42670</v>
      </c>
      <c r="C261" s="413">
        <v>818.36</v>
      </c>
      <c r="D261" s="409"/>
      <c r="E261" s="409"/>
      <c r="F261" s="409"/>
    </row>
    <row r="262" spans="2:6" ht="12.75" customHeight="1" x14ac:dyDescent="0.25">
      <c r="B262" s="412">
        <v>42671</v>
      </c>
      <c r="C262" s="413">
        <v>776.32</v>
      </c>
      <c r="D262" s="409"/>
      <c r="E262" s="409"/>
      <c r="F262" s="409"/>
    </row>
    <row r="263" spans="2:6" ht="12.75" customHeight="1" x14ac:dyDescent="0.25">
      <c r="B263" s="412">
        <v>42674</v>
      </c>
      <c r="C263" s="413">
        <v>789.82</v>
      </c>
      <c r="D263" s="409"/>
      <c r="E263" s="409"/>
      <c r="F263" s="409"/>
    </row>
    <row r="264" spans="2:6" ht="12.75" customHeight="1" x14ac:dyDescent="0.25">
      <c r="B264" s="412">
        <v>42675</v>
      </c>
      <c r="C264" s="413">
        <v>785.41</v>
      </c>
      <c r="D264" s="409"/>
      <c r="E264" s="409"/>
      <c r="F264" s="409"/>
    </row>
    <row r="265" spans="2:6" ht="12.75" customHeight="1" x14ac:dyDescent="0.25">
      <c r="B265" s="412">
        <v>42676</v>
      </c>
      <c r="C265" s="413">
        <v>765.56</v>
      </c>
      <c r="D265" s="409"/>
      <c r="E265" s="409"/>
      <c r="F265" s="409"/>
    </row>
    <row r="266" spans="2:6" ht="12.75" customHeight="1" x14ac:dyDescent="0.25">
      <c r="B266" s="412">
        <v>42677</v>
      </c>
      <c r="C266" s="413">
        <v>767.03</v>
      </c>
      <c r="D266" s="409"/>
      <c r="E266" s="409"/>
      <c r="F266" s="409"/>
    </row>
    <row r="267" spans="2:6" ht="12.75" customHeight="1" x14ac:dyDescent="0.25">
      <c r="B267" s="412">
        <v>42678</v>
      </c>
      <c r="C267" s="413">
        <v>755.05</v>
      </c>
      <c r="D267" s="409"/>
      <c r="E267" s="409"/>
      <c r="F267" s="409"/>
    </row>
    <row r="268" spans="2:6" ht="12.75" customHeight="1" x14ac:dyDescent="0.25">
      <c r="B268" s="412">
        <v>42681</v>
      </c>
      <c r="C268" s="413">
        <v>784.93</v>
      </c>
      <c r="D268" s="409"/>
      <c r="E268" s="409"/>
      <c r="F268" s="409"/>
    </row>
    <row r="269" spans="2:6" ht="12.75" customHeight="1" x14ac:dyDescent="0.25">
      <c r="B269" s="412">
        <v>42682</v>
      </c>
      <c r="C269" s="413">
        <v>787.75</v>
      </c>
      <c r="D269" s="409"/>
      <c r="E269" s="409"/>
      <c r="F269" s="409"/>
    </row>
    <row r="270" spans="2:6" ht="12.75" customHeight="1" x14ac:dyDescent="0.25">
      <c r="B270" s="412">
        <v>42683</v>
      </c>
      <c r="C270" s="413">
        <v>771.88</v>
      </c>
      <c r="D270" s="409"/>
      <c r="E270" s="409"/>
      <c r="F270" s="409"/>
    </row>
    <row r="271" spans="2:6" ht="12.75" customHeight="1" x14ac:dyDescent="0.25">
      <c r="B271" s="412">
        <v>42684</v>
      </c>
      <c r="C271" s="413">
        <v>742.38</v>
      </c>
      <c r="D271" s="409"/>
      <c r="E271" s="409"/>
      <c r="F271" s="409"/>
    </row>
    <row r="272" spans="2:6" ht="12.75" customHeight="1" x14ac:dyDescent="0.25">
      <c r="B272" s="412">
        <v>42685</v>
      </c>
      <c r="C272" s="413">
        <v>739.01</v>
      </c>
      <c r="D272" s="409"/>
      <c r="E272" s="409"/>
      <c r="F272" s="409"/>
    </row>
    <row r="273" spans="2:6" ht="12.75" customHeight="1" x14ac:dyDescent="0.25">
      <c r="B273" s="412">
        <v>42688</v>
      </c>
      <c r="C273" s="413">
        <v>719.07</v>
      </c>
      <c r="D273" s="409"/>
      <c r="E273" s="409"/>
      <c r="F273" s="409"/>
    </row>
    <row r="274" spans="2:6" ht="12.75" customHeight="1" x14ac:dyDescent="0.25">
      <c r="B274" s="412">
        <v>42689</v>
      </c>
      <c r="C274" s="413">
        <v>743.24</v>
      </c>
      <c r="D274" s="409"/>
      <c r="E274" s="409"/>
      <c r="F274" s="409"/>
    </row>
    <row r="275" spans="2:6" ht="12.75" customHeight="1" x14ac:dyDescent="0.25">
      <c r="B275" s="412">
        <v>42690</v>
      </c>
      <c r="C275" s="413">
        <v>746.49</v>
      </c>
      <c r="D275" s="409"/>
      <c r="E275" s="409"/>
      <c r="F275" s="409"/>
    </row>
    <row r="276" spans="2:6" ht="12.75" customHeight="1" x14ac:dyDescent="0.25">
      <c r="B276" s="412">
        <v>42691</v>
      </c>
      <c r="C276" s="413">
        <v>756.4</v>
      </c>
      <c r="D276" s="409"/>
      <c r="E276" s="409"/>
      <c r="F276" s="409"/>
    </row>
    <row r="277" spans="2:6" ht="12.75" customHeight="1" x14ac:dyDescent="0.25">
      <c r="B277" s="412">
        <v>42692</v>
      </c>
      <c r="C277" s="413">
        <v>760.16</v>
      </c>
      <c r="D277" s="409"/>
      <c r="E277" s="409"/>
      <c r="F277" s="409"/>
    </row>
    <row r="278" spans="2:6" ht="12.75" customHeight="1" x14ac:dyDescent="0.25">
      <c r="B278" s="412">
        <v>42695</v>
      </c>
      <c r="C278" s="413">
        <v>780</v>
      </c>
      <c r="D278" s="409"/>
      <c r="E278" s="409"/>
      <c r="F278" s="409"/>
    </row>
    <row r="279" spans="2:6" ht="12.75" customHeight="1" x14ac:dyDescent="0.25">
      <c r="B279" s="412">
        <v>42696</v>
      </c>
      <c r="C279" s="413">
        <v>785.33</v>
      </c>
      <c r="D279" s="409"/>
      <c r="E279" s="409"/>
      <c r="F279" s="409"/>
    </row>
    <row r="280" spans="2:6" ht="12.75" customHeight="1" x14ac:dyDescent="0.25">
      <c r="B280" s="412">
        <v>42697</v>
      </c>
      <c r="C280" s="413">
        <v>780.12</v>
      </c>
      <c r="D280" s="409"/>
      <c r="E280" s="409"/>
      <c r="F280" s="409"/>
    </row>
    <row r="281" spans="2:6" ht="12.75" customHeight="1" x14ac:dyDescent="0.25">
      <c r="B281" s="412">
        <v>42699</v>
      </c>
      <c r="C281" s="413">
        <v>780.37</v>
      </c>
      <c r="D281" s="409"/>
      <c r="E281" s="409"/>
      <c r="F281" s="409"/>
    </row>
    <row r="282" spans="2:6" ht="12.75" customHeight="1" x14ac:dyDescent="0.25">
      <c r="B282" s="412">
        <v>42702</v>
      </c>
      <c r="C282" s="413">
        <v>766.77</v>
      </c>
      <c r="D282" s="409"/>
      <c r="E282" s="409"/>
      <c r="F282" s="409"/>
    </row>
    <row r="283" spans="2:6" ht="12.75" customHeight="1" x14ac:dyDescent="0.25">
      <c r="B283" s="412">
        <v>42703</v>
      </c>
      <c r="C283" s="413">
        <v>762.52</v>
      </c>
      <c r="D283" s="409"/>
      <c r="E283" s="409"/>
      <c r="F283" s="409"/>
    </row>
    <row r="284" spans="2:6" ht="12.75" customHeight="1" x14ac:dyDescent="0.25">
      <c r="B284" s="412">
        <v>42704</v>
      </c>
      <c r="C284" s="413">
        <v>750.57</v>
      </c>
      <c r="D284" s="409"/>
      <c r="E284" s="409"/>
      <c r="F284" s="409"/>
    </row>
    <row r="285" spans="2:6" ht="12.75" customHeight="1" x14ac:dyDescent="0.25">
      <c r="B285" s="412">
        <v>42705</v>
      </c>
      <c r="C285" s="413">
        <v>743.65</v>
      </c>
      <c r="D285" s="409"/>
      <c r="E285" s="409"/>
      <c r="F285" s="409"/>
    </row>
    <row r="286" spans="2:6" ht="12.75" customHeight="1" x14ac:dyDescent="0.25">
      <c r="B286" s="412">
        <v>42706</v>
      </c>
      <c r="C286" s="413">
        <v>740.34</v>
      </c>
      <c r="D286" s="409"/>
      <c r="E286" s="409"/>
      <c r="F286" s="409"/>
    </row>
    <row r="287" spans="2:6" ht="12.75" customHeight="1" x14ac:dyDescent="0.25">
      <c r="B287" s="412">
        <v>42709</v>
      </c>
      <c r="C287" s="413">
        <v>759.36</v>
      </c>
      <c r="D287" s="409"/>
      <c r="E287" s="409"/>
      <c r="F287" s="409"/>
    </row>
    <row r="288" spans="2:6" ht="12.75" customHeight="1" x14ac:dyDescent="0.25">
      <c r="B288" s="412">
        <v>42710</v>
      </c>
      <c r="C288" s="413">
        <v>764.72</v>
      </c>
      <c r="D288" s="409"/>
      <c r="E288" s="409"/>
      <c r="F288" s="409"/>
    </row>
    <row r="289" spans="2:6" ht="12.75" customHeight="1" x14ac:dyDescent="0.25">
      <c r="B289" s="412">
        <v>42711</v>
      </c>
      <c r="C289" s="413">
        <v>770.42</v>
      </c>
      <c r="D289" s="409"/>
      <c r="E289" s="409"/>
      <c r="F289" s="409"/>
    </row>
    <row r="290" spans="2:6" ht="12.75" customHeight="1" x14ac:dyDescent="0.25">
      <c r="B290" s="412">
        <v>42712</v>
      </c>
      <c r="C290" s="413">
        <v>767.33</v>
      </c>
      <c r="D290" s="409"/>
      <c r="E290" s="409"/>
      <c r="F290" s="409"/>
    </row>
    <row r="291" spans="2:6" ht="12.75" customHeight="1" x14ac:dyDescent="0.25">
      <c r="B291" s="412">
        <v>42713</v>
      </c>
      <c r="C291" s="413">
        <v>768.66</v>
      </c>
      <c r="D291" s="409"/>
      <c r="E291" s="409"/>
      <c r="F291" s="409"/>
    </row>
    <row r="292" spans="2:6" ht="12.75" customHeight="1" x14ac:dyDescent="0.25">
      <c r="B292" s="412">
        <v>42716</v>
      </c>
      <c r="C292" s="413">
        <v>760.12</v>
      </c>
      <c r="D292" s="409"/>
      <c r="E292" s="409"/>
      <c r="F292" s="409"/>
    </row>
    <row r="293" spans="2:6" ht="12.75" customHeight="1" x14ac:dyDescent="0.25">
      <c r="B293" s="412">
        <v>42717</v>
      </c>
      <c r="C293" s="413">
        <v>774.34</v>
      </c>
      <c r="D293" s="409"/>
      <c r="E293" s="409"/>
      <c r="F293" s="409"/>
    </row>
    <row r="294" spans="2:6" ht="12.75" customHeight="1" x14ac:dyDescent="0.25">
      <c r="B294" s="412">
        <v>42718</v>
      </c>
      <c r="C294" s="413">
        <v>768.82</v>
      </c>
      <c r="D294" s="409"/>
      <c r="E294" s="409"/>
      <c r="F294" s="409"/>
    </row>
    <row r="295" spans="2:6" ht="12.75" customHeight="1" x14ac:dyDescent="0.25">
      <c r="B295" s="412">
        <v>42719</v>
      </c>
      <c r="C295" s="413">
        <v>761</v>
      </c>
      <c r="D295" s="409"/>
      <c r="E295" s="409"/>
      <c r="F295" s="409"/>
    </row>
    <row r="296" spans="2:6" ht="12.75" customHeight="1" x14ac:dyDescent="0.25">
      <c r="B296" s="412">
        <v>42720</v>
      </c>
      <c r="C296" s="413">
        <v>757.77</v>
      </c>
      <c r="D296" s="409"/>
      <c r="E296" s="409"/>
      <c r="F296" s="409"/>
    </row>
    <row r="297" spans="2:6" ht="12.75" customHeight="1" x14ac:dyDescent="0.25">
      <c r="B297" s="412">
        <v>42723</v>
      </c>
      <c r="C297" s="413">
        <v>766</v>
      </c>
      <c r="D297" s="409"/>
      <c r="E297" s="409"/>
      <c r="F297" s="409"/>
    </row>
    <row r="298" spans="2:6" ht="12.75" customHeight="1" x14ac:dyDescent="0.25">
      <c r="B298" s="412">
        <v>42724</v>
      </c>
      <c r="C298" s="413">
        <v>771.22</v>
      </c>
      <c r="D298" s="409"/>
      <c r="E298" s="409"/>
      <c r="F298" s="409"/>
    </row>
    <row r="299" spans="2:6" ht="12.75" customHeight="1" x14ac:dyDescent="0.25">
      <c r="B299" s="412">
        <v>42725</v>
      </c>
      <c r="C299" s="413">
        <v>770.6</v>
      </c>
      <c r="D299" s="409"/>
      <c r="E299" s="409"/>
      <c r="F299" s="409"/>
    </row>
    <row r="300" spans="2:6" ht="12.75" customHeight="1" x14ac:dyDescent="0.25">
      <c r="B300" s="412">
        <v>42726</v>
      </c>
      <c r="C300" s="413">
        <v>766.34</v>
      </c>
      <c r="D300" s="409"/>
      <c r="E300" s="409"/>
      <c r="F300" s="409"/>
    </row>
    <row r="301" spans="2:6" ht="12.75" customHeight="1" x14ac:dyDescent="0.25">
      <c r="B301" s="412">
        <v>42727</v>
      </c>
      <c r="C301" s="413">
        <v>760.59</v>
      </c>
      <c r="D301" s="409"/>
      <c r="E301" s="409"/>
      <c r="F301" s="409"/>
    </row>
    <row r="302" spans="2:6" ht="12.75" customHeight="1" x14ac:dyDescent="0.25">
      <c r="B302" s="412">
        <v>42731</v>
      </c>
      <c r="C302" s="413">
        <v>771.4</v>
      </c>
      <c r="D302" s="409"/>
      <c r="E302" s="409"/>
      <c r="F302" s="409"/>
    </row>
    <row r="303" spans="2:6" ht="12.75" customHeight="1" x14ac:dyDescent="0.25">
      <c r="B303" s="412">
        <v>42732</v>
      </c>
      <c r="C303" s="413">
        <v>772.13</v>
      </c>
      <c r="D303" s="409"/>
      <c r="E303" s="409"/>
      <c r="F303" s="409"/>
    </row>
    <row r="304" spans="2:6" ht="12.75" customHeight="1" x14ac:dyDescent="0.25">
      <c r="B304" s="412">
        <v>42733</v>
      </c>
      <c r="C304" s="413">
        <v>765.15</v>
      </c>
      <c r="D304" s="409"/>
      <c r="E304" s="409"/>
      <c r="F304" s="409"/>
    </row>
    <row r="305" spans="2:6" ht="12.75" customHeight="1" x14ac:dyDescent="0.25">
      <c r="B305" s="412">
        <v>42734</v>
      </c>
      <c r="C305" s="413">
        <v>749.87</v>
      </c>
      <c r="D305" s="409"/>
      <c r="E305" s="409"/>
      <c r="F305" s="409"/>
    </row>
    <row r="306" spans="2:6" ht="12.75" customHeight="1" x14ac:dyDescent="0.25">
      <c r="B306" s="412">
        <v>42738</v>
      </c>
      <c r="C306" s="413">
        <v>753.67</v>
      </c>
      <c r="D306" s="409"/>
      <c r="E306" s="409"/>
      <c r="F306" s="409"/>
    </row>
    <row r="307" spans="2:6" ht="12.75" customHeight="1" x14ac:dyDescent="0.25">
      <c r="B307" s="412">
        <v>42739</v>
      </c>
      <c r="C307" s="413">
        <v>757.18</v>
      </c>
      <c r="D307" s="409"/>
      <c r="E307" s="409"/>
      <c r="F307" s="409"/>
    </row>
    <row r="308" spans="2:6" ht="12.75" customHeight="1" x14ac:dyDescent="0.25">
      <c r="B308" s="412">
        <v>42740</v>
      </c>
      <c r="C308" s="413">
        <v>780.45</v>
      </c>
      <c r="D308" s="409"/>
      <c r="E308" s="409"/>
      <c r="F308" s="409"/>
    </row>
    <row r="309" spans="2:6" ht="12.75" customHeight="1" x14ac:dyDescent="0.25">
      <c r="B309" s="412">
        <v>42741</v>
      </c>
      <c r="C309" s="413">
        <v>795.99</v>
      </c>
      <c r="D309" s="409"/>
      <c r="E309" s="409"/>
      <c r="F309" s="409"/>
    </row>
    <row r="310" spans="2:6" ht="12.75" customHeight="1" x14ac:dyDescent="0.25">
      <c r="B310" s="412">
        <v>42744</v>
      </c>
      <c r="C310" s="413">
        <v>796.92</v>
      </c>
      <c r="D310" s="409"/>
      <c r="E310" s="409"/>
      <c r="F310" s="409"/>
    </row>
    <row r="311" spans="2:6" ht="12.75" customHeight="1" x14ac:dyDescent="0.25">
      <c r="B311" s="412">
        <v>42745</v>
      </c>
      <c r="C311" s="413">
        <v>795.9</v>
      </c>
      <c r="D311" s="409"/>
      <c r="E311" s="409"/>
      <c r="F311" s="409"/>
    </row>
    <row r="312" spans="2:6" ht="12.75" customHeight="1" x14ac:dyDescent="0.25">
      <c r="B312" s="412">
        <v>42746</v>
      </c>
      <c r="C312" s="413">
        <v>799.02</v>
      </c>
      <c r="D312" s="409"/>
      <c r="E312" s="409"/>
      <c r="F312" s="409"/>
    </row>
    <row r="313" spans="2:6" ht="12.75" customHeight="1" x14ac:dyDescent="0.25">
      <c r="B313" s="412">
        <v>42747</v>
      </c>
      <c r="C313" s="413">
        <v>813.64</v>
      </c>
      <c r="D313" s="409"/>
      <c r="E313" s="409"/>
      <c r="F313" s="409"/>
    </row>
    <row r="314" spans="2:6" ht="12.75" customHeight="1" x14ac:dyDescent="0.25">
      <c r="B314" s="412">
        <v>42748</v>
      </c>
      <c r="C314" s="413">
        <v>817.14</v>
      </c>
      <c r="D314" s="409"/>
      <c r="E314" s="409"/>
      <c r="F314" s="409"/>
    </row>
    <row r="315" spans="2:6" ht="12.75" customHeight="1" x14ac:dyDescent="0.25">
      <c r="B315" s="412">
        <v>42752</v>
      </c>
      <c r="C315" s="413">
        <v>809.72</v>
      </c>
      <c r="D315" s="409"/>
      <c r="E315" s="409"/>
      <c r="F315" s="409"/>
    </row>
    <row r="316" spans="2:6" ht="12.75" customHeight="1" x14ac:dyDescent="0.25">
      <c r="B316" s="412">
        <v>42753</v>
      </c>
      <c r="C316" s="413">
        <v>807.48</v>
      </c>
      <c r="D316" s="409"/>
      <c r="E316" s="409"/>
      <c r="F316" s="409"/>
    </row>
    <row r="317" spans="2:6" ht="12.75" customHeight="1" x14ac:dyDescent="0.25">
      <c r="B317" s="412">
        <v>42754</v>
      </c>
      <c r="C317" s="413">
        <v>809.04</v>
      </c>
      <c r="D317" s="409"/>
      <c r="E317" s="409"/>
      <c r="F317" s="409"/>
    </row>
    <row r="318" spans="2:6" ht="12.75" customHeight="1" x14ac:dyDescent="0.25">
      <c r="B318" s="412">
        <v>42755</v>
      </c>
      <c r="C318" s="413">
        <v>808.33</v>
      </c>
      <c r="D318" s="409"/>
      <c r="E318" s="409"/>
      <c r="F318" s="409"/>
    </row>
    <row r="319" spans="2:6" ht="12.75" customHeight="1" x14ac:dyDescent="0.25">
      <c r="B319" s="412">
        <v>42758</v>
      </c>
      <c r="C319" s="413">
        <v>817.88</v>
      </c>
      <c r="D319" s="409"/>
      <c r="E319" s="409"/>
      <c r="F319" s="409"/>
    </row>
    <row r="320" spans="2:6" ht="12.75" customHeight="1" x14ac:dyDescent="0.25">
      <c r="B320" s="412">
        <v>42759</v>
      </c>
      <c r="C320" s="413">
        <v>822.44</v>
      </c>
      <c r="D320" s="409"/>
      <c r="E320" s="409"/>
      <c r="F320" s="409"/>
    </row>
    <row r="321" spans="2:6" ht="12.75" customHeight="1" x14ac:dyDescent="0.25">
      <c r="B321" s="412">
        <v>42760</v>
      </c>
      <c r="C321" s="413">
        <v>836.52</v>
      </c>
      <c r="D321" s="409"/>
      <c r="E321" s="409"/>
      <c r="F321" s="409"/>
    </row>
    <row r="322" spans="2:6" ht="12.75" customHeight="1" x14ac:dyDescent="0.25">
      <c r="B322" s="412">
        <v>42761</v>
      </c>
      <c r="C322" s="413">
        <v>839.15</v>
      </c>
      <c r="D322" s="409"/>
      <c r="E322" s="409"/>
      <c r="F322" s="409"/>
    </row>
    <row r="323" spans="2:6" ht="12.75" customHeight="1" x14ac:dyDescent="0.25">
      <c r="B323" s="412">
        <v>42762</v>
      </c>
      <c r="C323" s="413">
        <v>835.77</v>
      </c>
      <c r="D323" s="409"/>
      <c r="E323" s="409"/>
      <c r="F323" s="409"/>
    </row>
    <row r="324" spans="2:6" ht="12.75" customHeight="1" x14ac:dyDescent="0.25">
      <c r="B324" s="412">
        <v>42765</v>
      </c>
      <c r="C324" s="413">
        <v>830.38</v>
      </c>
      <c r="D324" s="409"/>
      <c r="E324" s="409"/>
      <c r="F324" s="409"/>
    </row>
    <row r="325" spans="2:6" ht="12.75" customHeight="1" x14ac:dyDescent="0.25">
      <c r="B325" s="412">
        <v>42766</v>
      </c>
      <c r="C325" s="413">
        <v>823.48</v>
      </c>
      <c r="D325" s="409"/>
      <c r="E325" s="409"/>
      <c r="F325" s="409"/>
    </row>
    <row r="326" spans="2:6" ht="12.75" customHeight="1" x14ac:dyDescent="0.25">
      <c r="B326" s="412">
        <v>42767</v>
      </c>
      <c r="C326" s="413">
        <v>832.35</v>
      </c>
      <c r="D326" s="409"/>
      <c r="E326" s="409"/>
      <c r="F326" s="409"/>
    </row>
    <row r="327" spans="2:6" ht="12.75" customHeight="1" x14ac:dyDescent="0.25">
      <c r="B327" s="412">
        <v>42768</v>
      </c>
      <c r="C327" s="413">
        <v>839.95</v>
      </c>
      <c r="D327" s="409"/>
      <c r="E327" s="409"/>
      <c r="F327" s="409"/>
    </row>
    <row r="328" spans="2:6" ht="12.75" customHeight="1" x14ac:dyDescent="0.25">
      <c r="B328" s="412">
        <v>42769</v>
      </c>
      <c r="C328" s="413">
        <v>810.2</v>
      </c>
      <c r="D328" s="409"/>
      <c r="E328" s="409"/>
      <c r="F328" s="409"/>
    </row>
    <row r="329" spans="2:6" ht="12.75" customHeight="1" x14ac:dyDescent="0.25">
      <c r="B329" s="412">
        <v>42772</v>
      </c>
      <c r="C329" s="413">
        <v>807.64</v>
      </c>
      <c r="D329" s="409"/>
      <c r="E329" s="409"/>
      <c r="F329" s="409"/>
    </row>
    <row r="330" spans="2:6" ht="12.75" customHeight="1" x14ac:dyDescent="0.25">
      <c r="B330" s="412">
        <v>42773</v>
      </c>
      <c r="C330" s="413">
        <v>812.5</v>
      </c>
      <c r="D330" s="409"/>
      <c r="E330" s="409"/>
      <c r="F330" s="409"/>
    </row>
    <row r="331" spans="2:6" ht="12.75" customHeight="1" x14ac:dyDescent="0.25">
      <c r="B331" s="412">
        <v>42774</v>
      </c>
      <c r="C331" s="413">
        <v>819.71</v>
      </c>
      <c r="D331" s="409"/>
      <c r="E331" s="409"/>
      <c r="F331" s="409"/>
    </row>
    <row r="332" spans="2:6" ht="12.75" customHeight="1" x14ac:dyDescent="0.25">
      <c r="B332" s="412">
        <v>42775</v>
      </c>
      <c r="C332" s="413">
        <v>821.36</v>
      </c>
      <c r="D332" s="409"/>
      <c r="E332" s="409"/>
      <c r="F332" s="409"/>
    </row>
    <row r="333" spans="2:6" ht="12.75" customHeight="1" x14ac:dyDescent="0.25">
      <c r="B333" s="412">
        <v>42776</v>
      </c>
      <c r="C333" s="413">
        <v>827.46</v>
      </c>
      <c r="D333" s="409"/>
      <c r="E333" s="409"/>
      <c r="F333" s="409"/>
    </row>
    <row r="334" spans="2:6" ht="12.75" customHeight="1" x14ac:dyDescent="0.25">
      <c r="B334" s="412">
        <v>42779</v>
      </c>
      <c r="C334" s="413">
        <v>836.53</v>
      </c>
      <c r="D334" s="409"/>
      <c r="E334" s="409"/>
      <c r="F334" s="409"/>
    </row>
    <row r="335" spans="2:6" ht="12.75" customHeight="1" x14ac:dyDescent="0.25">
      <c r="B335" s="412">
        <v>42780</v>
      </c>
      <c r="C335" s="413">
        <v>836.39</v>
      </c>
      <c r="D335" s="409"/>
      <c r="E335" s="409"/>
      <c r="F335" s="409"/>
    </row>
    <row r="336" spans="2:6" ht="12.75" customHeight="1" x14ac:dyDescent="0.25">
      <c r="B336" s="412">
        <v>42781</v>
      </c>
      <c r="C336" s="413">
        <v>842.7</v>
      </c>
      <c r="D336" s="409"/>
      <c r="E336" s="409"/>
      <c r="F336" s="409"/>
    </row>
    <row r="337" spans="2:6" ht="12.75" customHeight="1" x14ac:dyDescent="0.25">
      <c r="B337" s="412">
        <v>42782</v>
      </c>
      <c r="C337" s="413">
        <v>844.14</v>
      </c>
      <c r="D337" s="409"/>
      <c r="E337" s="409"/>
      <c r="F337" s="409"/>
    </row>
    <row r="338" spans="2:6" ht="12.75" customHeight="1" x14ac:dyDescent="0.25">
      <c r="B338" s="412">
        <v>42783</v>
      </c>
      <c r="C338" s="413">
        <v>845.07</v>
      </c>
      <c r="D338" s="409"/>
      <c r="E338" s="409"/>
      <c r="F338" s="409"/>
    </row>
    <row r="339" spans="2:6" ht="12.75" customHeight="1" x14ac:dyDescent="0.25">
      <c r="B339" s="412">
        <v>42787</v>
      </c>
      <c r="C339" s="413">
        <v>856.44</v>
      </c>
      <c r="D339" s="409"/>
      <c r="E339" s="409"/>
      <c r="F339" s="409"/>
    </row>
    <row r="340" spans="2:6" ht="12.75" customHeight="1" x14ac:dyDescent="0.25">
      <c r="B340" s="412">
        <v>42788</v>
      </c>
      <c r="C340" s="413">
        <v>855.61</v>
      </c>
      <c r="D340" s="409"/>
      <c r="E340" s="409"/>
      <c r="F340" s="409"/>
    </row>
    <row r="341" spans="2:6" ht="12.75" customHeight="1" x14ac:dyDescent="0.25">
      <c r="B341" s="412">
        <v>42789</v>
      </c>
      <c r="C341" s="413">
        <v>852.19</v>
      </c>
      <c r="D341" s="409"/>
      <c r="E341" s="409"/>
      <c r="F341" s="409"/>
    </row>
    <row r="342" spans="2:6" ht="12.75" customHeight="1" x14ac:dyDescent="0.25">
      <c r="B342" s="412">
        <v>42790</v>
      </c>
      <c r="C342" s="413">
        <v>845.24</v>
      </c>
      <c r="D342" s="409"/>
      <c r="E342" s="409"/>
      <c r="F342" s="409"/>
    </row>
    <row r="343" spans="2:6" ht="12.75" customHeight="1" x14ac:dyDescent="0.25">
      <c r="B343" s="412">
        <v>42793</v>
      </c>
      <c r="C343" s="413">
        <v>848.64</v>
      </c>
      <c r="D343" s="409"/>
      <c r="E343" s="409"/>
      <c r="F343" s="409"/>
    </row>
    <row r="344" spans="2:6" ht="12.75" customHeight="1" x14ac:dyDescent="0.25">
      <c r="B344" s="412">
        <v>42794</v>
      </c>
      <c r="C344" s="413">
        <v>845.04</v>
      </c>
      <c r="D344" s="409"/>
      <c r="E344" s="409"/>
      <c r="F344" s="409"/>
    </row>
    <row r="345" spans="2:6" ht="12.75" customHeight="1" x14ac:dyDescent="0.25">
      <c r="B345" s="412">
        <v>42795</v>
      </c>
      <c r="C345" s="413">
        <v>853.08</v>
      </c>
      <c r="D345" s="409"/>
      <c r="E345" s="409"/>
      <c r="F345" s="409"/>
    </row>
    <row r="346" spans="2:6" ht="12.75" customHeight="1" x14ac:dyDescent="0.25">
      <c r="B346" s="412">
        <v>42796</v>
      </c>
      <c r="C346" s="413">
        <v>848.91</v>
      </c>
      <c r="D346" s="409"/>
      <c r="E346" s="409"/>
      <c r="F346" s="409"/>
    </row>
    <row r="347" spans="2:6" ht="12.75" customHeight="1" x14ac:dyDescent="0.25">
      <c r="B347" s="412">
        <v>42797</v>
      </c>
      <c r="C347" s="413">
        <v>849.88</v>
      </c>
      <c r="D347" s="409"/>
      <c r="E347" s="409"/>
      <c r="F347" s="409"/>
    </row>
    <row r="348" spans="2:6" ht="12.75" customHeight="1" x14ac:dyDescent="0.25">
      <c r="B348" s="412">
        <v>42800</v>
      </c>
      <c r="C348" s="413">
        <v>846.61</v>
      </c>
      <c r="D348" s="409"/>
      <c r="E348" s="409"/>
      <c r="F348" s="409"/>
    </row>
    <row r="349" spans="2:6" ht="12.75" customHeight="1" x14ac:dyDescent="0.25">
      <c r="B349" s="412">
        <v>42801</v>
      </c>
      <c r="C349" s="413">
        <v>846.02</v>
      </c>
      <c r="D349" s="409"/>
      <c r="E349" s="409"/>
      <c r="F349" s="409"/>
    </row>
    <row r="350" spans="2:6" ht="12.75" customHeight="1" x14ac:dyDescent="0.25">
      <c r="B350" s="412">
        <v>42802</v>
      </c>
      <c r="C350" s="413">
        <v>850.5</v>
      </c>
      <c r="D350" s="409"/>
      <c r="E350" s="409"/>
      <c r="F350" s="409"/>
    </row>
    <row r="351" spans="2:6" ht="12.75" customHeight="1" x14ac:dyDescent="0.25">
      <c r="B351" s="412">
        <v>42803</v>
      </c>
      <c r="C351" s="413">
        <v>853</v>
      </c>
      <c r="D351" s="409"/>
      <c r="E351" s="409"/>
      <c r="F351" s="409"/>
    </row>
    <row r="352" spans="2:6" ht="12.75" customHeight="1" x14ac:dyDescent="0.25">
      <c r="B352" s="412">
        <v>42804</v>
      </c>
      <c r="C352" s="413">
        <v>852.46</v>
      </c>
      <c r="D352" s="409"/>
      <c r="E352" s="409"/>
      <c r="F352" s="409"/>
    </row>
    <row r="353" spans="2:6" ht="12.75" customHeight="1" x14ac:dyDescent="0.25">
      <c r="B353" s="412">
        <v>42807</v>
      </c>
      <c r="C353" s="413">
        <v>854.59</v>
      </c>
      <c r="D353" s="409"/>
      <c r="E353" s="409"/>
      <c r="F353" s="409"/>
    </row>
    <row r="354" spans="2:6" ht="12.75" customHeight="1" x14ac:dyDescent="0.25">
      <c r="B354" s="412">
        <v>42808</v>
      </c>
      <c r="C354" s="413">
        <v>852.53</v>
      </c>
      <c r="D354" s="409"/>
      <c r="E354" s="409"/>
      <c r="F354" s="409"/>
    </row>
    <row r="355" spans="2:6" ht="12.75" customHeight="1" x14ac:dyDescent="0.25">
      <c r="B355" s="412">
        <v>42809</v>
      </c>
      <c r="C355" s="413">
        <v>852.97</v>
      </c>
      <c r="D355" s="409"/>
      <c r="E355" s="409"/>
      <c r="F355" s="409"/>
    </row>
    <row r="356" spans="2:6" ht="12.75" customHeight="1" x14ac:dyDescent="0.25">
      <c r="B356" s="412">
        <v>42810</v>
      </c>
      <c r="C356" s="413">
        <v>853.42</v>
      </c>
      <c r="D356" s="409"/>
      <c r="E356" s="409"/>
      <c r="F356" s="409"/>
    </row>
    <row r="357" spans="2:6" ht="12.75" customHeight="1" x14ac:dyDescent="0.25">
      <c r="B357" s="412">
        <v>42811</v>
      </c>
      <c r="C357" s="413">
        <v>852.31</v>
      </c>
      <c r="D357" s="409"/>
      <c r="E357" s="409"/>
      <c r="F357" s="409"/>
    </row>
    <row r="358" spans="2:6" ht="12.75" customHeight="1" x14ac:dyDescent="0.25">
      <c r="B358" s="412">
        <v>42814</v>
      </c>
      <c r="C358" s="413">
        <v>856.97</v>
      </c>
      <c r="D358" s="409"/>
      <c r="E358" s="409"/>
      <c r="F358" s="409"/>
    </row>
    <row r="359" spans="2:6" ht="12.75" customHeight="1" x14ac:dyDescent="0.25">
      <c r="B359" s="412">
        <v>42815</v>
      </c>
      <c r="C359" s="413">
        <v>843.2</v>
      </c>
      <c r="D359" s="409"/>
      <c r="E359" s="409"/>
      <c r="F359" s="409"/>
    </row>
    <row r="360" spans="2:6" ht="12.75" customHeight="1" x14ac:dyDescent="0.25">
      <c r="B360" s="412">
        <v>42816</v>
      </c>
      <c r="C360" s="413">
        <v>848.06</v>
      </c>
      <c r="D360" s="409"/>
      <c r="E360" s="409"/>
      <c r="F360" s="409"/>
    </row>
    <row r="361" spans="2:6" ht="12.75" customHeight="1" x14ac:dyDescent="0.25">
      <c r="B361" s="412">
        <v>42817</v>
      </c>
      <c r="C361" s="413">
        <v>847.38</v>
      </c>
      <c r="D361" s="409"/>
      <c r="E361" s="409"/>
      <c r="F361" s="409"/>
    </row>
    <row r="362" spans="2:6" ht="12.75" customHeight="1" x14ac:dyDescent="0.25">
      <c r="B362" s="412">
        <v>42818</v>
      </c>
      <c r="C362" s="413">
        <v>845.61</v>
      </c>
      <c r="D362" s="409"/>
      <c r="E362" s="409"/>
      <c r="F362" s="409"/>
    </row>
    <row r="363" spans="2:6" ht="12.75" customHeight="1" x14ac:dyDescent="0.25">
      <c r="B363" s="412">
        <v>42821</v>
      </c>
      <c r="C363" s="413">
        <v>846.82</v>
      </c>
      <c r="D363" s="409"/>
      <c r="E363" s="409"/>
      <c r="F363" s="409"/>
    </row>
    <row r="364" spans="2:6" ht="12.75" customHeight="1" x14ac:dyDescent="0.25">
      <c r="B364" s="412">
        <v>42822</v>
      </c>
      <c r="C364" s="413">
        <v>856</v>
      </c>
      <c r="D364" s="409"/>
      <c r="E364" s="409"/>
      <c r="F364" s="409"/>
    </row>
    <row r="365" spans="2:6" ht="12.75" customHeight="1" x14ac:dyDescent="0.25">
      <c r="B365" s="412">
        <v>42823</v>
      </c>
      <c r="C365" s="413">
        <v>874.32</v>
      </c>
      <c r="D365" s="409"/>
      <c r="E365" s="409"/>
      <c r="F365" s="409"/>
    </row>
    <row r="366" spans="2:6" ht="12.75" customHeight="1" x14ac:dyDescent="0.25">
      <c r="B366" s="412">
        <v>42824</v>
      </c>
      <c r="C366" s="413">
        <v>876.34</v>
      </c>
      <c r="D366" s="409"/>
      <c r="E366" s="409"/>
      <c r="F366" s="409"/>
    </row>
    <row r="367" spans="2:6" ht="12.75" customHeight="1" x14ac:dyDescent="0.25">
      <c r="B367" s="412">
        <v>42825</v>
      </c>
      <c r="C367" s="413">
        <v>886.54</v>
      </c>
      <c r="D367" s="409"/>
      <c r="E367" s="409"/>
      <c r="F367" s="409"/>
    </row>
    <row r="368" spans="2:6" ht="12.75" customHeight="1" x14ac:dyDescent="0.25">
      <c r="B368" s="412">
        <v>42828</v>
      </c>
      <c r="C368" s="413">
        <v>891.51</v>
      </c>
      <c r="D368" s="409"/>
      <c r="E368" s="409"/>
      <c r="F368" s="409"/>
    </row>
    <row r="369" spans="2:6" ht="12.75" customHeight="1" x14ac:dyDescent="0.25">
      <c r="B369" s="412">
        <v>42829</v>
      </c>
      <c r="C369" s="413">
        <v>906.83</v>
      </c>
      <c r="D369" s="409"/>
      <c r="E369" s="409"/>
      <c r="F369" s="409"/>
    </row>
    <row r="370" spans="2:6" ht="12.75" customHeight="1" x14ac:dyDescent="0.25">
      <c r="B370" s="412">
        <v>42830</v>
      </c>
      <c r="C370" s="413">
        <v>909.28</v>
      </c>
      <c r="D370" s="409"/>
      <c r="E370" s="409"/>
      <c r="F370" s="409"/>
    </row>
    <row r="371" spans="2:6" ht="12.75" customHeight="1" x14ac:dyDescent="0.25">
      <c r="B371" s="412">
        <v>42831</v>
      </c>
      <c r="C371" s="413">
        <v>898.28</v>
      </c>
      <c r="D371" s="409"/>
      <c r="E371" s="409"/>
      <c r="F371" s="409"/>
    </row>
    <row r="372" spans="2:6" ht="12.75" customHeight="1" x14ac:dyDescent="0.25">
      <c r="B372" s="412">
        <v>42832</v>
      </c>
      <c r="C372" s="413">
        <v>894.88</v>
      </c>
      <c r="D372" s="409"/>
      <c r="E372" s="409"/>
      <c r="F372" s="409"/>
    </row>
    <row r="373" spans="2:6" ht="12.75" customHeight="1" x14ac:dyDescent="0.25">
      <c r="B373" s="412">
        <v>42835</v>
      </c>
      <c r="C373" s="413">
        <v>907.04</v>
      </c>
      <c r="D373" s="409"/>
      <c r="E373" s="409"/>
      <c r="F373" s="409"/>
    </row>
    <row r="374" spans="2:6" ht="12.75" customHeight="1" x14ac:dyDescent="0.25">
      <c r="B374" s="412">
        <v>42836</v>
      </c>
      <c r="C374" s="413">
        <v>902.36</v>
      </c>
      <c r="D374" s="409"/>
      <c r="E374" s="409"/>
      <c r="F374" s="409"/>
    </row>
    <row r="375" spans="2:6" ht="12.75" customHeight="1" x14ac:dyDescent="0.25">
      <c r="B375" s="412">
        <v>42837</v>
      </c>
      <c r="C375" s="413">
        <v>896.23</v>
      </c>
      <c r="D375" s="409"/>
      <c r="E375" s="409"/>
      <c r="F375" s="409"/>
    </row>
    <row r="376" spans="2:6" ht="12.75" customHeight="1" x14ac:dyDescent="0.25">
      <c r="B376" s="412">
        <v>42838</v>
      </c>
      <c r="C376" s="413">
        <v>884.67</v>
      </c>
      <c r="D376" s="409"/>
      <c r="E376" s="409"/>
      <c r="F376" s="409"/>
    </row>
    <row r="377" spans="2:6" ht="12.75" customHeight="1" x14ac:dyDescent="0.25">
      <c r="B377" s="412">
        <v>42842</v>
      </c>
      <c r="C377" s="413">
        <v>901.99</v>
      </c>
      <c r="D377" s="409"/>
      <c r="E377" s="409"/>
      <c r="F377" s="409"/>
    </row>
    <row r="378" spans="2:6" ht="12.75" customHeight="1" x14ac:dyDescent="0.25">
      <c r="B378" s="412">
        <v>42843</v>
      </c>
      <c r="C378" s="413">
        <v>903.78</v>
      </c>
      <c r="D378" s="409"/>
      <c r="E378" s="409"/>
      <c r="F378" s="409"/>
    </row>
    <row r="379" spans="2:6" ht="12.75" customHeight="1" x14ac:dyDescent="0.25">
      <c r="B379" s="412">
        <v>42844</v>
      </c>
      <c r="C379" s="413">
        <v>899.2</v>
      </c>
      <c r="D379" s="409"/>
      <c r="E379" s="409"/>
      <c r="F379" s="409"/>
    </row>
    <row r="380" spans="2:6" ht="12.75" customHeight="1" x14ac:dyDescent="0.25">
      <c r="B380" s="412">
        <v>42845</v>
      </c>
      <c r="C380" s="413">
        <v>902.06</v>
      </c>
      <c r="D380" s="409"/>
      <c r="E380" s="409"/>
      <c r="F380" s="409"/>
    </row>
    <row r="381" spans="2:6" ht="12.75" customHeight="1" x14ac:dyDescent="0.25">
      <c r="B381" s="412">
        <v>42846</v>
      </c>
      <c r="C381" s="413">
        <v>898.53</v>
      </c>
      <c r="D381" s="409"/>
      <c r="E381" s="409"/>
      <c r="F381" s="409"/>
    </row>
    <row r="382" spans="2:6" ht="12.75" customHeight="1" x14ac:dyDescent="0.25">
      <c r="B382" s="412">
        <v>42849</v>
      </c>
      <c r="C382" s="413">
        <v>907.41</v>
      </c>
      <c r="D382" s="409"/>
      <c r="E382" s="409"/>
      <c r="F382" s="409"/>
    </row>
    <row r="383" spans="2:6" ht="12.75" customHeight="1" x14ac:dyDescent="0.25">
      <c r="B383" s="412">
        <v>42850</v>
      </c>
      <c r="C383" s="413">
        <v>907.62</v>
      </c>
      <c r="D383" s="409"/>
      <c r="E383" s="409"/>
      <c r="F383" s="409"/>
    </row>
    <row r="384" spans="2:6" ht="12.75" customHeight="1" x14ac:dyDescent="0.25">
      <c r="B384" s="412">
        <v>42851</v>
      </c>
      <c r="C384" s="413">
        <v>909.29</v>
      </c>
      <c r="D384" s="409"/>
      <c r="E384" s="409"/>
      <c r="F384" s="409"/>
    </row>
    <row r="385" spans="2:6" ht="12.75" customHeight="1" x14ac:dyDescent="0.25">
      <c r="B385" s="412">
        <v>42852</v>
      </c>
      <c r="C385" s="413">
        <v>918.38</v>
      </c>
      <c r="D385" s="409"/>
      <c r="E385" s="409"/>
      <c r="F385" s="409"/>
    </row>
    <row r="386" spans="2:6" ht="12.75" customHeight="1" x14ac:dyDescent="0.25">
      <c r="B386" s="412">
        <v>42853</v>
      </c>
      <c r="C386" s="413">
        <v>924.99</v>
      </c>
      <c r="D386" s="409"/>
      <c r="E386" s="409"/>
      <c r="F386" s="409"/>
    </row>
    <row r="387" spans="2:6" ht="12.75" customHeight="1" x14ac:dyDescent="0.25">
      <c r="B387" s="412">
        <v>42856</v>
      </c>
      <c r="C387" s="413">
        <v>948.23</v>
      </c>
      <c r="D387" s="409"/>
      <c r="E387" s="409"/>
      <c r="F387" s="409"/>
    </row>
    <row r="388" spans="2:6" ht="12.75" customHeight="1" x14ac:dyDescent="0.25">
      <c r="B388" s="412">
        <v>42857</v>
      </c>
      <c r="C388" s="413">
        <v>946.94</v>
      </c>
      <c r="D388" s="409"/>
      <c r="E388" s="409"/>
      <c r="F388" s="409"/>
    </row>
    <row r="389" spans="2:6" ht="12.75" customHeight="1" x14ac:dyDescent="0.25">
      <c r="B389" s="412">
        <v>42858</v>
      </c>
      <c r="C389" s="413">
        <v>941.03</v>
      </c>
      <c r="D389" s="409"/>
      <c r="E389" s="409"/>
      <c r="F389" s="409"/>
    </row>
    <row r="390" spans="2:6" ht="12.75" customHeight="1" x14ac:dyDescent="0.25">
      <c r="B390" s="412">
        <v>42859</v>
      </c>
      <c r="C390" s="413">
        <v>937.53</v>
      </c>
      <c r="D390" s="409"/>
      <c r="E390" s="409"/>
      <c r="F390" s="409"/>
    </row>
    <row r="391" spans="2:6" ht="12.75" customHeight="1" x14ac:dyDescent="0.25">
      <c r="B391" s="412">
        <v>42860</v>
      </c>
      <c r="C391" s="413">
        <v>934.15</v>
      </c>
      <c r="D391" s="409"/>
      <c r="E391" s="409"/>
      <c r="F391" s="409"/>
    </row>
    <row r="392" spans="2:6" ht="12.75" customHeight="1" x14ac:dyDescent="0.25">
      <c r="B392" s="412">
        <v>42863</v>
      </c>
      <c r="C392" s="413">
        <v>949.04</v>
      </c>
      <c r="D392" s="409"/>
      <c r="E392" s="409"/>
      <c r="F392" s="409"/>
    </row>
    <row r="393" spans="2:6" ht="12.75" customHeight="1" x14ac:dyDescent="0.25">
      <c r="B393" s="412">
        <v>42864</v>
      </c>
      <c r="C393" s="413">
        <v>952.82</v>
      </c>
      <c r="D393" s="409"/>
      <c r="E393" s="409"/>
      <c r="F393" s="409"/>
    </row>
    <row r="394" spans="2:6" ht="12.75" customHeight="1" x14ac:dyDescent="0.25">
      <c r="B394" s="412">
        <v>42865</v>
      </c>
      <c r="C394" s="413">
        <v>948.95</v>
      </c>
      <c r="D394" s="409"/>
      <c r="E394" s="409"/>
      <c r="F394" s="409"/>
    </row>
    <row r="395" spans="2:6" ht="12.75" customHeight="1" x14ac:dyDescent="0.25">
      <c r="B395" s="412">
        <v>42866</v>
      </c>
      <c r="C395" s="413">
        <v>947.62</v>
      </c>
      <c r="D395" s="409"/>
      <c r="E395" s="409"/>
      <c r="F395" s="409"/>
    </row>
    <row r="396" spans="2:6" ht="12.75" customHeight="1" x14ac:dyDescent="0.25">
      <c r="B396" s="412">
        <v>42867</v>
      </c>
      <c r="C396" s="413">
        <v>961.35</v>
      </c>
      <c r="D396" s="409"/>
      <c r="E396" s="409"/>
      <c r="F396" s="409"/>
    </row>
    <row r="397" spans="2:6" ht="12.75" customHeight="1" x14ac:dyDescent="0.25">
      <c r="B397" s="412">
        <v>42870</v>
      </c>
      <c r="C397" s="413">
        <v>957.97</v>
      </c>
      <c r="D397" s="409"/>
      <c r="E397" s="409"/>
      <c r="F397" s="409"/>
    </row>
    <row r="398" spans="2:6" ht="12.75" customHeight="1" x14ac:dyDescent="0.25">
      <c r="B398" s="412">
        <v>42871</v>
      </c>
      <c r="C398" s="413">
        <v>966.07</v>
      </c>
      <c r="D398" s="409"/>
      <c r="E398" s="409"/>
      <c r="F398" s="409"/>
    </row>
    <row r="399" spans="2:6" ht="12.75" customHeight="1" x14ac:dyDescent="0.25">
      <c r="B399" s="412">
        <v>42872</v>
      </c>
      <c r="C399" s="413">
        <v>944.76</v>
      </c>
      <c r="D399" s="409"/>
      <c r="E399" s="409"/>
      <c r="F399" s="409"/>
    </row>
    <row r="400" spans="2:6" ht="12.75" customHeight="1" x14ac:dyDescent="0.25">
      <c r="B400" s="412">
        <v>42873</v>
      </c>
      <c r="C400" s="413">
        <v>958.49</v>
      </c>
      <c r="D400" s="409"/>
      <c r="E400" s="409"/>
      <c r="F400" s="409"/>
    </row>
    <row r="401" spans="2:6" ht="12.75" customHeight="1" x14ac:dyDescent="0.25">
      <c r="B401" s="412">
        <v>42874</v>
      </c>
      <c r="C401" s="413">
        <v>959.84</v>
      </c>
      <c r="D401" s="409"/>
      <c r="E401" s="409"/>
      <c r="F401" s="409"/>
    </row>
    <row r="402" spans="2:6" ht="12.75" customHeight="1" x14ac:dyDescent="0.25">
      <c r="B402" s="412">
        <v>42877</v>
      </c>
      <c r="C402" s="413">
        <v>970.67</v>
      </c>
      <c r="D402" s="409"/>
      <c r="E402" s="409"/>
      <c r="F402" s="409"/>
    </row>
    <row r="403" spans="2:6" ht="12.75" customHeight="1" x14ac:dyDescent="0.25">
      <c r="B403" s="412">
        <v>42878</v>
      </c>
      <c r="C403" s="413">
        <v>971.54</v>
      </c>
      <c r="D403" s="409"/>
      <c r="E403" s="409"/>
      <c r="F403" s="409"/>
    </row>
    <row r="404" spans="2:6" ht="12.75" customHeight="1" x14ac:dyDescent="0.25">
      <c r="B404" s="412">
        <v>42879</v>
      </c>
      <c r="C404" s="413">
        <v>980.35</v>
      </c>
      <c r="D404" s="409"/>
      <c r="E404" s="409"/>
      <c r="F404" s="409"/>
    </row>
    <row r="405" spans="2:6" ht="12.75" customHeight="1" x14ac:dyDescent="0.25">
      <c r="B405" s="412">
        <v>42880</v>
      </c>
      <c r="C405" s="413">
        <v>993.38</v>
      </c>
      <c r="D405" s="409"/>
      <c r="E405" s="409"/>
      <c r="F405" s="409"/>
    </row>
    <row r="406" spans="2:6" ht="12.75" customHeight="1" x14ac:dyDescent="0.25">
      <c r="B406" s="412">
        <v>42881</v>
      </c>
      <c r="C406" s="413">
        <v>995.78</v>
      </c>
      <c r="D406" s="409"/>
      <c r="E406" s="409"/>
      <c r="F406" s="409"/>
    </row>
    <row r="407" spans="2:6" ht="12.75" customHeight="1" x14ac:dyDescent="0.25">
      <c r="B407" s="412">
        <v>42885</v>
      </c>
      <c r="C407" s="413">
        <v>996.7</v>
      </c>
      <c r="D407" s="409"/>
      <c r="E407" s="409"/>
      <c r="F407" s="409"/>
    </row>
    <row r="408" spans="2:6" ht="12.75" customHeight="1" x14ac:dyDescent="0.25">
      <c r="B408" s="412">
        <v>42886</v>
      </c>
      <c r="C408" s="413">
        <v>994.62</v>
      </c>
      <c r="D408" s="409"/>
      <c r="E408" s="409"/>
      <c r="F408" s="409"/>
    </row>
    <row r="409" spans="2:6" ht="12.75" customHeight="1" x14ac:dyDescent="0.25">
      <c r="B409" s="412">
        <v>42887</v>
      </c>
      <c r="C409" s="413">
        <v>995.95</v>
      </c>
      <c r="D409" s="409"/>
      <c r="E409" s="409"/>
      <c r="F409" s="409"/>
    </row>
    <row r="410" spans="2:6" ht="12.75" customHeight="1" x14ac:dyDescent="0.25">
      <c r="B410" s="412">
        <v>42888</v>
      </c>
      <c r="C410" s="413">
        <v>1006.73</v>
      </c>
      <c r="D410" s="409"/>
      <c r="E410" s="409"/>
      <c r="F410" s="409"/>
    </row>
    <row r="411" spans="2:6" ht="12.75" customHeight="1" x14ac:dyDescent="0.25">
      <c r="B411" s="412">
        <v>42891</v>
      </c>
      <c r="C411" s="413">
        <v>1011.34</v>
      </c>
      <c r="D411" s="409"/>
      <c r="E411" s="409"/>
      <c r="F411" s="409"/>
    </row>
    <row r="412" spans="2:6" ht="12.75" customHeight="1" x14ac:dyDescent="0.25">
      <c r="B412" s="412">
        <v>42892</v>
      </c>
      <c r="C412" s="413">
        <v>1003</v>
      </c>
      <c r="D412" s="409"/>
      <c r="E412" s="409"/>
      <c r="F412" s="409"/>
    </row>
    <row r="413" spans="2:6" ht="12.75" customHeight="1" x14ac:dyDescent="0.25">
      <c r="B413" s="412">
        <v>42893</v>
      </c>
      <c r="C413" s="413">
        <v>1010.07</v>
      </c>
      <c r="D413" s="409"/>
      <c r="E413" s="409"/>
      <c r="F413" s="409"/>
    </row>
    <row r="414" spans="2:6" ht="12.75" customHeight="1" x14ac:dyDescent="0.25">
      <c r="B414" s="412">
        <v>42894</v>
      </c>
      <c r="C414" s="413">
        <v>1010.27</v>
      </c>
      <c r="D414" s="409"/>
      <c r="E414" s="409"/>
      <c r="F414" s="409"/>
    </row>
    <row r="415" spans="2:6" ht="12.75" customHeight="1" x14ac:dyDescent="0.25">
      <c r="B415" s="412">
        <v>42895</v>
      </c>
      <c r="C415" s="413">
        <v>978.31</v>
      </c>
      <c r="D415" s="409"/>
      <c r="E415" s="409"/>
      <c r="F415" s="409"/>
    </row>
    <row r="416" spans="2:6" ht="12.75" customHeight="1" x14ac:dyDescent="0.25">
      <c r="B416" s="412">
        <v>42898</v>
      </c>
      <c r="C416" s="413">
        <v>964.91</v>
      </c>
      <c r="D416" s="409"/>
      <c r="E416" s="409"/>
      <c r="F416" s="409"/>
    </row>
    <row r="417" spans="2:6" ht="12.75" customHeight="1" x14ac:dyDescent="0.25">
      <c r="B417" s="412">
        <v>42899</v>
      </c>
      <c r="C417" s="413">
        <v>980.79</v>
      </c>
      <c r="D417" s="409"/>
      <c r="E417" s="409"/>
      <c r="F417" s="409"/>
    </row>
    <row r="418" spans="2:6" ht="12.75" customHeight="1" x14ac:dyDescent="0.25">
      <c r="B418" s="412">
        <v>42900</v>
      </c>
      <c r="C418" s="413">
        <v>976.47</v>
      </c>
      <c r="D418" s="409"/>
      <c r="E418" s="409"/>
      <c r="F418" s="409"/>
    </row>
    <row r="419" spans="2:6" ht="12.75" customHeight="1" x14ac:dyDescent="0.25">
      <c r="B419" s="412">
        <v>42901</v>
      </c>
      <c r="C419" s="413">
        <v>964.17</v>
      </c>
      <c r="D419" s="409"/>
      <c r="E419" s="409"/>
      <c r="F419" s="409"/>
    </row>
    <row r="420" spans="2:6" ht="12.75" customHeight="1" x14ac:dyDescent="0.25">
      <c r="B420" s="412">
        <v>42902</v>
      </c>
      <c r="C420" s="413">
        <v>987.71</v>
      </c>
      <c r="D420" s="409"/>
      <c r="E420" s="409"/>
      <c r="F420" s="409"/>
    </row>
    <row r="421" spans="2:6" ht="12.75" customHeight="1" x14ac:dyDescent="0.25">
      <c r="B421" s="412">
        <v>42905</v>
      </c>
      <c r="C421" s="413">
        <v>995.17</v>
      </c>
      <c r="D421" s="409"/>
      <c r="E421" s="409"/>
      <c r="F421" s="409"/>
    </row>
    <row r="422" spans="2:6" ht="12.75" customHeight="1" x14ac:dyDescent="0.25">
      <c r="B422" s="412">
        <v>42906</v>
      </c>
      <c r="C422" s="413">
        <v>992.59</v>
      </c>
      <c r="D422" s="409"/>
      <c r="E422" s="409"/>
      <c r="F422" s="409"/>
    </row>
    <row r="423" spans="2:6" ht="12.75" customHeight="1" x14ac:dyDescent="0.25">
      <c r="B423" s="412">
        <v>42907</v>
      </c>
      <c r="C423" s="413">
        <v>1002.23</v>
      </c>
      <c r="D423" s="409"/>
      <c r="E423" s="409"/>
      <c r="F423" s="409"/>
    </row>
    <row r="424" spans="2:6" ht="12.75" customHeight="1" x14ac:dyDescent="0.25">
      <c r="B424" s="412">
        <v>42908</v>
      </c>
      <c r="C424" s="413">
        <v>1001.3</v>
      </c>
      <c r="D424" s="409"/>
      <c r="E424" s="409"/>
      <c r="F424" s="409"/>
    </row>
    <row r="425" spans="2:6" ht="12.75" customHeight="1" x14ac:dyDescent="0.25">
      <c r="B425" s="412">
        <v>42909</v>
      </c>
      <c r="C425" s="413">
        <v>1003.74</v>
      </c>
      <c r="D425" s="409"/>
      <c r="E425" s="409"/>
      <c r="F425" s="409"/>
    </row>
    <row r="426" spans="2:6" ht="12.75" customHeight="1" x14ac:dyDescent="0.25">
      <c r="B426" s="412">
        <v>42912</v>
      </c>
      <c r="C426" s="413">
        <v>993.98</v>
      </c>
      <c r="D426" s="409"/>
      <c r="E426" s="409"/>
      <c r="F426" s="409"/>
    </row>
    <row r="427" spans="2:6" ht="12.75" customHeight="1" x14ac:dyDescent="0.25">
      <c r="B427" s="412">
        <v>42913</v>
      </c>
      <c r="C427" s="413">
        <v>976.78</v>
      </c>
      <c r="D427" s="409"/>
      <c r="E427" s="409"/>
      <c r="F427" s="409"/>
    </row>
    <row r="428" spans="2:6" ht="12.75" customHeight="1" x14ac:dyDescent="0.25">
      <c r="B428" s="412">
        <v>42914</v>
      </c>
      <c r="C428" s="413">
        <v>990.33</v>
      </c>
      <c r="D428" s="409"/>
      <c r="E428" s="409"/>
      <c r="F428" s="409"/>
    </row>
    <row r="429" spans="2:6" ht="12.75" customHeight="1" x14ac:dyDescent="0.25">
      <c r="B429" s="412">
        <v>42915</v>
      </c>
      <c r="C429" s="413">
        <v>975.93</v>
      </c>
      <c r="D429" s="409"/>
      <c r="E429" s="409"/>
      <c r="F429" s="409"/>
    </row>
    <row r="430" spans="2:6" ht="12.75" customHeight="1" x14ac:dyDescent="0.25">
      <c r="B430" s="412">
        <v>42916</v>
      </c>
      <c r="C430" s="413">
        <v>968</v>
      </c>
      <c r="D430" s="409"/>
      <c r="E430" s="409"/>
      <c r="F430" s="409"/>
    </row>
    <row r="431" spans="2:6" ht="12.75" customHeight="1" x14ac:dyDescent="0.25">
      <c r="B431" s="412">
        <v>42919</v>
      </c>
      <c r="C431" s="413">
        <v>953.66</v>
      </c>
      <c r="D431" s="409"/>
      <c r="E431" s="409"/>
      <c r="F431" s="409"/>
    </row>
    <row r="432" spans="2:6" ht="12.75" customHeight="1" x14ac:dyDescent="0.25">
      <c r="B432" s="412">
        <v>42921</v>
      </c>
      <c r="C432" s="413">
        <v>971.4</v>
      </c>
      <c r="D432" s="409"/>
      <c r="E432" s="409"/>
      <c r="F432" s="409"/>
    </row>
    <row r="433" spans="2:6" ht="12.75" customHeight="1" x14ac:dyDescent="0.25">
      <c r="B433" s="412">
        <v>42922</v>
      </c>
      <c r="C433" s="413">
        <v>965.14</v>
      </c>
      <c r="D433" s="409"/>
      <c r="E433" s="409"/>
      <c r="F433" s="409"/>
    </row>
    <row r="434" spans="2:6" ht="12.75" customHeight="1" x14ac:dyDescent="0.25">
      <c r="B434" s="412">
        <v>42923</v>
      </c>
      <c r="C434" s="413">
        <v>978.76</v>
      </c>
      <c r="D434" s="409"/>
      <c r="E434" s="409"/>
      <c r="F434" s="409"/>
    </row>
    <row r="435" spans="2:6" ht="12.75" customHeight="1" x14ac:dyDescent="0.25">
      <c r="B435" s="412">
        <v>42926</v>
      </c>
      <c r="C435" s="413">
        <v>996.47</v>
      </c>
      <c r="D435" s="409"/>
      <c r="E435" s="409"/>
      <c r="F435" s="409"/>
    </row>
    <row r="436" spans="2:6" ht="12.75" customHeight="1" x14ac:dyDescent="0.25">
      <c r="B436" s="412">
        <v>42927</v>
      </c>
      <c r="C436" s="413">
        <v>994.13</v>
      </c>
      <c r="D436" s="409"/>
      <c r="E436" s="409"/>
      <c r="F436" s="409"/>
    </row>
    <row r="437" spans="2:6" ht="12.75" customHeight="1" x14ac:dyDescent="0.25">
      <c r="B437" s="412">
        <v>42928</v>
      </c>
      <c r="C437" s="413">
        <v>1006.51</v>
      </c>
      <c r="D437" s="409"/>
      <c r="E437" s="409"/>
      <c r="F437" s="409"/>
    </row>
    <row r="438" spans="2:6" ht="12.75" customHeight="1" x14ac:dyDescent="0.25">
      <c r="B438" s="412">
        <v>42929</v>
      </c>
      <c r="C438" s="413">
        <v>1000.63</v>
      </c>
      <c r="D438" s="409"/>
      <c r="E438" s="409"/>
      <c r="F438" s="409"/>
    </row>
    <row r="439" spans="2:6" ht="12.75" customHeight="1" x14ac:dyDescent="0.25">
      <c r="B439" s="412">
        <v>42930</v>
      </c>
      <c r="C439" s="413">
        <v>1001.81</v>
      </c>
      <c r="D439" s="409"/>
      <c r="E439" s="409"/>
      <c r="F439" s="409"/>
    </row>
    <row r="440" spans="2:6" ht="12.75" customHeight="1" x14ac:dyDescent="0.25">
      <c r="B440" s="412">
        <v>42933</v>
      </c>
      <c r="C440" s="413">
        <v>1010.04</v>
      </c>
      <c r="D440" s="409"/>
      <c r="E440" s="409"/>
      <c r="F440" s="409"/>
    </row>
    <row r="441" spans="2:6" ht="12.75" customHeight="1" x14ac:dyDescent="0.25">
      <c r="B441" s="412">
        <v>42934</v>
      </c>
      <c r="C441" s="413">
        <v>1024.45</v>
      </c>
      <c r="D441" s="409"/>
      <c r="E441" s="409"/>
      <c r="F441" s="409"/>
    </row>
    <row r="442" spans="2:6" ht="12.75" customHeight="1" x14ac:dyDescent="0.25">
      <c r="B442" s="412">
        <v>42935</v>
      </c>
      <c r="C442" s="413">
        <v>1026.8699999999999</v>
      </c>
      <c r="D442" s="409"/>
      <c r="E442" s="409"/>
      <c r="F442" s="409"/>
    </row>
    <row r="443" spans="2:6" ht="12.75" customHeight="1" x14ac:dyDescent="0.25">
      <c r="B443" s="412">
        <v>42936</v>
      </c>
      <c r="C443" s="413">
        <v>1028.7</v>
      </c>
      <c r="D443" s="409"/>
      <c r="E443" s="409"/>
      <c r="F443" s="409"/>
    </row>
    <row r="444" spans="2:6" ht="12.75" customHeight="1" x14ac:dyDescent="0.25">
      <c r="B444" s="412">
        <v>42937</v>
      </c>
      <c r="C444" s="413">
        <v>1025.67</v>
      </c>
      <c r="D444" s="409"/>
      <c r="E444" s="409"/>
      <c r="F444" s="409"/>
    </row>
    <row r="445" spans="2:6" ht="12.75" customHeight="1" x14ac:dyDescent="0.25">
      <c r="B445" s="412">
        <v>42940</v>
      </c>
      <c r="C445" s="413">
        <v>1038.95</v>
      </c>
      <c r="D445" s="409"/>
      <c r="E445" s="409"/>
      <c r="F445" s="409"/>
    </row>
    <row r="446" spans="2:6" ht="12.75" customHeight="1" x14ac:dyDescent="0.25">
      <c r="B446" s="412">
        <v>42941</v>
      </c>
      <c r="C446" s="413">
        <v>1039.8699999999999</v>
      </c>
      <c r="D446" s="409"/>
      <c r="E446" s="409"/>
      <c r="F446" s="409"/>
    </row>
    <row r="447" spans="2:6" ht="12.75" customHeight="1" x14ac:dyDescent="0.25">
      <c r="B447" s="412">
        <v>42942</v>
      </c>
      <c r="C447" s="413">
        <v>1052.8</v>
      </c>
      <c r="D447" s="409"/>
      <c r="E447" s="409"/>
      <c r="F447" s="409"/>
    </row>
    <row r="448" spans="2:6" ht="12.75" customHeight="1" x14ac:dyDescent="0.25">
      <c r="B448" s="412">
        <v>42943</v>
      </c>
      <c r="C448" s="413">
        <v>1046</v>
      </c>
      <c r="D448" s="409"/>
      <c r="E448" s="409"/>
      <c r="F448" s="409"/>
    </row>
    <row r="449" spans="2:6" ht="12.75" customHeight="1" x14ac:dyDescent="0.25">
      <c r="B449" s="412">
        <v>42944</v>
      </c>
      <c r="C449" s="413">
        <v>1020.04</v>
      </c>
      <c r="D449" s="409"/>
      <c r="E449" s="409"/>
      <c r="F449" s="409"/>
    </row>
    <row r="450" spans="2:6" ht="12.75" customHeight="1" x14ac:dyDescent="0.25">
      <c r="B450" s="412">
        <v>42947</v>
      </c>
      <c r="C450" s="413">
        <v>987.78</v>
      </c>
      <c r="D450" s="409"/>
      <c r="E450" s="409"/>
      <c r="F450" s="409"/>
    </row>
    <row r="451" spans="2:6" ht="12.75" customHeight="1" x14ac:dyDescent="0.25">
      <c r="B451" s="412">
        <v>42948</v>
      </c>
      <c r="C451" s="413">
        <v>996.19</v>
      </c>
      <c r="D451" s="409"/>
      <c r="E451" s="409"/>
      <c r="F451" s="409"/>
    </row>
    <row r="452" spans="2:6" ht="12.75" customHeight="1" x14ac:dyDescent="0.25">
      <c r="B452" s="412">
        <v>42949</v>
      </c>
      <c r="C452" s="413">
        <v>995.89</v>
      </c>
      <c r="D452" s="409"/>
      <c r="E452" s="409"/>
      <c r="F452" s="409"/>
    </row>
    <row r="453" spans="2:6" ht="12.75" customHeight="1" x14ac:dyDescent="0.25">
      <c r="B453" s="412">
        <v>42950</v>
      </c>
      <c r="C453" s="413">
        <v>986.92</v>
      </c>
      <c r="D453" s="409"/>
      <c r="E453" s="409"/>
      <c r="F453" s="409"/>
    </row>
    <row r="454" spans="2:6" ht="12.75" customHeight="1" x14ac:dyDescent="0.25">
      <c r="B454" s="412">
        <v>42951</v>
      </c>
      <c r="C454" s="413">
        <v>987.58</v>
      </c>
      <c r="D454" s="409"/>
      <c r="E454" s="409"/>
      <c r="F454" s="409"/>
    </row>
    <row r="455" spans="2:6" ht="12.75" customHeight="1" x14ac:dyDescent="0.25">
      <c r="B455" s="412">
        <v>42954</v>
      </c>
      <c r="C455" s="413">
        <v>992.27</v>
      </c>
      <c r="D455" s="409"/>
      <c r="E455" s="409"/>
      <c r="F455" s="409"/>
    </row>
    <row r="456" spans="2:6" ht="12.75" customHeight="1" x14ac:dyDescent="0.25">
      <c r="B456" s="412">
        <v>42955</v>
      </c>
      <c r="C456" s="413">
        <v>989.84</v>
      </c>
      <c r="D456" s="409"/>
      <c r="E456" s="409"/>
      <c r="F456" s="409"/>
    </row>
    <row r="457" spans="2:6" ht="12.75" customHeight="1" x14ac:dyDescent="0.25">
      <c r="B457" s="412">
        <v>42956</v>
      </c>
      <c r="C457" s="413">
        <v>982.01</v>
      </c>
      <c r="D457" s="409"/>
      <c r="E457" s="409"/>
      <c r="F457" s="409"/>
    </row>
    <row r="458" spans="2:6" ht="12.75" customHeight="1" x14ac:dyDescent="0.25">
      <c r="B458" s="412">
        <v>42957</v>
      </c>
      <c r="C458" s="413">
        <v>956.92</v>
      </c>
      <c r="D458" s="409"/>
      <c r="E458" s="409"/>
      <c r="F458" s="409"/>
    </row>
    <row r="459" spans="2:6" ht="12.75" customHeight="1" x14ac:dyDescent="0.25">
      <c r="B459" s="412">
        <v>42958</v>
      </c>
      <c r="C459" s="413">
        <v>967.99</v>
      </c>
      <c r="D459" s="409"/>
      <c r="E459" s="409"/>
      <c r="F459" s="409"/>
    </row>
    <row r="460" spans="2:6" ht="12.75" customHeight="1" x14ac:dyDescent="0.25">
      <c r="B460" s="412">
        <v>42961</v>
      </c>
      <c r="C460" s="413">
        <v>983.3</v>
      </c>
      <c r="D460" s="409"/>
      <c r="E460" s="409"/>
      <c r="F460" s="409"/>
    </row>
    <row r="461" spans="2:6" ht="12.75" customHeight="1" x14ac:dyDescent="0.25">
      <c r="B461" s="412">
        <v>42962</v>
      </c>
      <c r="C461" s="413">
        <v>982.74</v>
      </c>
      <c r="D461" s="409"/>
      <c r="E461" s="409"/>
      <c r="F461" s="409"/>
    </row>
    <row r="462" spans="2:6" ht="12.75" customHeight="1" x14ac:dyDescent="0.25">
      <c r="B462" s="412">
        <v>42963</v>
      </c>
      <c r="C462" s="413">
        <v>978.18</v>
      </c>
      <c r="D462" s="409"/>
      <c r="E462" s="409"/>
      <c r="F462" s="409"/>
    </row>
    <row r="463" spans="2:6" ht="12.75" customHeight="1" x14ac:dyDescent="0.25">
      <c r="B463" s="412">
        <v>42964</v>
      </c>
      <c r="C463" s="413">
        <v>960.57</v>
      </c>
      <c r="D463" s="409"/>
      <c r="E463" s="409"/>
      <c r="F463" s="409"/>
    </row>
    <row r="464" spans="2:6" ht="12.75" customHeight="1" x14ac:dyDescent="0.25">
      <c r="B464" s="412">
        <v>42965</v>
      </c>
      <c r="C464" s="413">
        <v>958.47</v>
      </c>
      <c r="D464" s="409"/>
      <c r="E464" s="409"/>
      <c r="F464" s="409"/>
    </row>
    <row r="465" spans="2:6" ht="12.75" customHeight="1" x14ac:dyDescent="0.25">
      <c r="B465" s="412">
        <v>42968</v>
      </c>
      <c r="C465" s="413">
        <v>953.29</v>
      </c>
      <c r="D465" s="409"/>
      <c r="E465" s="409"/>
      <c r="F465" s="409"/>
    </row>
    <row r="466" spans="2:6" ht="12.75" customHeight="1" x14ac:dyDescent="0.25">
      <c r="B466" s="412">
        <v>42969</v>
      </c>
      <c r="C466" s="413">
        <v>966.9</v>
      </c>
      <c r="D466" s="409"/>
      <c r="E466" s="409"/>
      <c r="F466" s="409"/>
    </row>
    <row r="467" spans="2:6" ht="12.75" customHeight="1" x14ac:dyDescent="0.25">
      <c r="B467" s="412">
        <v>42970</v>
      </c>
      <c r="C467" s="413">
        <v>958</v>
      </c>
      <c r="D467" s="409"/>
      <c r="E467" s="409"/>
      <c r="F467" s="409"/>
    </row>
    <row r="468" spans="2:6" ht="12.75" customHeight="1" x14ac:dyDescent="0.25">
      <c r="B468" s="412">
        <v>42971</v>
      </c>
      <c r="C468" s="413">
        <v>952.45</v>
      </c>
      <c r="D468" s="409"/>
      <c r="E468" s="409"/>
      <c r="F468" s="409"/>
    </row>
    <row r="469" spans="2:6" ht="12.75" customHeight="1" x14ac:dyDescent="0.25">
      <c r="B469" s="412">
        <v>42972</v>
      </c>
      <c r="C469" s="413">
        <v>945.26</v>
      </c>
      <c r="D469" s="409"/>
      <c r="E469" s="409"/>
      <c r="F469" s="409"/>
    </row>
    <row r="470" spans="2:6" ht="12.75" customHeight="1" x14ac:dyDescent="0.25">
      <c r="B470" s="412">
        <v>42975</v>
      </c>
      <c r="C470" s="413">
        <v>946.02</v>
      </c>
      <c r="D470" s="409"/>
      <c r="E470" s="409"/>
      <c r="F470" s="409"/>
    </row>
    <row r="471" spans="2:6" ht="12.75" customHeight="1" x14ac:dyDescent="0.25">
      <c r="B471" s="412">
        <v>42976</v>
      </c>
      <c r="C471" s="413">
        <v>954.06</v>
      </c>
      <c r="D471" s="409"/>
      <c r="E471" s="409"/>
      <c r="F471" s="409"/>
    </row>
    <row r="472" spans="2:6" ht="12.75" customHeight="1" x14ac:dyDescent="0.25">
      <c r="B472" s="412">
        <v>42977</v>
      </c>
      <c r="C472" s="413">
        <v>967.59</v>
      </c>
      <c r="D472" s="409"/>
      <c r="E472" s="409"/>
      <c r="F472" s="409"/>
    </row>
    <row r="473" spans="2:6" ht="12.75" customHeight="1" x14ac:dyDescent="0.25">
      <c r="B473" s="412">
        <v>42978</v>
      </c>
      <c r="C473" s="413">
        <v>980.6</v>
      </c>
      <c r="D473" s="409"/>
      <c r="E473" s="409"/>
      <c r="F473" s="409"/>
    </row>
    <row r="474" spans="2:6" ht="12.75" customHeight="1" x14ac:dyDescent="0.25">
      <c r="B474" s="412">
        <v>42979</v>
      </c>
      <c r="C474" s="413">
        <v>978.25</v>
      </c>
      <c r="D474" s="409"/>
      <c r="E474" s="409"/>
      <c r="F474" s="409"/>
    </row>
    <row r="475" spans="2:6" ht="12.75" customHeight="1" x14ac:dyDescent="0.25">
      <c r="B475" s="412">
        <v>42983</v>
      </c>
      <c r="C475" s="413">
        <v>965.27</v>
      </c>
      <c r="D475" s="409"/>
      <c r="E475" s="409"/>
      <c r="F475" s="409"/>
    </row>
    <row r="476" spans="2:6" ht="12.75" customHeight="1" x14ac:dyDescent="0.25">
      <c r="B476" s="412">
        <v>42984</v>
      </c>
      <c r="C476" s="413">
        <v>967.8</v>
      </c>
      <c r="D476" s="409"/>
      <c r="E476" s="409"/>
      <c r="F476" s="409"/>
    </row>
    <row r="477" spans="2:6" ht="12.75" customHeight="1" x14ac:dyDescent="0.25">
      <c r="B477" s="412">
        <v>42985</v>
      </c>
      <c r="C477" s="413">
        <v>979.47</v>
      </c>
      <c r="D477" s="409"/>
      <c r="E477" s="409"/>
      <c r="F477" s="409"/>
    </row>
    <row r="478" spans="2:6" ht="12.75" customHeight="1" x14ac:dyDescent="0.25">
      <c r="B478" s="412">
        <v>42986</v>
      </c>
      <c r="C478" s="413">
        <v>965.9</v>
      </c>
      <c r="D478" s="409"/>
      <c r="E478" s="409"/>
      <c r="F478" s="409"/>
    </row>
    <row r="479" spans="2:6" ht="12.75" customHeight="1" x14ac:dyDescent="0.25">
      <c r="B479" s="412">
        <v>42989</v>
      </c>
      <c r="C479" s="413">
        <v>977.96</v>
      </c>
      <c r="D479" s="409"/>
      <c r="E479" s="409"/>
      <c r="F479" s="409"/>
    </row>
    <row r="480" spans="2:6" ht="12.75" customHeight="1" x14ac:dyDescent="0.25">
      <c r="B480" s="412">
        <v>42990</v>
      </c>
      <c r="C480" s="413">
        <v>982.58</v>
      </c>
      <c r="D480" s="409"/>
      <c r="E480" s="409"/>
      <c r="F480" s="409"/>
    </row>
    <row r="481" spans="2:6" ht="12.75" customHeight="1" x14ac:dyDescent="0.25">
      <c r="B481" s="412">
        <v>42991</v>
      </c>
      <c r="C481" s="413">
        <v>999.6</v>
      </c>
      <c r="D481" s="409"/>
      <c r="E481" s="409"/>
      <c r="F481" s="409"/>
    </row>
    <row r="482" spans="2:6" ht="12.75" customHeight="1" x14ac:dyDescent="0.25">
      <c r="B482" s="412">
        <v>42992</v>
      </c>
      <c r="C482" s="413">
        <v>992.21</v>
      </c>
      <c r="D482" s="409"/>
      <c r="E482" s="409"/>
      <c r="F482" s="409"/>
    </row>
    <row r="483" spans="2:6" ht="12.75" customHeight="1" x14ac:dyDescent="0.25">
      <c r="B483" s="412">
        <v>42993</v>
      </c>
      <c r="C483" s="413">
        <v>986.79</v>
      </c>
      <c r="D483" s="409"/>
      <c r="E483" s="409"/>
      <c r="F483" s="409"/>
    </row>
    <row r="484" spans="2:6" ht="12.75" customHeight="1" x14ac:dyDescent="0.25">
      <c r="B484" s="412">
        <v>42996</v>
      </c>
      <c r="C484" s="413">
        <v>974.19</v>
      </c>
      <c r="D484" s="409"/>
      <c r="E484" s="409"/>
      <c r="F484" s="409"/>
    </row>
    <row r="485" spans="2:6" ht="12.75" customHeight="1" x14ac:dyDescent="0.25">
      <c r="B485" s="412">
        <v>42997</v>
      </c>
      <c r="C485" s="413">
        <v>969.86</v>
      </c>
      <c r="D485" s="409"/>
      <c r="E485" s="409"/>
      <c r="F485" s="409"/>
    </row>
    <row r="486" spans="2:6" ht="12.75" customHeight="1" x14ac:dyDescent="0.25">
      <c r="B486" s="412">
        <v>42998</v>
      </c>
      <c r="C486" s="413">
        <v>973.21</v>
      </c>
      <c r="D486" s="409"/>
      <c r="E486" s="409"/>
      <c r="F486" s="409"/>
    </row>
    <row r="487" spans="2:6" ht="12.75" customHeight="1" x14ac:dyDescent="0.25">
      <c r="B487" s="412">
        <v>42999</v>
      </c>
      <c r="C487" s="413">
        <v>964.65</v>
      </c>
      <c r="D487" s="409"/>
      <c r="E487" s="409"/>
      <c r="F487" s="409"/>
    </row>
    <row r="488" spans="2:6" ht="12.75" customHeight="1" x14ac:dyDescent="0.25">
      <c r="B488" s="412">
        <v>43000</v>
      </c>
      <c r="C488" s="413">
        <v>955.1</v>
      </c>
      <c r="D488" s="409"/>
      <c r="E488" s="409"/>
      <c r="F488" s="409"/>
    </row>
    <row r="489" spans="2:6" ht="12.75" customHeight="1" x14ac:dyDescent="0.25">
      <c r="B489" s="412">
        <v>43003</v>
      </c>
      <c r="C489" s="413">
        <v>939.79</v>
      </c>
      <c r="D489" s="409"/>
      <c r="E489" s="409"/>
      <c r="F489" s="409"/>
    </row>
    <row r="490" spans="2:6" ht="12.75" customHeight="1" x14ac:dyDescent="0.25">
      <c r="B490" s="412">
        <v>43004</v>
      </c>
      <c r="C490" s="413">
        <v>938.6</v>
      </c>
      <c r="D490" s="409"/>
      <c r="E490" s="409"/>
      <c r="F490" s="409"/>
    </row>
    <row r="491" spans="2:6" ht="12.75" customHeight="1" x14ac:dyDescent="0.25">
      <c r="B491" s="412">
        <v>43005</v>
      </c>
      <c r="C491" s="413">
        <v>950.87</v>
      </c>
      <c r="D491" s="409"/>
      <c r="E491" s="409"/>
      <c r="F491" s="409"/>
    </row>
    <row r="492" spans="2:6" ht="12.75" customHeight="1" x14ac:dyDescent="0.25">
      <c r="B492" s="412">
        <v>43006</v>
      </c>
      <c r="C492" s="413">
        <v>956.4</v>
      </c>
      <c r="D492" s="409"/>
      <c r="E492" s="409"/>
      <c r="F492" s="409"/>
    </row>
    <row r="493" spans="2:6" ht="12.75" customHeight="1" x14ac:dyDescent="0.25">
      <c r="B493" s="412">
        <v>43007</v>
      </c>
      <c r="C493" s="413">
        <v>961.35</v>
      </c>
      <c r="D493" s="409"/>
      <c r="E493" s="409"/>
      <c r="F493" s="409"/>
    </row>
    <row r="494" spans="2:6" ht="12.75" customHeight="1" x14ac:dyDescent="0.25">
      <c r="B494" s="412">
        <v>43010</v>
      </c>
      <c r="C494" s="413">
        <v>959.19</v>
      </c>
      <c r="D494" s="409"/>
      <c r="E494" s="409"/>
      <c r="F494" s="409"/>
    </row>
    <row r="495" spans="2:6" ht="12.75" customHeight="1" x14ac:dyDescent="0.25">
      <c r="B495" s="412">
        <v>43011</v>
      </c>
      <c r="C495" s="413">
        <v>957.1</v>
      </c>
      <c r="D495" s="409"/>
      <c r="E495" s="409"/>
      <c r="F495" s="409"/>
    </row>
    <row r="496" spans="2:6" ht="12.75" customHeight="1" x14ac:dyDescent="0.25">
      <c r="B496" s="412">
        <v>43012</v>
      </c>
      <c r="C496" s="413">
        <v>965.45</v>
      </c>
      <c r="D496" s="409"/>
      <c r="E496" s="409"/>
      <c r="F496" s="409"/>
    </row>
    <row r="497" spans="2:6" ht="12.75" customHeight="1" x14ac:dyDescent="0.25">
      <c r="B497" s="412">
        <v>43013</v>
      </c>
      <c r="C497" s="413">
        <v>980.85</v>
      </c>
      <c r="D497" s="409"/>
      <c r="E497" s="409"/>
      <c r="F497" s="409"/>
    </row>
    <row r="498" spans="2:6" ht="12.75" customHeight="1" x14ac:dyDescent="0.25">
      <c r="B498" s="412">
        <v>43014</v>
      </c>
      <c r="C498" s="413">
        <v>989.58</v>
      </c>
      <c r="D498" s="409"/>
      <c r="E498" s="409"/>
      <c r="F498" s="409"/>
    </row>
    <row r="499" spans="2:6" ht="12.75" customHeight="1" x14ac:dyDescent="0.25">
      <c r="B499" s="412">
        <v>43017</v>
      </c>
      <c r="C499" s="413">
        <v>990.99</v>
      </c>
      <c r="D499" s="409"/>
      <c r="E499" s="409"/>
      <c r="F499" s="409"/>
    </row>
    <row r="500" spans="2:6" ht="12.75" customHeight="1" x14ac:dyDescent="0.25">
      <c r="B500" s="412">
        <v>43018</v>
      </c>
      <c r="C500" s="413">
        <v>987.2</v>
      </c>
      <c r="D500" s="409"/>
      <c r="E500" s="409"/>
      <c r="F500" s="409"/>
    </row>
    <row r="501" spans="2:6" ht="12.75" customHeight="1" x14ac:dyDescent="0.25">
      <c r="B501" s="412">
        <v>43019</v>
      </c>
      <c r="C501" s="413">
        <v>995</v>
      </c>
      <c r="D501" s="409"/>
      <c r="E501" s="409"/>
      <c r="F501" s="409"/>
    </row>
    <row r="502" spans="2:6" ht="12.75" customHeight="1" x14ac:dyDescent="0.25">
      <c r="B502" s="412">
        <v>43020</v>
      </c>
      <c r="C502" s="413">
        <v>1000.93</v>
      </c>
      <c r="D502" s="409"/>
      <c r="E502" s="409"/>
      <c r="F502" s="409"/>
    </row>
    <row r="503" spans="2:6" ht="12.75" customHeight="1" x14ac:dyDescent="0.25">
      <c r="B503" s="412">
        <v>43021</v>
      </c>
      <c r="C503" s="413">
        <v>1002.94</v>
      </c>
      <c r="D503" s="409"/>
      <c r="E503" s="409"/>
      <c r="F503" s="409"/>
    </row>
    <row r="504" spans="2:6" ht="12.75" customHeight="1" x14ac:dyDescent="0.25">
      <c r="B504" s="412">
        <v>43024</v>
      </c>
      <c r="C504" s="413">
        <v>1006.34</v>
      </c>
      <c r="D504" s="409"/>
      <c r="E504" s="409"/>
      <c r="F504" s="409"/>
    </row>
    <row r="505" spans="2:6" ht="12.75" customHeight="1" x14ac:dyDescent="0.25">
      <c r="B505" s="412">
        <v>43025</v>
      </c>
      <c r="C505" s="413">
        <v>1009.13</v>
      </c>
      <c r="D505" s="409"/>
      <c r="E505" s="409"/>
      <c r="F505" s="409"/>
    </row>
    <row r="506" spans="2:6" ht="12.75" customHeight="1" x14ac:dyDescent="0.25">
      <c r="B506" s="412">
        <v>43026</v>
      </c>
      <c r="C506" s="413">
        <v>997</v>
      </c>
      <c r="D506" s="409"/>
      <c r="E506" s="409"/>
      <c r="F506" s="409"/>
    </row>
    <row r="507" spans="2:6" ht="12.75" customHeight="1" x14ac:dyDescent="0.25">
      <c r="B507" s="412">
        <v>43027</v>
      </c>
      <c r="C507" s="413">
        <v>986.61</v>
      </c>
      <c r="D507" s="409"/>
      <c r="E507" s="409"/>
      <c r="F507" s="409"/>
    </row>
    <row r="508" spans="2:6" ht="12.75" customHeight="1" x14ac:dyDescent="0.25">
      <c r="B508" s="412">
        <v>43028</v>
      </c>
      <c r="C508" s="413">
        <v>982.91</v>
      </c>
      <c r="D508" s="409"/>
      <c r="E508" s="409"/>
      <c r="F508" s="409"/>
    </row>
    <row r="509" spans="2:6" ht="12.75" customHeight="1" x14ac:dyDescent="0.25">
      <c r="B509" s="412">
        <v>43031</v>
      </c>
      <c r="C509" s="413">
        <v>966.3</v>
      </c>
      <c r="D509" s="409"/>
      <c r="E509" s="409"/>
      <c r="F509" s="409"/>
    </row>
    <row r="510" spans="2:6" ht="12.75" customHeight="1" x14ac:dyDescent="0.25">
      <c r="B510" s="412">
        <v>43032</v>
      </c>
      <c r="C510" s="413">
        <v>975.9</v>
      </c>
      <c r="D510" s="409"/>
      <c r="E510" s="409"/>
      <c r="F510" s="409"/>
    </row>
    <row r="511" spans="2:6" ht="12.75" customHeight="1" x14ac:dyDescent="0.25">
      <c r="B511" s="412">
        <v>43033</v>
      </c>
      <c r="C511" s="413">
        <v>972.91</v>
      </c>
      <c r="D511" s="409"/>
      <c r="E511" s="409"/>
      <c r="F511" s="409"/>
    </row>
    <row r="512" spans="2:6" ht="12.75" customHeight="1" x14ac:dyDescent="0.25">
      <c r="B512" s="412">
        <v>43034</v>
      </c>
      <c r="C512" s="413">
        <v>972.43</v>
      </c>
      <c r="D512" s="409"/>
      <c r="E512" s="409"/>
      <c r="F512" s="409"/>
    </row>
    <row r="513" spans="2:6" ht="12.75" customHeight="1" x14ac:dyDescent="0.25">
      <c r="B513" s="412">
        <v>43035</v>
      </c>
      <c r="C513" s="413">
        <v>1100.95</v>
      </c>
      <c r="D513" s="409"/>
      <c r="E513" s="409"/>
      <c r="F513" s="409"/>
    </row>
    <row r="514" spans="2:6" ht="12.75" customHeight="1" x14ac:dyDescent="0.25">
      <c r="B514" s="412">
        <v>43038</v>
      </c>
      <c r="C514" s="413">
        <v>1110.8499999999999</v>
      </c>
      <c r="D514" s="409"/>
      <c r="E514" s="409"/>
      <c r="F514" s="409"/>
    </row>
    <row r="515" spans="2:6" ht="12.75" customHeight="1" x14ac:dyDescent="0.25">
      <c r="B515" s="412">
        <v>43039</v>
      </c>
      <c r="C515" s="413">
        <v>1105.28</v>
      </c>
      <c r="D515" s="409"/>
      <c r="E515" s="409"/>
      <c r="F515" s="409"/>
    </row>
    <row r="516" spans="2:6" ht="12.75" customHeight="1" x14ac:dyDescent="0.25">
      <c r="B516" s="412">
        <v>43040</v>
      </c>
      <c r="C516" s="413">
        <v>1103.68</v>
      </c>
      <c r="D516" s="409"/>
      <c r="E516" s="409"/>
      <c r="F516" s="409"/>
    </row>
    <row r="517" spans="2:6" ht="12.75" customHeight="1" x14ac:dyDescent="0.25">
      <c r="B517" s="412">
        <v>43041</v>
      </c>
      <c r="C517" s="413">
        <v>1094.22</v>
      </c>
      <c r="D517" s="409"/>
      <c r="E517" s="409"/>
      <c r="F517" s="409"/>
    </row>
    <row r="518" spans="2:6" ht="12.75" customHeight="1" x14ac:dyDescent="0.25">
      <c r="B518" s="412">
        <v>43042</v>
      </c>
      <c r="C518" s="413">
        <v>1111.5999999999999</v>
      </c>
      <c r="D518" s="409"/>
      <c r="E518" s="409"/>
      <c r="F518" s="409"/>
    </row>
    <row r="519" spans="2:6" ht="12.75" customHeight="1" x14ac:dyDescent="0.25">
      <c r="B519" s="412">
        <v>43045</v>
      </c>
      <c r="C519" s="413">
        <v>1120.6600000000001</v>
      </c>
      <c r="D519" s="409"/>
      <c r="E519" s="409"/>
      <c r="F519" s="409"/>
    </row>
    <row r="520" spans="2:6" ht="12.75" customHeight="1" x14ac:dyDescent="0.25">
      <c r="B520" s="412">
        <v>43046</v>
      </c>
      <c r="C520" s="413">
        <v>1123.17</v>
      </c>
      <c r="D520" s="409"/>
      <c r="E520" s="409"/>
      <c r="F520" s="409"/>
    </row>
    <row r="521" spans="2:6" ht="12.75" customHeight="1" x14ac:dyDescent="0.25">
      <c r="B521" s="412">
        <v>43047</v>
      </c>
      <c r="C521" s="413">
        <v>1132.8800000000001</v>
      </c>
      <c r="D521" s="409"/>
      <c r="E521" s="409"/>
      <c r="F521" s="409"/>
    </row>
    <row r="522" spans="2:6" ht="12.75" customHeight="1" x14ac:dyDescent="0.25">
      <c r="B522" s="412">
        <v>43048</v>
      </c>
      <c r="C522" s="413">
        <v>1129.1300000000001</v>
      </c>
      <c r="D522" s="409"/>
      <c r="E522" s="409"/>
      <c r="F522" s="409"/>
    </row>
    <row r="523" spans="2:6" ht="12.75" customHeight="1" x14ac:dyDescent="0.25">
      <c r="B523" s="412">
        <v>43049</v>
      </c>
      <c r="C523" s="413">
        <v>1125.3499999999999</v>
      </c>
      <c r="D523" s="409"/>
      <c r="E523" s="409"/>
      <c r="F523" s="409"/>
    </row>
    <row r="524" spans="2:6" ht="12.75" customHeight="1" x14ac:dyDescent="0.25">
      <c r="B524" s="412">
        <v>43052</v>
      </c>
      <c r="C524" s="413">
        <v>1129.17</v>
      </c>
      <c r="D524" s="409"/>
      <c r="E524" s="409"/>
      <c r="F524" s="409"/>
    </row>
    <row r="525" spans="2:6" ht="12.75" customHeight="1" x14ac:dyDescent="0.25">
      <c r="B525" s="412">
        <v>43053</v>
      </c>
      <c r="C525" s="413">
        <v>1136.8399999999999</v>
      </c>
      <c r="D525" s="409"/>
      <c r="E525" s="409"/>
      <c r="F525" s="409"/>
    </row>
    <row r="526" spans="2:6" ht="12.75" customHeight="1" x14ac:dyDescent="0.25">
      <c r="B526" s="412">
        <v>43054</v>
      </c>
      <c r="C526" s="413">
        <v>1126.69</v>
      </c>
      <c r="D526" s="409"/>
      <c r="E526" s="409"/>
      <c r="F526" s="409"/>
    </row>
    <row r="527" spans="2:6" ht="12.75" customHeight="1" x14ac:dyDescent="0.25">
      <c r="B527" s="412">
        <v>43055</v>
      </c>
      <c r="C527" s="413">
        <v>1137.29</v>
      </c>
      <c r="D527" s="409"/>
      <c r="E527" s="409"/>
      <c r="F527" s="409"/>
    </row>
    <row r="528" spans="2:6" ht="12.75" customHeight="1" x14ac:dyDescent="0.25">
      <c r="B528" s="412">
        <v>43056</v>
      </c>
      <c r="C528" s="413">
        <v>1129.8800000000001</v>
      </c>
      <c r="D528" s="409"/>
      <c r="E528" s="409"/>
      <c r="F528" s="409"/>
    </row>
    <row r="529" spans="2:6" ht="12.75" customHeight="1" x14ac:dyDescent="0.25">
      <c r="B529" s="412">
        <v>43059</v>
      </c>
      <c r="C529" s="413">
        <v>1126.31</v>
      </c>
      <c r="D529" s="409"/>
      <c r="E529" s="409"/>
      <c r="F529" s="409"/>
    </row>
    <row r="530" spans="2:6" ht="12.75" customHeight="1" x14ac:dyDescent="0.25">
      <c r="B530" s="412">
        <v>43060</v>
      </c>
      <c r="C530" s="413">
        <v>1139.49</v>
      </c>
      <c r="D530" s="409"/>
      <c r="E530" s="409"/>
      <c r="F530" s="409"/>
    </row>
    <row r="531" spans="2:6" ht="12.75" customHeight="1" x14ac:dyDescent="0.25">
      <c r="B531" s="412">
        <v>43061</v>
      </c>
      <c r="C531" s="413">
        <v>1156.1600000000001</v>
      </c>
      <c r="D531" s="409"/>
      <c r="E531" s="409"/>
      <c r="F531" s="409"/>
    </row>
    <row r="532" spans="2:6" ht="12.75" customHeight="1" x14ac:dyDescent="0.25">
      <c r="B532" s="412">
        <v>43063</v>
      </c>
      <c r="C532" s="413">
        <v>1186</v>
      </c>
      <c r="D532" s="409"/>
      <c r="E532" s="409"/>
      <c r="F532" s="409"/>
    </row>
    <row r="533" spans="2:6" ht="12.75" customHeight="1" x14ac:dyDescent="0.25">
      <c r="B533" s="412">
        <v>43066</v>
      </c>
      <c r="C533" s="413">
        <v>1195.83</v>
      </c>
      <c r="D533" s="409"/>
      <c r="E533" s="409"/>
      <c r="F533" s="409"/>
    </row>
    <row r="534" spans="2:6" ht="12.75" customHeight="1" x14ac:dyDescent="0.25">
      <c r="B534" s="412">
        <v>43067</v>
      </c>
      <c r="C534" s="413">
        <v>1193.5999999999999</v>
      </c>
      <c r="D534" s="409"/>
      <c r="E534" s="409"/>
      <c r="F534" s="409"/>
    </row>
    <row r="535" spans="2:6" ht="12.75" customHeight="1" x14ac:dyDescent="0.25">
      <c r="B535" s="412">
        <v>43068</v>
      </c>
      <c r="C535" s="413">
        <v>1161.27</v>
      </c>
      <c r="D535" s="409"/>
      <c r="E535" s="409"/>
      <c r="F535" s="409"/>
    </row>
    <row r="536" spans="2:6" ht="12.75" customHeight="1" x14ac:dyDescent="0.25">
      <c r="B536" s="412">
        <v>43069</v>
      </c>
      <c r="C536" s="413">
        <v>1176.75</v>
      </c>
      <c r="D536" s="409"/>
      <c r="E536" s="409"/>
      <c r="F536" s="409"/>
    </row>
    <row r="537" spans="2:6" ht="12.75" customHeight="1" x14ac:dyDescent="0.25">
      <c r="B537" s="412">
        <v>43070</v>
      </c>
      <c r="C537" s="413">
        <v>1162.3499999999999</v>
      </c>
      <c r="D537" s="409"/>
      <c r="E537" s="409"/>
      <c r="F537" s="409"/>
    </row>
    <row r="538" spans="2:6" ht="12.75" customHeight="1" x14ac:dyDescent="0.25">
      <c r="B538" s="412">
        <v>43073</v>
      </c>
      <c r="C538" s="413">
        <v>1133.95</v>
      </c>
      <c r="D538" s="409"/>
      <c r="E538" s="409"/>
      <c r="F538" s="409"/>
    </row>
    <row r="539" spans="2:6" ht="12.75" customHeight="1" x14ac:dyDescent="0.25">
      <c r="B539" s="412">
        <v>43074</v>
      </c>
      <c r="C539" s="413">
        <v>1141.57</v>
      </c>
      <c r="D539" s="409"/>
      <c r="E539" s="409"/>
      <c r="F539" s="409"/>
    </row>
    <row r="540" spans="2:6" ht="12.75" customHeight="1" x14ac:dyDescent="0.25">
      <c r="B540" s="412">
        <v>43075</v>
      </c>
      <c r="C540" s="413">
        <v>1152.3499999999999</v>
      </c>
      <c r="D540" s="409"/>
      <c r="E540" s="409"/>
      <c r="F540" s="409"/>
    </row>
    <row r="541" spans="2:6" ht="12.75" customHeight="1" x14ac:dyDescent="0.25">
      <c r="B541" s="412">
        <v>43076</v>
      </c>
      <c r="C541" s="413">
        <v>1159.79</v>
      </c>
      <c r="D541" s="409"/>
      <c r="E541" s="409"/>
      <c r="F541" s="409"/>
    </row>
    <row r="542" spans="2:6" ht="12.75" customHeight="1" x14ac:dyDescent="0.25">
      <c r="B542" s="412">
        <v>43077</v>
      </c>
      <c r="C542" s="413">
        <v>1162</v>
      </c>
      <c r="D542" s="409"/>
      <c r="E542" s="409"/>
      <c r="F542" s="409"/>
    </row>
    <row r="543" spans="2:6" ht="12.75" customHeight="1" x14ac:dyDescent="0.25">
      <c r="B543" s="412">
        <v>43080</v>
      </c>
      <c r="C543" s="413">
        <v>1168.92</v>
      </c>
      <c r="D543" s="409"/>
      <c r="E543" s="409"/>
      <c r="F543" s="409"/>
    </row>
    <row r="544" spans="2:6" ht="12.75" customHeight="1" x14ac:dyDescent="0.25">
      <c r="B544" s="412">
        <v>43081</v>
      </c>
      <c r="C544" s="413">
        <v>1165.08</v>
      </c>
      <c r="D544" s="409"/>
      <c r="E544" s="409"/>
      <c r="F544" s="409"/>
    </row>
    <row r="545" spans="2:6" ht="12.75" customHeight="1" x14ac:dyDescent="0.25">
      <c r="B545" s="412">
        <v>43082</v>
      </c>
      <c r="C545" s="413">
        <v>1164.1300000000001</v>
      </c>
      <c r="D545" s="409"/>
      <c r="E545" s="409"/>
      <c r="F545" s="409"/>
    </row>
    <row r="546" spans="2:6" ht="12.75" customHeight="1" x14ac:dyDescent="0.25">
      <c r="B546" s="412">
        <v>43083</v>
      </c>
      <c r="C546" s="413">
        <v>1174.26</v>
      </c>
      <c r="D546" s="409"/>
      <c r="E546" s="409"/>
      <c r="F546" s="409"/>
    </row>
    <row r="547" spans="2:6" ht="12.75" customHeight="1" x14ac:dyDescent="0.25">
      <c r="B547" s="412">
        <v>43084</v>
      </c>
      <c r="C547" s="413">
        <v>1179.1400000000001</v>
      </c>
      <c r="D547" s="409"/>
      <c r="E547" s="409"/>
      <c r="F547" s="409"/>
    </row>
    <row r="548" spans="2:6" ht="12.75" customHeight="1" x14ac:dyDescent="0.25">
      <c r="B548" s="412">
        <v>43087</v>
      </c>
      <c r="C548" s="413">
        <v>1190.58</v>
      </c>
      <c r="D548" s="409"/>
      <c r="E548" s="409"/>
      <c r="F548" s="409"/>
    </row>
    <row r="549" spans="2:6" ht="12.75" customHeight="1" x14ac:dyDescent="0.25">
      <c r="B549" s="412">
        <v>43088</v>
      </c>
      <c r="C549" s="413">
        <v>1187.3800000000001</v>
      </c>
      <c r="D549" s="409"/>
      <c r="E549" s="409"/>
      <c r="F549" s="409"/>
    </row>
    <row r="550" spans="2:6" ht="12.75" customHeight="1" x14ac:dyDescent="0.25">
      <c r="B550" s="412">
        <v>43089</v>
      </c>
      <c r="C550" s="413">
        <v>1177.6199999999999</v>
      </c>
      <c r="D550" s="409"/>
      <c r="E550" s="409"/>
      <c r="F550" s="409"/>
    </row>
    <row r="551" spans="2:6" ht="12.75" customHeight="1" x14ac:dyDescent="0.25">
      <c r="B551" s="412">
        <v>43090</v>
      </c>
      <c r="C551" s="413">
        <v>1174.76</v>
      </c>
      <c r="D551" s="409"/>
      <c r="E551" s="409"/>
      <c r="F551" s="409"/>
    </row>
    <row r="552" spans="2:6" ht="12.75" customHeight="1" x14ac:dyDescent="0.25">
      <c r="B552" s="412">
        <v>43091</v>
      </c>
      <c r="C552" s="413">
        <v>1168.3599999999999</v>
      </c>
      <c r="D552" s="409"/>
      <c r="E552" s="409"/>
      <c r="F552" s="409"/>
    </row>
    <row r="553" spans="2:6" ht="12.75" customHeight="1" x14ac:dyDescent="0.25">
      <c r="B553" s="412">
        <v>43095</v>
      </c>
      <c r="C553" s="413">
        <v>1176.76</v>
      </c>
      <c r="D553" s="409"/>
      <c r="E553" s="409"/>
      <c r="F553" s="409"/>
    </row>
    <row r="554" spans="2:6" ht="12.75" customHeight="1" x14ac:dyDescent="0.25">
      <c r="B554" s="412">
        <v>43096</v>
      </c>
      <c r="C554" s="413">
        <v>1182.26</v>
      </c>
      <c r="D554" s="409"/>
      <c r="E554" s="409"/>
      <c r="F554" s="409"/>
    </row>
    <row r="555" spans="2:6" ht="12.75" customHeight="1" x14ac:dyDescent="0.25">
      <c r="B555" s="412">
        <v>43097</v>
      </c>
      <c r="C555" s="413">
        <v>1186.0999999999999</v>
      </c>
      <c r="D555" s="409"/>
      <c r="E555" s="409"/>
      <c r="F555" s="409"/>
    </row>
    <row r="556" spans="2:6" ht="12.75" customHeight="1" x14ac:dyDescent="0.25">
      <c r="B556" s="412">
        <v>43098</v>
      </c>
      <c r="C556" s="413">
        <v>1169.47</v>
      </c>
      <c r="D556" s="409"/>
      <c r="E556" s="409"/>
      <c r="F556" s="409"/>
    </row>
    <row r="557" spans="2:6" ht="12.75" customHeight="1" x14ac:dyDescent="0.25">
      <c r="B557" s="412">
        <v>43102</v>
      </c>
      <c r="C557" s="413">
        <v>1189.01</v>
      </c>
      <c r="D557" s="409"/>
      <c r="E557" s="409"/>
      <c r="F557" s="409"/>
    </row>
    <row r="558" spans="2:6" ht="12.75" customHeight="1" x14ac:dyDescent="0.25">
      <c r="B558" s="412">
        <v>43103</v>
      </c>
      <c r="C558" s="413">
        <v>1204.2</v>
      </c>
      <c r="D558" s="409"/>
      <c r="E558" s="409"/>
      <c r="F558" s="409"/>
    </row>
    <row r="559" spans="2:6" ht="12.75" customHeight="1" x14ac:dyDescent="0.25">
      <c r="B559" s="412">
        <v>43104</v>
      </c>
      <c r="C559" s="413">
        <v>1209.5899999999999</v>
      </c>
      <c r="D559" s="409"/>
      <c r="E559" s="409"/>
      <c r="F559" s="409"/>
    </row>
    <row r="560" spans="2:6" ht="12.75" customHeight="1" x14ac:dyDescent="0.25">
      <c r="B560" s="412">
        <v>43105</v>
      </c>
      <c r="C560" s="413">
        <v>1229.1400000000001</v>
      </c>
      <c r="D560" s="409"/>
      <c r="E560" s="409"/>
      <c r="F560" s="409"/>
    </row>
    <row r="561" spans="2:6" ht="12.75" customHeight="1" x14ac:dyDescent="0.25">
      <c r="B561" s="412">
        <v>43108</v>
      </c>
      <c r="C561" s="413">
        <v>1246.8699999999999</v>
      </c>
      <c r="D561" s="409"/>
      <c r="E561" s="409"/>
      <c r="F561" s="409"/>
    </row>
    <row r="562" spans="2:6" ht="12.75" customHeight="1" x14ac:dyDescent="0.25">
      <c r="B562" s="412">
        <v>43109</v>
      </c>
      <c r="C562" s="413">
        <v>1252.7</v>
      </c>
      <c r="D562" s="409"/>
      <c r="E562" s="409"/>
      <c r="F562" s="409"/>
    </row>
    <row r="563" spans="2:6" ht="12.75" customHeight="1" x14ac:dyDescent="0.25">
      <c r="B563" s="412">
        <v>43110</v>
      </c>
      <c r="C563" s="413">
        <v>1254.33</v>
      </c>
      <c r="D563" s="409"/>
      <c r="E563" s="409"/>
      <c r="F563" s="409"/>
    </row>
    <row r="564" spans="2:6" ht="12.75" customHeight="1" x14ac:dyDescent="0.25">
      <c r="B564" s="412">
        <v>43111</v>
      </c>
      <c r="C564" s="413">
        <v>1276.68</v>
      </c>
      <c r="D564" s="409"/>
      <c r="E564" s="409"/>
      <c r="F564" s="409"/>
    </row>
    <row r="565" spans="2:6" ht="12.75" customHeight="1" x14ac:dyDescent="0.25">
      <c r="B565" s="412">
        <v>43112</v>
      </c>
      <c r="C565" s="413">
        <v>1305.2</v>
      </c>
      <c r="D565" s="409"/>
      <c r="E565" s="409"/>
      <c r="F565" s="409"/>
    </row>
    <row r="566" spans="2:6" ht="12.75" customHeight="1" x14ac:dyDescent="0.25">
      <c r="B566" s="412">
        <v>43116</v>
      </c>
      <c r="C566" s="413">
        <v>1304.8599999999999</v>
      </c>
      <c r="D566" s="409"/>
      <c r="E566" s="409"/>
      <c r="F566" s="409"/>
    </row>
    <row r="567" spans="2:6" ht="12.75" customHeight="1" x14ac:dyDescent="0.25">
      <c r="B567" s="412">
        <v>43117</v>
      </c>
      <c r="C567" s="413">
        <v>1295</v>
      </c>
      <c r="D567" s="409"/>
      <c r="E567" s="409"/>
      <c r="F567" s="409"/>
    </row>
    <row r="568" spans="2:6" ht="12.75" customHeight="1" x14ac:dyDescent="0.25">
      <c r="B568" s="412">
        <v>43118</v>
      </c>
      <c r="C568" s="413">
        <v>1293.32</v>
      </c>
      <c r="D568" s="409"/>
      <c r="E568" s="409"/>
      <c r="F568" s="409"/>
    </row>
    <row r="569" spans="2:6" ht="12.75" customHeight="1" x14ac:dyDescent="0.25">
      <c r="B569" s="412">
        <v>43119</v>
      </c>
      <c r="C569" s="413">
        <v>1294.58</v>
      </c>
      <c r="D569" s="409"/>
      <c r="E569" s="409"/>
      <c r="F569" s="409"/>
    </row>
    <row r="570" spans="2:6" ht="12.75" customHeight="1" x14ac:dyDescent="0.25">
      <c r="B570" s="412">
        <v>43122</v>
      </c>
      <c r="C570" s="413">
        <v>1327.31</v>
      </c>
      <c r="D570" s="409"/>
      <c r="E570" s="409"/>
      <c r="F570" s="409"/>
    </row>
    <row r="571" spans="2:6" ht="12.75" customHeight="1" x14ac:dyDescent="0.25">
      <c r="B571" s="412">
        <v>43123</v>
      </c>
      <c r="C571" s="413">
        <v>1362.54</v>
      </c>
      <c r="D571" s="409"/>
      <c r="E571" s="409"/>
      <c r="F571" s="409"/>
    </row>
    <row r="572" spans="2:6" ht="12.75" customHeight="1" x14ac:dyDescent="0.25">
      <c r="B572" s="412">
        <v>43124</v>
      </c>
      <c r="C572" s="413">
        <v>1357.51</v>
      </c>
      <c r="D572" s="409"/>
      <c r="E572" s="409"/>
      <c r="F572" s="409"/>
    </row>
    <row r="573" spans="2:6" ht="12.75" customHeight="1" x14ac:dyDescent="0.25">
      <c r="B573" s="412">
        <v>43125</v>
      </c>
      <c r="C573" s="413">
        <v>1377.95</v>
      </c>
      <c r="D573" s="409"/>
      <c r="E573" s="409"/>
      <c r="F573" s="409"/>
    </row>
    <row r="574" spans="2:6" ht="12.75" customHeight="1" x14ac:dyDescent="0.25">
      <c r="B574" s="412">
        <v>43126</v>
      </c>
      <c r="C574" s="413">
        <v>1402.05</v>
      </c>
      <c r="D574" s="409"/>
      <c r="E574" s="409"/>
      <c r="F574" s="409"/>
    </row>
    <row r="575" spans="2:6" ht="12.75" customHeight="1" x14ac:dyDescent="0.25">
      <c r="B575" s="412">
        <v>43129</v>
      </c>
      <c r="C575" s="413">
        <v>1417.68</v>
      </c>
      <c r="D575" s="409"/>
      <c r="E575" s="409"/>
      <c r="F575" s="409"/>
    </row>
    <row r="576" spans="2:6" ht="12.75" customHeight="1" x14ac:dyDescent="0.25">
      <c r="B576" s="412">
        <v>43130</v>
      </c>
      <c r="C576" s="413">
        <v>1437.82</v>
      </c>
      <c r="D576" s="409"/>
      <c r="E576" s="409"/>
      <c r="F576" s="409"/>
    </row>
    <row r="577" spans="2:6" ht="12.75" customHeight="1" x14ac:dyDescent="0.25">
      <c r="B577" s="412">
        <v>43131</v>
      </c>
      <c r="C577" s="413">
        <v>1450.89</v>
      </c>
      <c r="D577" s="409"/>
      <c r="E577" s="409"/>
      <c r="F577" s="409"/>
    </row>
    <row r="578" spans="2:6" ht="12.75" customHeight="1" x14ac:dyDescent="0.25">
      <c r="B578" s="412">
        <v>43132</v>
      </c>
      <c r="C578" s="413">
        <v>1390</v>
      </c>
      <c r="D578" s="409"/>
      <c r="E578" s="409"/>
      <c r="F578" s="409"/>
    </row>
    <row r="579" spans="2:6" ht="12.75" customHeight="1" x14ac:dyDescent="0.25">
      <c r="B579" s="412">
        <v>43133</v>
      </c>
      <c r="C579" s="413">
        <v>1429.95</v>
      </c>
      <c r="D579" s="409"/>
      <c r="E579" s="409"/>
      <c r="F579" s="409"/>
    </row>
    <row r="580" spans="2:6" ht="12.75" customHeight="1" x14ac:dyDescent="0.25">
      <c r="B580" s="412">
        <v>43136</v>
      </c>
      <c r="C580" s="413">
        <v>1390</v>
      </c>
      <c r="D580" s="409"/>
      <c r="E580" s="409"/>
      <c r="F580" s="409"/>
    </row>
    <row r="581" spans="2:6" ht="12.75" customHeight="1" x14ac:dyDescent="0.25">
      <c r="B581" s="412">
        <v>43137</v>
      </c>
      <c r="C581" s="413">
        <v>1442.84</v>
      </c>
      <c r="D581" s="409"/>
      <c r="E581" s="409"/>
      <c r="F581" s="409"/>
    </row>
    <row r="582" spans="2:6" ht="12.75" customHeight="1" x14ac:dyDescent="0.25">
      <c r="B582" s="412">
        <v>43138</v>
      </c>
      <c r="C582" s="413">
        <v>1416.78</v>
      </c>
      <c r="D582" s="409"/>
      <c r="E582" s="409"/>
      <c r="F582" s="409"/>
    </row>
    <row r="583" spans="2:6" ht="12.75" customHeight="1" x14ac:dyDescent="0.25">
      <c r="B583" s="412">
        <v>43139</v>
      </c>
      <c r="C583" s="413">
        <v>1350.5</v>
      </c>
      <c r="D583" s="409"/>
      <c r="E583" s="409"/>
      <c r="F583" s="409"/>
    </row>
    <row r="584" spans="2:6" ht="12.75" customHeight="1" x14ac:dyDescent="0.25">
      <c r="B584" s="412">
        <v>43140</v>
      </c>
      <c r="C584" s="413">
        <v>1339.6</v>
      </c>
      <c r="D584" s="409"/>
      <c r="E584" s="409"/>
      <c r="F584" s="409"/>
    </row>
    <row r="585" spans="2:6" ht="12.75" customHeight="1" x14ac:dyDescent="0.25">
      <c r="B585" s="412">
        <v>43143</v>
      </c>
      <c r="C585" s="413">
        <v>1386.23</v>
      </c>
      <c r="D585" s="409"/>
      <c r="E585" s="409"/>
      <c r="F585" s="409"/>
    </row>
    <row r="586" spans="2:6" ht="12.75" customHeight="1" x14ac:dyDescent="0.25">
      <c r="B586" s="412">
        <v>43144</v>
      </c>
      <c r="C586" s="413">
        <v>1414.51</v>
      </c>
      <c r="D586" s="409"/>
      <c r="E586" s="409"/>
      <c r="F586" s="409"/>
    </row>
    <row r="587" spans="2:6" ht="12.75" customHeight="1" x14ac:dyDescent="0.25">
      <c r="B587" s="412">
        <v>43145</v>
      </c>
      <c r="C587" s="413">
        <v>1451.05</v>
      </c>
      <c r="D587" s="409"/>
      <c r="E587" s="409"/>
      <c r="F587" s="409"/>
    </row>
    <row r="588" spans="2:6" ht="12.75" customHeight="1" x14ac:dyDescent="0.25">
      <c r="B588" s="412">
        <v>43146</v>
      </c>
      <c r="C588" s="413">
        <v>1461.76</v>
      </c>
      <c r="D588" s="409"/>
      <c r="E588" s="409"/>
      <c r="F588" s="409"/>
    </row>
    <row r="589" spans="2:6" ht="12.75" customHeight="1" x14ac:dyDescent="0.25">
      <c r="B589" s="412">
        <v>43147</v>
      </c>
      <c r="C589" s="413">
        <v>1448.69</v>
      </c>
      <c r="D589" s="409"/>
      <c r="E589" s="409"/>
      <c r="F589" s="409"/>
    </row>
    <row r="590" spans="2:6" ht="12.75" customHeight="1" x14ac:dyDescent="0.25">
      <c r="B590" s="412">
        <v>43151</v>
      </c>
      <c r="C590" s="413">
        <v>1468.35</v>
      </c>
      <c r="D590" s="409"/>
      <c r="E590" s="409"/>
      <c r="F590" s="409"/>
    </row>
    <row r="591" spans="2:6" ht="12.75" customHeight="1" x14ac:dyDescent="0.25">
      <c r="B591" s="412">
        <v>43152</v>
      </c>
      <c r="C591" s="413">
        <v>1482.92</v>
      </c>
      <c r="D591" s="409"/>
      <c r="E591" s="409"/>
      <c r="F591" s="409"/>
    </row>
    <row r="592" spans="2:6" ht="12.75" customHeight="1" x14ac:dyDescent="0.25">
      <c r="B592" s="412">
        <v>43153</v>
      </c>
      <c r="C592" s="413">
        <v>1485.34</v>
      </c>
      <c r="D592" s="409"/>
      <c r="E592" s="409"/>
      <c r="F592" s="409"/>
    </row>
    <row r="593" spans="2:6" ht="12.75" customHeight="1" x14ac:dyDescent="0.25">
      <c r="B593" s="412">
        <v>43154</v>
      </c>
      <c r="C593" s="413">
        <v>1500</v>
      </c>
      <c r="D593" s="409"/>
      <c r="E593" s="409"/>
      <c r="F593" s="409"/>
    </row>
    <row r="594" spans="2:6" ht="12.75" customHeight="1" x14ac:dyDescent="0.25">
      <c r="B594" s="412">
        <v>43157</v>
      </c>
      <c r="C594" s="413">
        <v>1521.95</v>
      </c>
      <c r="D594" s="409"/>
      <c r="E594" s="409"/>
      <c r="F594" s="409"/>
    </row>
    <row r="595" spans="2:6" ht="12.75" customHeight="1" x14ac:dyDescent="0.25">
      <c r="B595" s="412">
        <v>43158</v>
      </c>
      <c r="C595" s="413">
        <v>1511.98</v>
      </c>
      <c r="D595" s="409"/>
      <c r="E595" s="409"/>
      <c r="F595" s="409"/>
    </row>
    <row r="596" spans="2:6" ht="12.75" customHeight="1" x14ac:dyDescent="0.25">
      <c r="B596" s="412">
        <v>43159</v>
      </c>
      <c r="C596" s="413">
        <v>1512.45</v>
      </c>
      <c r="D596" s="409"/>
      <c r="E596" s="409"/>
      <c r="F596" s="409"/>
    </row>
    <row r="597" spans="2:6" ht="12.75" customHeight="1" x14ac:dyDescent="0.25">
      <c r="B597" s="412">
        <v>43160</v>
      </c>
      <c r="C597" s="413">
        <v>1493.45</v>
      </c>
      <c r="D597" s="409"/>
      <c r="E597" s="409"/>
      <c r="F597" s="409"/>
    </row>
    <row r="598" spans="2:6" ht="12.75" customHeight="1" x14ac:dyDescent="0.25">
      <c r="B598" s="412">
        <v>43161</v>
      </c>
      <c r="C598" s="413">
        <v>1500.25</v>
      </c>
      <c r="D598" s="409"/>
      <c r="E598" s="409"/>
      <c r="F598" s="409"/>
    </row>
    <row r="599" spans="2:6" ht="12.75" customHeight="1" x14ac:dyDescent="0.25">
      <c r="B599" s="412">
        <v>43164</v>
      </c>
      <c r="C599" s="413">
        <v>1523.61</v>
      </c>
      <c r="D599" s="409"/>
      <c r="E599" s="409"/>
      <c r="F599" s="409"/>
    </row>
    <row r="600" spans="2:6" ht="12.75" customHeight="1" x14ac:dyDescent="0.25">
      <c r="B600" s="412">
        <v>43165</v>
      </c>
      <c r="C600" s="413">
        <v>1537.64</v>
      </c>
      <c r="D600" s="409"/>
      <c r="E600" s="409"/>
      <c r="F600" s="409"/>
    </row>
    <row r="601" spans="2:6" ht="12.75" customHeight="1" x14ac:dyDescent="0.25">
      <c r="B601" s="412">
        <v>43166</v>
      </c>
      <c r="C601" s="413">
        <v>1545</v>
      </c>
      <c r="D601" s="409"/>
      <c r="E601" s="409"/>
      <c r="F601" s="409"/>
    </row>
    <row r="602" spans="2:6" ht="12.75" customHeight="1" x14ac:dyDescent="0.25">
      <c r="B602" s="412">
        <v>43167</v>
      </c>
      <c r="C602" s="413">
        <v>1551.86</v>
      </c>
      <c r="D602" s="409"/>
      <c r="E602" s="409"/>
      <c r="F602" s="409"/>
    </row>
    <row r="603" spans="2:6" ht="12.75" customHeight="1" x14ac:dyDescent="0.25">
      <c r="B603" s="412">
        <v>43168</v>
      </c>
      <c r="C603" s="413">
        <v>1578.89</v>
      </c>
      <c r="D603" s="409"/>
      <c r="E603" s="409"/>
      <c r="F603" s="409"/>
    </row>
    <row r="604" spans="2:6" ht="12.75" customHeight="1" x14ac:dyDescent="0.25">
      <c r="B604" s="412">
        <v>43171</v>
      </c>
      <c r="C604" s="413">
        <v>1598.39</v>
      </c>
      <c r="D604" s="409"/>
      <c r="E604" s="409"/>
      <c r="F604" s="409"/>
    </row>
    <row r="605" spans="2:6" ht="12.75" customHeight="1" x14ac:dyDescent="0.25">
      <c r="B605" s="412">
        <v>43172</v>
      </c>
      <c r="C605" s="413">
        <v>1588.18</v>
      </c>
      <c r="D605" s="409"/>
      <c r="E605" s="409"/>
      <c r="F605" s="409"/>
    </row>
    <row r="606" spans="2:6" ht="12.75" customHeight="1" x14ac:dyDescent="0.25">
      <c r="B606" s="412">
        <v>43173</v>
      </c>
      <c r="C606" s="413">
        <v>1591</v>
      </c>
      <c r="D606" s="409"/>
      <c r="E606" s="409"/>
      <c r="F606" s="409"/>
    </row>
    <row r="607" spans="2:6" ht="12.75" customHeight="1" x14ac:dyDescent="0.25">
      <c r="B607" s="412">
        <v>43174</v>
      </c>
      <c r="C607" s="413">
        <v>1582.32</v>
      </c>
      <c r="D607" s="409"/>
      <c r="E607" s="409"/>
      <c r="F607" s="409"/>
    </row>
    <row r="608" spans="2:6" ht="12.75" customHeight="1" x14ac:dyDescent="0.25">
      <c r="B608" s="412">
        <v>43175</v>
      </c>
      <c r="C608" s="413">
        <v>1571.68</v>
      </c>
      <c r="D608" s="409"/>
      <c r="E608" s="409"/>
      <c r="F608" s="409"/>
    </row>
    <row r="609" spans="2:6" ht="12.75" customHeight="1" x14ac:dyDescent="0.25">
      <c r="B609" s="412">
        <v>43178</v>
      </c>
      <c r="C609" s="413">
        <v>1544.93</v>
      </c>
      <c r="D609" s="409"/>
      <c r="E609" s="409"/>
      <c r="F609" s="409"/>
    </row>
    <row r="610" spans="2:6" ht="12.75" customHeight="1" x14ac:dyDescent="0.25">
      <c r="B610" s="412">
        <v>43179</v>
      </c>
      <c r="C610" s="413">
        <v>1586.51</v>
      </c>
      <c r="D610" s="409"/>
      <c r="E610" s="409"/>
      <c r="F610" s="409"/>
    </row>
    <row r="611" spans="2:6" ht="12.75" customHeight="1" x14ac:dyDescent="0.25">
      <c r="B611" s="412">
        <v>43180</v>
      </c>
      <c r="C611" s="413">
        <v>1581.86</v>
      </c>
      <c r="D611" s="409"/>
      <c r="E611" s="409"/>
      <c r="F611" s="409"/>
    </row>
    <row r="612" spans="2:6" ht="12.75" customHeight="1" x14ac:dyDescent="0.25">
      <c r="B612" s="412">
        <v>43181</v>
      </c>
      <c r="C612" s="413">
        <v>1544.92</v>
      </c>
      <c r="D612" s="409"/>
      <c r="E612" s="409"/>
      <c r="F612" s="409"/>
    </row>
    <row r="613" spans="2:6" ht="12.75" customHeight="1" x14ac:dyDescent="0.25">
      <c r="B613" s="412">
        <v>43182</v>
      </c>
      <c r="C613" s="413">
        <v>1495.56</v>
      </c>
      <c r="D613" s="409"/>
      <c r="E613" s="409"/>
      <c r="F613" s="409"/>
    </row>
    <row r="614" spans="2:6" ht="12.75" customHeight="1" x14ac:dyDescent="0.25">
      <c r="B614" s="412">
        <v>43185</v>
      </c>
      <c r="C614" s="413">
        <v>1555.86</v>
      </c>
      <c r="D614" s="409"/>
      <c r="E614" s="409"/>
      <c r="F614" s="409"/>
    </row>
    <row r="615" spans="2:6" ht="12.75" customHeight="1" x14ac:dyDescent="0.25">
      <c r="B615" s="412">
        <v>43186</v>
      </c>
      <c r="C615" s="413">
        <v>1497.05</v>
      </c>
      <c r="D615" s="409"/>
      <c r="E615" s="409"/>
      <c r="F615" s="409"/>
    </row>
    <row r="616" spans="2:6" ht="12.75" customHeight="1" x14ac:dyDescent="0.25">
      <c r="B616" s="412">
        <v>43187</v>
      </c>
      <c r="C616" s="413">
        <v>1431.42</v>
      </c>
      <c r="D616" s="409"/>
      <c r="E616" s="409"/>
      <c r="F616" s="409"/>
    </row>
    <row r="617" spans="2:6" ht="12.75" customHeight="1" x14ac:dyDescent="0.25">
      <c r="B617" s="412">
        <v>43188</v>
      </c>
      <c r="C617" s="413">
        <v>1447.34</v>
      </c>
      <c r="D617" s="409"/>
      <c r="E617" s="409"/>
      <c r="F617" s="409"/>
    </row>
    <row r="618" spans="2:6" ht="12.75" customHeight="1" x14ac:dyDescent="0.25">
      <c r="B618" s="412">
        <v>43192</v>
      </c>
      <c r="C618" s="413">
        <v>1371.99</v>
      </c>
      <c r="D618" s="409"/>
      <c r="E618" s="409"/>
      <c r="F618" s="409"/>
    </row>
    <row r="619" spans="2:6" ht="12.75" customHeight="1" x14ac:dyDescent="0.25">
      <c r="B619" s="412">
        <v>43193</v>
      </c>
      <c r="C619" s="413">
        <v>1392.05</v>
      </c>
      <c r="D619" s="409"/>
      <c r="E619" s="409"/>
      <c r="F619" s="409"/>
    </row>
    <row r="620" spans="2:6" ht="12.75" customHeight="1" x14ac:dyDescent="0.25">
      <c r="B620" s="412">
        <v>43194</v>
      </c>
      <c r="C620" s="413">
        <v>1410.57</v>
      </c>
      <c r="D620" s="409"/>
      <c r="E620" s="409"/>
      <c r="F620" s="409"/>
    </row>
    <row r="621" spans="2:6" ht="12.75" customHeight="1" x14ac:dyDescent="0.25">
      <c r="B621" s="412">
        <v>43195</v>
      </c>
      <c r="C621" s="413">
        <v>1451.75</v>
      </c>
      <c r="D621" s="409"/>
      <c r="E621" s="409"/>
      <c r="F621" s="409"/>
    </row>
    <row r="622" spans="2:6" ht="12.75" customHeight="1" x14ac:dyDescent="0.25">
      <c r="B622" s="412">
        <v>43196</v>
      </c>
      <c r="C622" s="413">
        <v>1405.23</v>
      </c>
      <c r="D622" s="409"/>
      <c r="E622" s="409"/>
      <c r="F622" s="409"/>
    </row>
    <row r="623" spans="2:6" ht="12.75" customHeight="1" x14ac:dyDescent="0.25">
      <c r="B623" s="412">
        <v>43199</v>
      </c>
      <c r="C623" s="413">
        <v>1406.08</v>
      </c>
      <c r="D623" s="409"/>
      <c r="E623" s="409"/>
      <c r="F623" s="409"/>
    </row>
    <row r="624" spans="2:6" ht="12.75" customHeight="1" x14ac:dyDescent="0.25">
      <c r="B624" s="412">
        <v>43200</v>
      </c>
      <c r="C624" s="413">
        <v>1436.22</v>
      </c>
      <c r="D624" s="409"/>
      <c r="E624" s="409"/>
      <c r="F624" s="409"/>
    </row>
    <row r="625" spans="2:6" ht="12.75" customHeight="1" x14ac:dyDescent="0.25">
      <c r="B625" s="412">
        <v>43201</v>
      </c>
      <c r="C625" s="413">
        <v>1427.05</v>
      </c>
      <c r="D625" s="409"/>
      <c r="E625" s="409"/>
      <c r="F625" s="409"/>
    </row>
    <row r="626" spans="2:6" ht="12.75" customHeight="1" x14ac:dyDescent="0.25">
      <c r="B626" s="412">
        <v>43202</v>
      </c>
      <c r="C626" s="413">
        <v>1448.5</v>
      </c>
      <c r="D626" s="409"/>
      <c r="E626" s="409"/>
      <c r="F626" s="409"/>
    </row>
    <row r="627" spans="2:6" ht="12.75" customHeight="1" x14ac:dyDescent="0.25">
      <c r="B627" s="412">
        <v>43203</v>
      </c>
      <c r="C627" s="413">
        <v>1430.79</v>
      </c>
      <c r="D627" s="409"/>
      <c r="E627" s="409"/>
      <c r="F627" s="409"/>
    </row>
    <row r="628" spans="2:6" ht="12.75" customHeight="1" x14ac:dyDescent="0.25">
      <c r="B628" s="412">
        <v>43206</v>
      </c>
      <c r="C628" s="413">
        <v>1441.5</v>
      </c>
      <c r="D628" s="409"/>
      <c r="E628" s="409"/>
      <c r="F628" s="409"/>
    </row>
    <row r="629" spans="2:6" ht="12.75" customHeight="1" x14ac:dyDescent="0.25">
      <c r="B629" s="412">
        <v>43207</v>
      </c>
      <c r="C629" s="413">
        <v>1503.83</v>
      </c>
      <c r="D629" s="409"/>
      <c r="E629" s="409"/>
      <c r="F629" s="409"/>
    </row>
    <row r="630" spans="2:6" ht="12.75" customHeight="1" x14ac:dyDescent="0.25">
      <c r="B630" s="412">
        <v>43208</v>
      </c>
      <c r="C630" s="413">
        <v>1527.84</v>
      </c>
      <c r="D630" s="409"/>
      <c r="E630" s="409"/>
      <c r="F630" s="409"/>
    </row>
    <row r="631" spans="2:6" ht="12.75" customHeight="1" x14ac:dyDescent="0.25">
      <c r="B631" s="412">
        <v>43209</v>
      </c>
      <c r="C631" s="413">
        <v>1556.91</v>
      </c>
      <c r="D631" s="409"/>
      <c r="E631" s="409"/>
      <c r="F631" s="409"/>
    </row>
    <row r="632" spans="2:6" ht="12.75" customHeight="1" x14ac:dyDescent="0.25">
      <c r="B632" s="412">
        <v>43210</v>
      </c>
      <c r="C632" s="413">
        <v>1527.49</v>
      </c>
      <c r="D632" s="409"/>
      <c r="E632" s="409"/>
      <c r="F632" s="409"/>
    </row>
    <row r="633" spans="2:6" ht="12.75" customHeight="1" x14ac:dyDescent="0.25">
      <c r="B633" s="412">
        <v>43213</v>
      </c>
      <c r="C633" s="413">
        <v>1517.86</v>
      </c>
      <c r="D633" s="409"/>
      <c r="E633" s="409"/>
      <c r="F633" s="409"/>
    </row>
    <row r="634" spans="2:6" ht="12.75" customHeight="1" x14ac:dyDescent="0.25">
      <c r="B634" s="412">
        <v>43214</v>
      </c>
      <c r="C634" s="413">
        <v>1460.09</v>
      </c>
      <c r="D634" s="409"/>
      <c r="E634" s="409"/>
      <c r="F634" s="409"/>
    </row>
    <row r="635" spans="2:6" ht="12.75" customHeight="1" x14ac:dyDescent="0.25">
      <c r="B635" s="412">
        <v>43215</v>
      </c>
      <c r="C635" s="413">
        <v>1460.17</v>
      </c>
      <c r="D635" s="409"/>
      <c r="E635" s="409"/>
      <c r="F635" s="409"/>
    </row>
    <row r="636" spans="2:6" ht="12.75" customHeight="1" x14ac:dyDescent="0.25">
      <c r="B636" s="412">
        <v>43216</v>
      </c>
      <c r="C636" s="413">
        <v>1517.96</v>
      </c>
      <c r="D636" s="409"/>
      <c r="E636" s="409"/>
      <c r="F636" s="409"/>
    </row>
    <row r="637" spans="2:6" ht="12.75" customHeight="1" x14ac:dyDescent="0.25">
      <c r="B637" s="412">
        <v>43217</v>
      </c>
      <c r="C637" s="413">
        <v>1572.62</v>
      </c>
      <c r="D637" s="409"/>
      <c r="E637" s="409"/>
      <c r="F637" s="409"/>
    </row>
    <row r="638" spans="2:6" ht="12.75" customHeight="1" x14ac:dyDescent="0.25">
      <c r="B638" s="412">
        <v>43220</v>
      </c>
      <c r="C638" s="413">
        <v>1566.13</v>
      </c>
      <c r="D638" s="409"/>
      <c r="E638" s="409"/>
      <c r="F638" s="409"/>
    </row>
    <row r="639" spans="2:6" ht="12.75" customHeight="1" x14ac:dyDescent="0.25">
      <c r="B639" s="412">
        <v>43221</v>
      </c>
      <c r="C639" s="413">
        <v>1582.26</v>
      </c>
      <c r="D639" s="409"/>
      <c r="E639" s="409"/>
      <c r="F639" s="409"/>
    </row>
    <row r="640" spans="2:6" ht="12.75" customHeight="1" x14ac:dyDescent="0.25">
      <c r="B640" s="412">
        <v>43222</v>
      </c>
      <c r="C640" s="413">
        <v>1569.68</v>
      </c>
      <c r="D640" s="409"/>
      <c r="E640" s="409"/>
      <c r="F640" s="409"/>
    </row>
    <row r="641" spans="2:6" ht="12.75" customHeight="1" x14ac:dyDescent="0.25">
      <c r="B641" s="412">
        <v>43223</v>
      </c>
      <c r="C641" s="413">
        <v>1572.075</v>
      </c>
      <c r="D641" s="409"/>
      <c r="E641" s="409"/>
      <c r="F641" s="409"/>
    </row>
    <row r="642" spans="2:6" ht="12.75" customHeight="1" x14ac:dyDescent="0.25">
      <c r="B642" s="412">
        <v>43224</v>
      </c>
      <c r="C642" s="413">
        <v>1580.95</v>
      </c>
      <c r="D642" s="409"/>
      <c r="E642" s="409"/>
      <c r="F642" s="409"/>
    </row>
    <row r="643" spans="2:6" ht="12.75" customHeight="1" x14ac:dyDescent="0.25">
      <c r="B643" s="412">
        <v>43227</v>
      </c>
      <c r="C643" s="413">
        <v>1600.14</v>
      </c>
      <c r="D643" s="409"/>
      <c r="E643" s="409"/>
      <c r="F643" s="409"/>
    </row>
    <row r="644" spans="2:6" ht="12.75" customHeight="1" x14ac:dyDescent="0.25">
      <c r="B644" s="412">
        <v>43228</v>
      </c>
      <c r="C644" s="413">
        <v>1592.39</v>
      </c>
      <c r="D644" s="409"/>
      <c r="E644" s="409"/>
      <c r="F644" s="409"/>
    </row>
    <row r="645" spans="2:6" ht="12.75" customHeight="1" x14ac:dyDescent="0.25">
      <c r="B645" s="412">
        <v>43229</v>
      </c>
      <c r="C645" s="413">
        <v>1608</v>
      </c>
      <c r="D645" s="409"/>
      <c r="E645" s="409"/>
      <c r="F645" s="409"/>
    </row>
    <row r="646" spans="2:6" ht="12.75" customHeight="1" x14ac:dyDescent="0.25">
      <c r="B646" s="412">
        <v>43230</v>
      </c>
      <c r="C646" s="413">
        <v>1609.08</v>
      </c>
      <c r="D646" s="409"/>
      <c r="E646" s="409"/>
      <c r="F646" s="409"/>
    </row>
    <row r="647" spans="2:6" ht="12.75" customHeight="1" x14ac:dyDescent="0.25">
      <c r="B647" s="412">
        <v>43231</v>
      </c>
      <c r="C647" s="413">
        <v>1602.91</v>
      </c>
      <c r="D647" s="409"/>
      <c r="E647" s="409"/>
      <c r="F647" s="409"/>
    </row>
    <row r="648" spans="2:6" ht="12.75" customHeight="1" x14ac:dyDescent="0.25">
      <c r="B648" s="412">
        <v>43234</v>
      </c>
      <c r="C648" s="413">
        <v>1601.54</v>
      </c>
      <c r="D648" s="409"/>
      <c r="E648" s="409"/>
      <c r="F648" s="409"/>
    </row>
    <row r="649" spans="2:6" ht="12.75" customHeight="1" x14ac:dyDescent="0.25">
      <c r="B649" s="412">
        <v>43235</v>
      </c>
      <c r="C649" s="413">
        <v>1576.12</v>
      </c>
      <c r="D649" s="409"/>
      <c r="E649" s="409"/>
      <c r="F649" s="409"/>
    </row>
    <row r="650" spans="2:6" ht="12.75" customHeight="1" x14ac:dyDescent="0.25">
      <c r="B650" s="412">
        <v>43236</v>
      </c>
      <c r="C650" s="413">
        <v>1587.28</v>
      </c>
      <c r="D650" s="409"/>
      <c r="E650" s="409"/>
      <c r="F650" s="409"/>
    </row>
    <row r="651" spans="2:6" ht="12.75" customHeight="1" x14ac:dyDescent="0.25">
      <c r="B651" s="412">
        <v>43237</v>
      </c>
      <c r="C651" s="413">
        <v>1581.76</v>
      </c>
      <c r="D651" s="409"/>
      <c r="E651" s="409"/>
      <c r="F651" s="409"/>
    </row>
    <row r="652" spans="2:6" ht="12.75" customHeight="1" x14ac:dyDescent="0.25">
      <c r="B652" s="412">
        <v>43238</v>
      </c>
      <c r="C652" s="413">
        <v>1574.37</v>
      </c>
      <c r="D652" s="409"/>
      <c r="E652" s="409"/>
      <c r="F652" s="409"/>
    </row>
    <row r="653" spans="2:6" ht="12.75" customHeight="1" x14ac:dyDescent="0.25">
      <c r="B653" s="412">
        <v>43241</v>
      </c>
      <c r="C653" s="413">
        <v>1585.46</v>
      </c>
      <c r="D653" s="409"/>
      <c r="E653" s="409"/>
      <c r="F653" s="409"/>
    </row>
    <row r="654" spans="2:6" ht="12.75" customHeight="1" x14ac:dyDescent="0.25">
      <c r="B654" s="412">
        <v>43242</v>
      </c>
      <c r="C654" s="413">
        <v>1581.4</v>
      </c>
      <c r="D654" s="409"/>
      <c r="E654" s="409"/>
      <c r="F654" s="409"/>
    </row>
    <row r="655" spans="2:6" ht="12.75" customHeight="1" x14ac:dyDescent="0.25">
      <c r="B655" s="412">
        <v>43243</v>
      </c>
      <c r="C655" s="413">
        <v>1601.86</v>
      </c>
      <c r="D655" s="409"/>
      <c r="E655" s="409"/>
      <c r="F655" s="409"/>
    </row>
    <row r="656" spans="2:6" ht="12.75" customHeight="1" x14ac:dyDescent="0.25">
      <c r="B656" s="412">
        <v>43244</v>
      </c>
      <c r="C656" s="413">
        <v>1603.07</v>
      </c>
      <c r="D656" s="409"/>
      <c r="E656" s="409"/>
      <c r="F656" s="409"/>
    </row>
    <row r="657" spans="2:6" ht="12.75" customHeight="1" x14ac:dyDescent="0.25">
      <c r="B657" s="412">
        <v>43245</v>
      </c>
      <c r="C657" s="413">
        <v>1610.15</v>
      </c>
      <c r="D657" s="409"/>
      <c r="E657" s="409"/>
      <c r="F657" s="409"/>
    </row>
    <row r="658" spans="2:6" ht="12.75" customHeight="1" x14ac:dyDescent="0.25">
      <c r="B658" s="412">
        <v>43249</v>
      </c>
      <c r="C658" s="413">
        <v>1612.87</v>
      </c>
      <c r="D658" s="409"/>
      <c r="E658" s="409"/>
      <c r="F658" s="409"/>
    </row>
    <row r="659" spans="2:6" ht="12.75" customHeight="1" x14ac:dyDescent="0.25">
      <c r="B659" s="412">
        <v>43250</v>
      </c>
      <c r="C659" s="413">
        <v>1624.89</v>
      </c>
      <c r="D659" s="409"/>
      <c r="E659" s="409"/>
      <c r="F659" s="409"/>
    </row>
    <row r="660" spans="2:6" ht="12.75" customHeight="1" x14ac:dyDescent="0.25">
      <c r="B660" s="412">
        <v>43251</v>
      </c>
      <c r="C660" s="413">
        <v>1629.62</v>
      </c>
      <c r="D660" s="409"/>
      <c r="E660" s="409"/>
      <c r="F660" s="409"/>
    </row>
    <row r="661" spans="2:6" ht="12.75" customHeight="1" x14ac:dyDescent="0.25">
      <c r="B661" s="412">
        <v>43252</v>
      </c>
      <c r="C661" s="413">
        <v>1641.54</v>
      </c>
      <c r="D661" s="409"/>
      <c r="E661" s="409"/>
      <c r="F661" s="409"/>
    </row>
    <row r="662" spans="2:6" ht="12.75" customHeight="1" x14ac:dyDescent="0.25">
      <c r="B662" s="412">
        <v>43255</v>
      </c>
      <c r="C662" s="413">
        <v>1665.27</v>
      </c>
      <c r="D662" s="409"/>
      <c r="E662" s="409"/>
      <c r="F662" s="409"/>
    </row>
    <row r="663" spans="2:6" ht="12.75" customHeight="1" x14ac:dyDescent="0.25">
      <c r="B663" s="412">
        <v>43256</v>
      </c>
      <c r="C663" s="413">
        <v>1696.35</v>
      </c>
      <c r="D663" s="409"/>
      <c r="E663" s="409"/>
      <c r="F663" s="409"/>
    </row>
    <row r="664" spans="2:6" ht="12.75" customHeight="1" x14ac:dyDescent="0.25">
      <c r="B664" s="412">
        <v>43257</v>
      </c>
      <c r="C664" s="413">
        <v>1695.75</v>
      </c>
      <c r="D664" s="409"/>
      <c r="E664" s="409"/>
      <c r="F664" s="409"/>
    </row>
    <row r="665" spans="2:6" ht="12.75" customHeight="1" x14ac:dyDescent="0.25">
      <c r="B665" s="412">
        <v>43258</v>
      </c>
      <c r="C665" s="413">
        <v>1689.3</v>
      </c>
      <c r="D665" s="409"/>
      <c r="E665" s="409"/>
      <c r="F665" s="409"/>
    </row>
    <row r="666" spans="2:6" ht="12.75" customHeight="1" x14ac:dyDescent="0.25">
      <c r="B666" s="412">
        <v>43259</v>
      </c>
      <c r="C666" s="413">
        <v>1683.99</v>
      </c>
      <c r="D666" s="409"/>
      <c r="E666" s="409"/>
      <c r="F666" s="409"/>
    </row>
    <row r="667" spans="2:6" ht="12.75" customHeight="1" x14ac:dyDescent="0.25">
      <c r="B667" s="412">
        <v>43262</v>
      </c>
      <c r="C667" s="413">
        <v>1689.12</v>
      </c>
      <c r="D667" s="409"/>
      <c r="E667" s="409"/>
      <c r="F667" s="409"/>
    </row>
    <row r="668" spans="2:6" ht="12.75" customHeight="1" x14ac:dyDescent="0.25">
      <c r="B668" s="412">
        <v>43263</v>
      </c>
      <c r="C668" s="413">
        <v>1698.75</v>
      </c>
      <c r="D668" s="409"/>
      <c r="E668" s="409"/>
      <c r="F668" s="409"/>
    </row>
    <row r="669" spans="2:6" ht="12.75" customHeight="1" x14ac:dyDescent="0.25">
      <c r="B669" s="412">
        <v>43264</v>
      </c>
      <c r="C669" s="413">
        <v>1704.86</v>
      </c>
      <c r="D669" s="409"/>
      <c r="E669" s="409"/>
      <c r="F669" s="409"/>
    </row>
    <row r="670" spans="2:6" ht="12.75" customHeight="1" x14ac:dyDescent="0.25">
      <c r="B670" s="412">
        <v>43265</v>
      </c>
      <c r="C670" s="413">
        <v>1723.86</v>
      </c>
      <c r="D670" s="409"/>
      <c r="E670" s="409"/>
      <c r="F670" s="409"/>
    </row>
    <row r="671" spans="2:6" ht="12.75" customHeight="1" x14ac:dyDescent="0.25">
      <c r="B671" s="412">
        <v>43266</v>
      </c>
      <c r="C671" s="413">
        <v>1715.97</v>
      </c>
      <c r="D671" s="409"/>
      <c r="E671" s="409"/>
      <c r="F671" s="409"/>
    </row>
    <row r="672" spans="2:6" ht="12.75" customHeight="1" x14ac:dyDescent="0.25">
      <c r="B672" s="412">
        <v>43269</v>
      </c>
      <c r="C672" s="413">
        <v>1723.79</v>
      </c>
      <c r="D672" s="409"/>
      <c r="E672" s="409"/>
      <c r="F672" s="409"/>
    </row>
    <row r="673" spans="2:6" ht="12.75" customHeight="1" x14ac:dyDescent="0.25">
      <c r="B673" s="412">
        <v>43270</v>
      </c>
      <c r="C673" s="413">
        <v>1734.78</v>
      </c>
      <c r="D673" s="409"/>
      <c r="E673" s="409"/>
      <c r="F673" s="409"/>
    </row>
    <row r="674" spans="2:6" ht="12.75" customHeight="1" x14ac:dyDescent="0.25">
      <c r="B674" s="412">
        <v>43271</v>
      </c>
      <c r="C674" s="413">
        <v>1750.08</v>
      </c>
      <c r="D674" s="409"/>
      <c r="E674" s="409"/>
      <c r="F674" s="409"/>
    </row>
    <row r="675" spans="2:6" ht="12.75" customHeight="1" x14ac:dyDescent="0.25">
      <c r="B675" s="412">
        <v>43272</v>
      </c>
      <c r="C675" s="413">
        <v>1730.22</v>
      </c>
      <c r="D675" s="409"/>
      <c r="E675" s="409"/>
      <c r="F675" s="409"/>
    </row>
    <row r="676" spans="2:6" ht="12.75" customHeight="1" x14ac:dyDescent="0.25">
      <c r="B676" s="412">
        <v>43273</v>
      </c>
      <c r="C676" s="413">
        <v>1715.67</v>
      </c>
      <c r="D676" s="409"/>
      <c r="E676" s="409"/>
      <c r="F676" s="409"/>
    </row>
    <row r="677" spans="2:6" ht="12.75" customHeight="1" x14ac:dyDescent="0.25">
      <c r="B677" s="412">
        <v>43276</v>
      </c>
      <c r="C677" s="413">
        <v>1663.15</v>
      </c>
      <c r="D677" s="409"/>
      <c r="E677" s="409"/>
      <c r="F677" s="409"/>
    </row>
    <row r="678" spans="2:6" ht="12.75" customHeight="1" x14ac:dyDescent="0.25">
      <c r="B678" s="412">
        <v>43277</v>
      </c>
      <c r="C678" s="413">
        <v>1691.09</v>
      </c>
      <c r="D678" s="409"/>
      <c r="E678" s="409"/>
      <c r="F678" s="409"/>
    </row>
    <row r="679" spans="2:6" ht="12.75" customHeight="1" x14ac:dyDescent="0.25">
      <c r="B679" s="412">
        <v>43278</v>
      </c>
      <c r="C679" s="413">
        <v>1660.51</v>
      </c>
      <c r="D679" s="409"/>
      <c r="E679" s="409"/>
      <c r="F679" s="409"/>
    </row>
    <row r="680" spans="2:6" ht="12.75" customHeight="1" x14ac:dyDescent="0.25">
      <c r="B680" s="412">
        <v>43279</v>
      </c>
      <c r="C680" s="413">
        <v>1701.45</v>
      </c>
      <c r="D680" s="409"/>
      <c r="E680" s="409"/>
      <c r="F680" s="409"/>
    </row>
    <row r="681" spans="2:6" ht="12.75" customHeight="1" x14ac:dyDescent="0.25">
      <c r="B681" s="412">
        <v>43280</v>
      </c>
      <c r="C681" s="413">
        <v>1699.8</v>
      </c>
      <c r="D681" s="409"/>
      <c r="E681" s="409"/>
      <c r="F681" s="409"/>
    </row>
    <row r="682" spans="2:6" ht="12.75" customHeight="1" x14ac:dyDescent="0.25">
      <c r="B682" s="412">
        <v>43283</v>
      </c>
      <c r="C682" s="413">
        <v>1713.78</v>
      </c>
      <c r="D682" s="409"/>
      <c r="E682" s="409"/>
      <c r="F682" s="409"/>
    </row>
    <row r="683" spans="2:6" ht="12.75" customHeight="1" x14ac:dyDescent="0.25">
      <c r="B683" s="412">
        <v>43284</v>
      </c>
      <c r="C683" s="413">
        <v>1693.96</v>
      </c>
      <c r="D683" s="409"/>
      <c r="E683" s="409"/>
      <c r="F683" s="409"/>
    </row>
    <row r="684" spans="2:6" ht="12.75" customHeight="1" x14ac:dyDescent="0.25">
      <c r="B684" s="412">
        <v>43286</v>
      </c>
      <c r="C684" s="413">
        <v>1699.73</v>
      </c>
      <c r="D684" s="409"/>
      <c r="E684" s="409"/>
      <c r="F684" s="409"/>
    </row>
    <row r="685" spans="2:6" ht="12.75" customHeight="1" x14ac:dyDescent="0.25">
      <c r="B685" s="412">
        <v>43287</v>
      </c>
      <c r="C685" s="413">
        <v>1710.63</v>
      </c>
      <c r="D685" s="409"/>
      <c r="E685" s="409"/>
      <c r="F685" s="409"/>
    </row>
    <row r="686" spans="2:6" ht="12.75" customHeight="1" x14ac:dyDescent="0.25">
      <c r="B686" s="412">
        <v>43290</v>
      </c>
      <c r="C686" s="413">
        <v>1739.02</v>
      </c>
      <c r="D686" s="409"/>
      <c r="E686" s="409"/>
      <c r="F686" s="409"/>
    </row>
    <row r="687" spans="2:6" ht="12.75" customHeight="1" x14ac:dyDescent="0.25">
      <c r="B687" s="412">
        <v>43291</v>
      </c>
      <c r="C687" s="413">
        <v>1743.07</v>
      </c>
      <c r="D687" s="409"/>
      <c r="E687" s="409"/>
      <c r="F687" s="409"/>
    </row>
    <row r="688" spans="2:6" ht="12.75" customHeight="1" x14ac:dyDescent="0.25">
      <c r="B688" s="412">
        <v>43292</v>
      </c>
      <c r="C688" s="413">
        <v>1755</v>
      </c>
      <c r="D688" s="409"/>
      <c r="E688" s="409"/>
      <c r="F688" s="409"/>
    </row>
    <row r="689" spans="2:6" ht="12.75" customHeight="1" x14ac:dyDescent="0.25">
      <c r="B689" s="412">
        <v>43293</v>
      </c>
      <c r="C689" s="413">
        <v>1796.62</v>
      </c>
      <c r="D689" s="409"/>
      <c r="E689" s="409"/>
      <c r="F689" s="409"/>
    </row>
    <row r="690" spans="2:6" ht="12.75" customHeight="1" x14ac:dyDescent="0.25">
      <c r="B690" s="412">
        <v>43294</v>
      </c>
      <c r="C690" s="413">
        <v>1813.03</v>
      </c>
      <c r="D690" s="409"/>
      <c r="E690" s="409"/>
      <c r="F690" s="409"/>
    </row>
    <row r="691" spans="2:6" ht="12.75" customHeight="1" x14ac:dyDescent="0.25">
      <c r="B691" s="412">
        <v>43297</v>
      </c>
      <c r="C691" s="413">
        <v>1822.49</v>
      </c>
      <c r="D691" s="409"/>
      <c r="E691" s="409"/>
      <c r="F691" s="409"/>
    </row>
    <row r="692" spans="2:6" ht="12.75" customHeight="1" x14ac:dyDescent="0.25">
      <c r="B692" s="412">
        <v>43298</v>
      </c>
      <c r="C692" s="413">
        <v>1843.93</v>
      </c>
      <c r="D692" s="409"/>
      <c r="E692" s="409"/>
      <c r="F692" s="409"/>
    </row>
    <row r="693" spans="2:6" ht="12.75" customHeight="1" x14ac:dyDescent="0.25">
      <c r="B693" s="412">
        <v>43299</v>
      </c>
      <c r="C693" s="413">
        <v>1842.92</v>
      </c>
      <c r="D693" s="409"/>
      <c r="E693" s="409"/>
      <c r="F693" s="409"/>
    </row>
    <row r="694" spans="2:6" ht="12.75" customHeight="1" x14ac:dyDescent="0.25">
      <c r="B694" s="412">
        <v>43300</v>
      </c>
      <c r="C694" s="413">
        <v>1812.97</v>
      </c>
      <c r="D694" s="409"/>
      <c r="E694" s="409"/>
      <c r="F694" s="409"/>
    </row>
    <row r="695" spans="2:6" ht="12.75" customHeight="1" x14ac:dyDescent="0.25">
      <c r="B695" s="412">
        <v>43301</v>
      </c>
      <c r="C695" s="413">
        <v>1813.7</v>
      </c>
      <c r="D695" s="409"/>
      <c r="E695" s="409"/>
      <c r="F695" s="409"/>
    </row>
    <row r="696" spans="2:6" ht="12.75" customHeight="1" x14ac:dyDescent="0.25">
      <c r="B696" s="412">
        <v>43304</v>
      </c>
      <c r="C696" s="413">
        <v>1802</v>
      </c>
      <c r="D696" s="409"/>
      <c r="E696" s="409"/>
      <c r="F696" s="409"/>
    </row>
    <row r="697" spans="2:6" ht="12.75" customHeight="1" x14ac:dyDescent="0.25">
      <c r="B697" s="412">
        <v>43305</v>
      </c>
      <c r="C697" s="413">
        <v>1829.24</v>
      </c>
      <c r="D697" s="409"/>
      <c r="E697" s="409"/>
      <c r="F697" s="409"/>
    </row>
    <row r="698" spans="2:6" ht="12.75" customHeight="1" x14ac:dyDescent="0.25">
      <c r="B698" s="412">
        <v>43306</v>
      </c>
      <c r="C698" s="413">
        <v>1863.61</v>
      </c>
      <c r="D698" s="409"/>
      <c r="E698" s="409"/>
      <c r="F698" s="409"/>
    </row>
    <row r="699" spans="2:6" ht="12.75" customHeight="1" x14ac:dyDescent="0.25">
      <c r="B699" s="412">
        <v>43307</v>
      </c>
      <c r="C699" s="413">
        <v>1808</v>
      </c>
      <c r="D699" s="409"/>
      <c r="E699" s="409"/>
      <c r="F699" s="409"/>
    </row>
    <row r="700" spans="2:6" ht="12.75" customHeight="1" x14ac:dyDescent="0.25">
      <c r="B700" s="412">
        <v>43308</v>
      </c>
      <c r="C700" s="413">
        <v>1817.27</v>
      </c>
      <c r="D700" s="409"/>
      <c r="E700" s="409"/>
      <c r="F700" s="409"/>
    </row>
    <row r="701" spans="2:6" ht="12.75" customHeight="1" x14ac:dyDescent="0.25">
      <c r="B701" s="412">
        <v>43311</v>
      </c>
      <c r="C701" s="413">
        <v>1779.22</v>
      </c>
      <c r="D701" s="409"/>
      <c r="E701" s="409"/>
      <c r="F701" s="409"/>
    </row>
    <row r="702" spans="2:6" ht="12.75" customHeight="1" x14ac:dyDescent="0.25">
      <c r="B702" s="412">
        <v>43312</v>
      </c>
      <c r="C702" s="413">
        <v>1777.44</v>
      </c>
      <c r="D702" s="409"/>
      <c r="E702" s="409"/>
      <c r="F702" s="409"/>
    </row>
    <row r="703" spans="2:6" ht="12.75" customHeight="1" x14ac:dyDescent="0.25">
      <c r="B703" s="412">
        <v>43313</v>
      </c>
      <c r="C703" s="413">
        <v>1797.17</v>
      </c>
      <c r="D703" s="409"/>
      <c r="E703" s="409"/>
      <c r="F703" s="409"/>
    </row>
    <row r="704" spans="2:6" ht="12.75" customHeight="1" x14ac:dyDescent="0.25">
      <c r="B704" s="412">
        <v>43314</v>
      </c>
      <c r="C704" s="413">
        <v>1834.33</v>
      </c>
      <c r="D704" s="409"/>
      <c r="E704" s="409"/>
      <c r="F704" s="409"/>
    </row>
    <row r="705" spans="2:6" ht="12.75" customHeight="1" x14ac:dyDescent="0.25">
      <c r="B705" s="412">
        <v>43315</v>
      </c>
      <c r="C705" s="413">
        <v>1823.29</v>
      </c>
      <c r="D705" s="409"/>
      <c r="E705" s="409"/>
      <c r="F705" s="409"/>
    </row>
    <row r="706" spans="2:6" ht="12.75" customHeight="1" x14ac:dyDescent="0.25">
      <c r="B706" s="412">
        <v>43318</v>
      </c>
      <c r="C706" s="413">
        <v>1847.75</v>
      </c>
      <c r="D706" s="409"/>
      <c r="E706" s="409"/>
      <c r="F706" s="409"/>
    </row>
    <row r="707" spans="2:6" ht="12.75" customHeight="1" x14ac:dyDescent="0.25">
      <c r="B707" s="412">
        <v>43319</v>
      </c>
      <c r="C707" s="413">
        <v>1862.48</v>
      </c>
      <c r="D707" s="409"/>
      <c r="E707" s="409"/>
      <c r="F707" s="409"/>
    </row>
    <row r="708" spans="2:6" ht="12.75" customHeight="1" x14ac:dyDescent="0.25">
      <c r="B708" s="412">
        <v>43320</v>
      </c>
      <c r="C708" s="413">
        <v>1886.52</v>
      </c>
      <c r="D708" s="409"/>
      <c r="E708" s="409"/>
      <c r="F708" s="409"/>
    </row>
    <row r="709" spans="2:6" ht="12.75" customHeight="1" x14ac:dyDescent="0.25">
      <c r="B709" s="412">
        <v>43321</v>
      </c>
      <c r="C709" s="413">
        <v>1898.52</v>
      </c>
      <c r="D709" s="409"/>
      <c r="E709" s="409"/>
      <c r="F709" s="409"/>
    </row>
    <row r="710" spans="2:6" ht="12.75" customHeight="1" x14ac:dyDescent="0.25">
      <c r="B710" s="412">
        <v>43322</v>
      </c>
      <c r="C710" s="413">
        <v>1886.3</v>
      </c>
      <c r="D710" s="409"/>
      <c r="E710" s="409"/>
      <c r="F710" s="409"/>
    </row>
    <row r="711" spans="2:6" ht="12.75" customHeight="1" x14ac:dyDescent="0.25">
      <c r="B711" s="412">
        <v>43325</v>
      </c>
      <c r="C711" s="413">
        <v>1896.2</v>
      </c>
      <c r="D711" s="409"/>
      <c r="E711" s="409"/>
      <c r="F711" s="409"/>
    </row>
    <row r="712" spans="2:6" ht="12.75" customHeight="1" x14ac:dyDescent="0.25">
      <c r="B712" s="412">
        <v>43326</v>
      </c>
      <c r="C712" s="413">
        <v>1919.65</v>
      </c>
      <c r="D712" s="409"/>
      <c r="E712" s="409"/>
      <c r="F712" s="409"/>
    </row>
    <row r="713" spans="2:6" ht="12.75" customHeight="1" x14ac:dyDescent="0.25">
      <c r="B713" s="412">
        <v>43327</v>
      </c>
      <c r="C713" s="413">
        <v>1882.62</v>
      </c>
      <c r="D713" s="409"/>
      <c r="E713" s="409"/>
      <c r="F713" s="409"/>
    </row>
    <row r="714" spans="2:6" ht="12.75" customHeight="1" x14ac:dyDescent="0.25">
      <c r="B714" s="412">
        <v>43328</v>
      </c>
      <c r="C714" s="413">
        <v>1886.52</v>
      </c>
      <c r="D714" s="409"/>
      <c r="E714" s="409"/>
      <c r="F714" s="409"/>
    </row>
    <row r="715" spans="2:6" ht="12.75" customHeight="1" x14ac:dyDescent="0.25">
      <c r="B715" s="412">
        <v>43329</v>
      </c>
      <c r="C715" s="413">
        <v>1882.22</v>
      </c>
      <c r="D715" s="409"/>
      <c r="E715" s="409"/>
      <c r="F715" s="409"/>
    </row>
    <row r="716" spans="2:6" ht="12.75" customHeight="1" x14ac:dyDescent="0.25">
      <c r="B716" s="412">
        <v>43332</v>
      </c>
      <c r="C716" s="413">
        <v>1876.71</v>
      </c>
      <c r="D716" s="409"/>
      <c r="E716" s="409"/>
      <c r="F716" s="409"/>
    </row>
    <row r="717" spans="2:6" ht="12.75" customHeight="1" x14ac:dyDescent="0.25">
      <c r="B717" s="412">
        <v>43333</v>
      </c>
      <c r="C717" s="413">
        <v>1883.42</v>
      </c>
      <c r="D717" s="409"/>
      <c r="E717" s="409"/>
      <c r="F717" s="409"/>
    </row>
    <row r="718" spans="2:6" ht="12.75" customHeight="1" x14ac:dyDescent="0.25">
      <c r="B718" s="412">
        <v>43334</v>
      </c>
      <c r="C718" s="413">
        <v>1904.9</v>
      </c>
      <c r="D718" s="409"/>
      <c r="E718" s="409"/>
      <c r="F718" s="409"/>
    </row>
    <row r="719" spans="2:6" ht="12.75" customHeight="1" x14ac:dyDescent="0.25">
      <c r="B719" s="412">
        <v>43335</v>
      </c>
      <c r="C719" s="413">
        <v>1902.9</v>
      </c>
      <c r="D719" s="409"/>
      <c r="E719" s="409"/>
      <c r="F719" s="409"/>
    </row>
    <row r="720" spans="2:6" ht="12.75" customHeight="1" x14ac:dyDescent="0.25">
      <c r="B720" s="412">
        <v>43336</v>
      </c>
      <c r="C720" s="413">
        <v>1905.39</v>
      </c>
      <c r="D720" s="409"/>
      <c r="E720" s="409"/>
      <c r="F720" s="409"/>
    </row>
    <row r="721" spans="2:6" ht="12.75" customHeight="1" x14ac:dyDescent="0.25">
      <c r="B721" s="412">
        <v>43339</v>
      </c>
      <c r="C721" s="413">
        <v>1927.68</v>
      </c>
      <c r="D721" s="409"/>
      <c r="E721" s="409"/>
      <c r="F721" s="409"/>
    </row>
    <row r="722" spans="2:6" ht="12.75" customHeight="1" x14ac:dyDescent="0.25">
      <c r="B722" s="412">
        <v>43340</v>
      </c>
      <c r="C722" s="413">
        <v>1932.82</v>
      </c>
      <c r="D722" s="409"/>
      <c r="E722" s="409"/>
      <c r="F722" s="409"/>
    </row>
    <row r="723" spans="2:6" ht="12.75" customHeight="1" x14ac:dyDescent="0.25">
      <c r="B723" s="412">
        <v>43341</v>
      </c>
      <c r="C723" s="413">
        <v>1998.1</v>
      </c>
      <c r="D723" s="409"/>
      <c r="E723" s="409"/>
      <c r="F723" s="409"/>
    </row>
    <row r="724" spans="2:6" ht="12.75" customHeight="1" x14ac:dyDescent="0.25">
      <c r="B724" s="412">
        <v>43342</v>
      </c>
      <c r="C724" s="413">
        <v>2002.38</v>
      </c>
      <c r="D724" s="409"/>
      <c r="E724" s="409"/>
      <c r="F724" s="409"/>
    </row>
    <row r="725" spans="2:6" ht="12.75" customHeight="1" x14ac:dyDescent="0.25">
      <c r="B725" s="412">
        <v>43343</v>
      </c>
      <c r="C725" s="413">
        <v>2012.71</v>
      </c>
      <c r="D725" s="409"/>
      <c r="E725" s="409"/>
      <c r="F725" s="409"/>
    </row>
    <row r="726" spans="2:6" ht="12.75" customHeight="1" x14ac:dyDescent="0.25">
      <c r="B726" s="412">
        <v>43347</v>
      </c>
      <c r="C726" s="413">
        <v>2039.51</v>
      </c>
      <c r="D726" s="409"/>
      <c r="E726" s="409"/>
      <c r="F726" s="409"/>
    </row>
    <row r="727" spans="2:6" ht="12.75" customHeight="1" x14ac:dyDescent="0.25">
      <c r="B727" s="412">
        <v>43348</v>
      </c>
      <c r="C727" s="413">
        <v>1994.82</v>
      </c>
      <c r="D727" s="409"/>
      <c r="E727" s="409"/>
      <c r="F727" s="409"/>
    </row>
    <row r="728" spans="2:6" ht="12.75" customHeight="1" x14ac:dyDescent="0.25">
      <c r="B728" s="412">
        <v>43349</v>
      </c>
      <c r="C728" s="413">
        <v>1958.31</v>
      </c>
      <c r="D728" s="409"/>
      <c r="E728" s="409"/>
      <c r="F728" s="409"/>
    </row>
    <row r="729" spans="2:6" ht="12.75" customHeight="1" x14ac:dyDescent="0.25">
      <c r="B729" s="412">
        <v>43350</v>
      </c>
      <c r="C729" s="413">
        <v>1952.07</v>
      </c>
      <c r="D729" s="409"/>
      <c r="E729" s="409"/>
      <c r="F729" s="409"/>
    </row>
    <row r="730" spans="2:6" ht="12.75" customHeight="1" x14ac:dyDescent="0.25">
      <c r="B730" s="412">
        <v>43353</v>
      </c>
      <c r="C730" s="413">
        <v>1939.01</v>
      </c>
      <c r="D730" s="409"/>
      <c r="E730" s="409"/>
      <c r="F730" s="409"/>
    </row>
    <row r="731" spans="2:6" ht="12.75" customHeight="1" x14ac:dyDescent="0.25">
      <c r="B731" s="412">
        <v>43354</v>
      </c>
      <c r="C731" s="413">
        <v>1987.15</v>
      </c>
      <c r="D731" s="409"/>
      <c r="E731" s="409"/>
      <c r="F731" s="409"/>
    </row>
    <row r="732" spans="2:6" ht="12.75" customHeight="1" x14ac:dyDescent="0.25">
      <c r="B732" s="412">
        <v>43355</v>
      </c>
      <c r="C732" s="413">
        <v>1990</v>
      </c>
      <c r="D732" s="409"/>
      <c r="E732" s="409"/>
      <c r="F732" s="409"/>
    </row>
    <row r="733" spans="2:6" ht="12.75" customHeight="1" x14ac:dyDescent="0.25">
      <c r="B733" s="412">
        <v>43356</v>
      </c>
      <c r="C733" s="413">
        <v>1989.87</v>
      </c>
      <c r="D733" s="409"/>
      <c r="E733" s="409"/>
      <c r="F733" s="409"/>
    </row>
    <row r="734" spans="2:6" ht="12.75" customHeight="1" x14ac:dyDescent="0.25">
      <c r="B734" s="412">
        <v>43357</v>
      </c>
      <c r="C734" s="413">
        <v>1970.19</v>
      </c>
      <c r="D734" s="409"/>
      <c r="E734" s="409"/>
      <c r="F734" s="409"/>
    </row>
    <row r="735" spans="2:6" ht="12.75" customHeight="1" x14ac:dyDescent="0.25">
      <c r="B735" s="412">
        <v>43360</v>
      </c>
      <c r="C735" s="413">
        <v>1908.03</v>
      </c>
      <c r="D735" s="409"/>
      <c r="E735" s="409"/>
      <c r="F735" s="409"/>
    </row>
    <row r="736" spans="2:6" ht="12.75" customHeight="1" x14ac:dyDescent="0.25">
      <c r="B736" s="412">
        <v>43361</v>
      </c>
      <c r="C736" s="413">
        <v>1941.05</v>
      </c>
      <c r="D736" s="409"/>
      <c r="E736" s="409"/>
      <c r="F736" s="409"/>
    </row>
    <row r="737" spans="2:6" ht="12.75" customHeight="1" x14ac:dyDescent="0.25">
      <c r="B737" s="412">
        <v>43362</v>
      </c>
      <c r="C737" s="413">
        <v>1926.42</v>
      </c>
      <c r="D737" s="409"/>
      <c r="E737" s="409"/>
      <c r="F737" s="409"/>
    </row>
    <row r="738" spans="2:6" ht="12.75" customHeight="1" x14ac:dyDescent="0.25">
      <c r="B738" s="412">
        <v>43363</v>
      </c>
      <c r="C738" s="413">
        <v>1944.3</v>
      </c>
      <c r="D738" s="409"/>
      <c r="E738" s="409"/>
      <c r="F738" s="409"/>
    </row>
    <row r="739" spans="2:6" ht="12.75" customHeight="1" x14ac:dyDescent="0.25">
      <c r="B739" s="412">
        <v>43364</v>
      </c>
      <c r="C739" s="413">
        <v>1915.01</v>
      </c>
      <c r="D739" s="409"/>
      <c r="E739" s="409"/>
      <c r="F739" s="409"/>
    </row>
    <row r="740" spans="2:6" ht="12.75" customHeight="1" x14ac:dyDescent="0.25">
      <c r="B740" s="412">
        <v>43367</v>
      </c>
      <c r="C740" s="413">
        <v>1934.36</v>
      </c>
      <c r="D740" s="409"/>
      <c r="E740" s="409"/>
      <c r="F740" s="409"/>
    </row>
    <row r="741" spans="2:6" ht="12.75" customHeight="1" x14ac:dyDescent="0.25">
      <c r="B741" s="412">
        <v>43368</v>
      </c>
      <c r="C741" s="413">
        <v>1974.55</v>
      </c>
      <c r="D741" s="409"/>
      <c r="E741" s="409"/>
      <c r="F741" s="409"/>
    </row>
    <row r="742" spans="2:6" ht="12.75" customHeight="1" x14ac:dyDescent="0.25">
      <c r="B742" s="412">
        <v>43369</v>
      </c>
      <c r="C742" s="413">
        <v>1974.85</v>
      </c>
      <c r="D742" s="409"/>
      <c r="E742" s="409"/>
      <c r="F742" s="409"/>
    </row>
    <row r="743" spans="2:6" ht="12.75" customHeight="1" x14ac:dyDescent="0.25">
      <c r="B743" s="412">
        <v>43370</v>
      </c>
      <c r="C743" s="413">
        <v>2012.98</v>
      </c>
      <c r="D743" s="409"/>
      <c r="E743" s="409"/>
      <c r="F743" s="409"/>
    </row>
    <row r="744" spans="2:6" ht="12.75" customHeight="1" x14ac:dyDescent="0.25">
      <c r="B744" s="412">
        <v>43371</v>
      </c>
      <c r="C744" s="413">
        <v>2003</v>
      </c>
      <c r="D744" s="409"/>
      <c r="E744" s="409"/>
      <c r="F744" s="409"/>
    </row>
    <row r="745" spans="2:6" ht="12.75" customHeight="1" x14ac:dyDescent="0.25">
      <c r="B745" s="412">
        <v>43374</v>
      </c>
      <c r="C745" s="413">
        <v>2004.36</v>
      </c>
      <c r="D745" s="409"/>
      <c r="E745" s="409"/>
      <c r="F745" s="409"/>
    </row>
    <row r="746" spans="2:6" ht="12.75" customHeight="1" x14ac:dyDescent="0.25">
      <c r="B746" s="412">
        <v>43375</v>
      </c>
      <c r="C746" s="413">
        <v>1971.31</v>
      </c>
      <c r="D746" s="409"/>
      <c r="E746" s="409"/>
      <c r="F746" s="409"/>
    </row>
    <row r="747" spans="2:6" ht="12.75" customHeight="1" x14ac:dyDescent="0.25">
      <c r="B747" s="412">
        <v>43376</v>
      </c>
      <c r="C747" s="413">
        <v>1952.76</v>
      </c>
      <c r="D747" s="409"/>
      <c r="E747" s="409"/>
      <c r="F747" s="409"/>
    </row>
    <row r="748" spans="2:6" ht="12.75" customHeight="1" x14ac:dyDescent="0.25">
      <c r="B748" s="412">
        <v>43377</v>
      </c>
      <c r="C748" s="413">
        <v>1909.42</v>
      </c>
      <c r="D748" s="409"/>
      <c r="E748" s="409"/>
      <c r="F748" s="409"/>
    </row>
    <row r="749" spans="2:6" ht="12.75" customHeight="1" x14ac:dyDescent="0.25">
      <c r="B749" s="412">
        <v>43378</v>
      </c>
      <c r="C749" s="413">
        <v>1889.65</v>
      </c>
      <c r="D749" s="409"/>
      <c r="E749" s="409"/>
      <c r="F749" s="409"/>
    </row>
    <row r="750" spans="2:6" ht="12.75" customHeight="1" x14ac:dyDescent="0.25">
      <c r="B750" s="412">
        <v>43381</v>
      </c>
      <c r="C750" s="413">
        <v>1864.42</v>
      </c>
      <c r="D750" s="409"/>
      <c r="E750" s="409"/>
      <c r="F750" s="409"/>
    </row>
    <row r="751" spans="2:6" ht="12.75" customHeight="1" x14ac:dyDescent="0.25">
      <c r="B751" s="412">
        <v>43382</v>
      </c>
      <c r="C751" s="413">
        <v>1870.32</v>
      </c>
      <c r="D751" s="409"/>
      <c r="E751" s="409"/>
      <c r="F751" s="409"/>
    </row>
    <row r="752" spans="2:6" ht="12.75" customHeight="1" x14ac:dyDescent="0.25">
      <c r="B752" s="412">
        <v>43383</v>
      </c>
      <c r="C752" s="413">
        <v>1755.25</v>
      </c>
      <c r="D752" s="409"/>
      <c r="E752" s="409"/>
      <c r="F752" s="409"/>
    </row>
    <row r="753" spans="2:6" ht="12.75" customHeight="1" x14ac:dyDescent="0.25">
      <c r="B753" s="412">
        <v>43384</v>
      </c>
      <c r="C753" s="413">
        <v>1719.36</v>
      </c>
      <c r="D753" s="409"/>
      <c r="E753" s="409"/>
      <c r="F753" s="409"/>
    </row>
    <row r="754" spans="2:6" ht="12.75" customHeight="1" x14ac:dyDescent="0.25">
      <c r="B754" s="412">
        <v>43385</v>
      </c>
      <c r="C754" s="413">
        <v>1788.61</v>
      </c>
      <c r="D754" s="409"/>
      <c r="E754" s="409"/>
      <c r="F754" s="409"/>
    </row>
    <row r="755" spans="2:6" ht="12.75" customHeight="1" x14ac:dyDescent="0.25">
      <c r="B755" s="412">
        <v>43388</v>
      </c>
      <c r="C755" s="413">
        <v>1760.95</v>
      </c>
      <c r="D755" s="409"/>
      <c r="E755" s="409"/>
      <c r="F755" s="409"/>
    </row>
    <row r="756" spans="2:6" ht="12.75" customHeight="1" x14ac:dyDescent="0.25">
      <c r="B756" s="412">
        <v>43389</v>
      </c>
      <c r="C756" s="413">
        <v>1819.96</v>
      </c>
      <c r="D756" s="409"/>
      <c r="E756" s="409"/>
      <c r="F756" s="409"/>
    </row>
    <row r="757" spans="2:6" ht="12.75" customHeight="1" x14ac:dyDescent="0.25">
      <c r="B757" s="412">
        <v>43390</v>
      </c>
      <c r="C757" s="413">
        <v>1831.73</v>
      </c>
      <c r="D757" s="409"/>
      <c r="E757" s="409"/>
      <c r="F757" s="409"/>
    </row>
    <row r="758" spans="2:6" ht="12.75" customHeight="1" x14ac:dyDescent="0.25">
      <c r="B758" s="412">
        <v>43391</v>
      </c>
      <c r="C758" s="413">
        <v>1770.72</v>
      </c>
      <c r="D758" s="409"/>
      <c r="E758" s="409"/>
      <c r="F758" s="409"/>
    </row>
    <row r="759" spans="2:6" ht="12.75" customHeight="1" x14ac:dyDescent="0.25">
      <c r="B759" s="412">
        <v>43392</v>
      </c>
      <c r="C759" s="413">
        <v>1764.03</v>
      </c>
      <c r="D759" s="409"/>
      <c r="E759" s="409"/>
      <c r="F759" s="409"/>
    </row>
    <row r="760" spans="2:6" ht="12.75" customHeight="1" x14ac:dyDescent="0.25">
      <c r="B760" s="412">
        <v>43395</v>
      </c>
      <c r="C760" s="413">
        <v>1789.3</v>
      </c>
      <c r="D760" s="409"/>
      <c r="E760" s="409"/>
      <c r="F760" s="409"/>
    </row>
    <row r="761" spans="2:6" ht="12.75" customHeight="1" x14ac:dyDescent="0.25">
      <c r="B761" s="412">
        <v>43396</v>
      </c>
      <c r="C761" s="413">
        <v>1768.7</v>
      </c>
      <c r="D761" s="409"/>
      <c r="E761" s="409"/>
      <c r="F761" s="409"/>
    </row>
    <row r="762" spans="2:6" ht="12.75" customHeight="1" x14ac:dyDescent="0.25">
      <c r="B762" s="412">
        <v>43397</v>
      </c>
      <c r="C762" s="413">
        <v>1664.2</v>
      </c>
      <c r="D762" s="409"/>
      <c r="E762" s="409"/>
      <c r="F762" s="409"/>
    </row>
    <row r="763" spans="2:6" ht="12.75" customHeight="1" x14ac:dyDescent="0.25">
      <c r="B763" s="412">
        <v>43398</v>
      </c>
      <c r="C763" s="413">
        <v>1782.17</v>
      </c>
      <c r="D763" s="409"/>
      <c r="E763" s="409"/>
      <c r="F763" s="409"/>
    </row>
    <row r="764" spans="2:6" ht="12.75" customHeight="1" x14ac:dyDescent="0.25">
      <c r="B764" s="412">
        <v>43399</v>
      </c>
      <c r="C764" s="413">
        <v>1642.81</v>
      </c>
      <c r="D764" s="409"/>
      <c r="E764" s="409"/>
      <c r="F764" s="409"/>
    </row>
    <row r="765" spans="2:6" ht="12.75" customHeight="1" x14ac:dyDescent="0.25">
      <c r="B765" s="412">
        <v>43402</v>
      </c>
      <c r="C765" s="413">
        <v>1538.88</v>
      </c>
      <c r="D765" s="409"/>
      <c r="E765" s="409"/>
      <c r="F765" s="409"/>
    </row>
    <row r="766" spans="2:6" ht="12.75" customHeight="1" x14ac:dyDescent="0.25">
      <c r="B766" s="412">
        <v>43403</v>
      </c>
      <c r="C766" s="413">
        <v>1530.42</v>
      </c>
      <c r="D766" s="409"/>
      <c r="E766" s="409"/>
      <c r="F766" s="409"/>
    </row>
    <row r="767" spans="2:6" ht="12.75" customHeight="1" x14ac:dyDescent="0.25">
      <c r="B767" s="412">
        <v>43404</v>
      </c>
      <c r="C767" s="413">
        <v>1598.01</v>
      </c>
      <c r="D767" s="409"/>
      <c r="E767" s="409"/>
      <c r="F767" s="409"/>
    </row>
    <row r="768" spans="2:6" ht="12.75" customHeight="1" x14ac:dyDescent="0.25">
      <c r="B768" s="412">
        <v>43405</v>
      </c>
      <c r="C768" s="413">
        <v>1665.53</v>
      </c>
      <c r="D768" s="409"/>
      <c r="E768" s="409"/>
      <c r="F768" s="409"/>
    </row>
    <row r="769" spans="2:6" ht="12.75" customHeight="1" x14ac:dyDescent="0.25">
      <c r="B769" s="412">
        <v>43406</v>
      </c>
      <c r="C769" s="413">
        <v>1665.53</v>
      </c>
      <c r="D769" s="409"/>
      <c r="E769" s="409"/>
      <c r="F769" s="409"/>
    </row>
    <row r="770" spans="2:6" ht="12.75" customHeight="1" x14ac:dyDescent="0.25">
      <c r="B770" s="412">
        <v>43409</v>
      </c>
      <c r="C770" s="413">
        <v>1627.8</v>
      </c>
      <c r="D770" s="409"/>
      <c r="E770" s="409"/>
      <c r="F770" s="409"/>
    </row>
    <row r="771" spans="2:6" ht="12.75" customHeight="1" x14ac:dyDescent="0.25">
      <c r="B771" s="412">
        <v>43410</v>
      </c>
      <c r="C771" s="413">
        <v>1642.81</v>
      </c>
      <c r="D771" s="409"/>
      <c r="E771" s="409"/>
      <c r="F771" s="409"/>
    </row>
    <row r="772" spans="2:6" ht="12.75" customHeight="1" x14ac:dyDescent="0.25">
      <c r="B772" s="412">
        <v>43411</v>
      </c>
      <c r="C772" s="413">
        <v>1755.49</v>
      </c>
      <c r="D772" s="409"/>
      <c r="E772" s="409"/>
      <c r="F772" s="409"/>
    </row>
    <row r="773" spans="2:6" ht="12.75" customHeight="1" x14ac:dyDescent="0.25">
      <c r="B773" s="412">
        <v>43412</v>
      </c>
      <c r="C773" s="413">
        <v>1754.91</v>
      </c>
      <c r="D773" s="409"/>
      <c r="E773" s="409"/>
      <c r="F773" s="409"/>
    </row>
    <row r="774" spans="2:6" ht="12.75" customHeight="1" x14ac:dyDescent="0.25">
      <c r="B774" s="412">
        <v>43413</v>
      </c>
      <c r="C774" s="413">
        <v>1712.43</v>
      </c>
      <c r="D774" s="409"/>
      <c r="E774" s="409"/>
      <c r="F774" s="409"/>
    </row>
    <row r="775" spans="2:6" ht="12.75" customHeight="1" x14ac:dyDescent="0.25">
      <c r="B775" s="412">
        <v>43416</v>
      </c>
      <c r="C775" s="413">
        <v>1636.85</v>
      </c>
      <c r="D775" s="409"/>
      <c r="E775" s="409"/>
      <c r="F775" s="409"/>
    </row>
    <row r="776" spans="2:6" ht="12.75" customHeight="1" x14ac:dyDescent="0.25">
      <c r="B776" s="412">
        <v>43417</v>
      </c>
      <c r="C776" s="413">
        <v>1631.17</v>
      </c>
      <c r="D776" s="409"/>
      <c r="E776" s="409"/>
      <c r="F776" s="409"/>
    </row>
    <row r="777" spans="2:6" ht="12.75" customHeight="1" x14ac:dyDescent="0.25">
      <c r="B777" s="412">
        <v>43418</v>
      </c>
      <c r="C777" s="413">
        <v>1599.01</v>
      </c>
      <c r="D777" s="409"/>
      <c r="E777" s="409"/>
      <c r="F777" s="409"/>
    </row>
    <row r="778" spans="2:6" ht="12.75" customHeight="1" x14ac:dyDescent="0.25">
      <c r="B778" s="412">
        <v>43419</v>
      </c>
      <c r="C778" s="413">
        <v>1619.44</v>
      </c>
      <c r="D778" s="409"/>
      <c r="E778" s="409"/>
      <c r="F778" s="409"/>
    </row>
    <row r="779" spans="2:6" ht="12.75" customHeight="1" x14ac:dyDescent="0.25">
      <c r="B779" s="412">
        <v>43420</v>
      </c>
      <c r="C779" s="413">
        <v>1593.41</v>
      </c>
      <c r="D779" s="409"/>
      <c r="E779" s="409"/>
      <c r="F779" s="409"/>
    </row>
    <row r="780" spans="2:6" ht="12.75" customHeight="1" x14ac:dyDescent="0.25">
      <c r="B780" s="412">
        <v>43423</v>
      </c>
      <c r="C780" s="413">
        <v>1512.29</v>
      </c>
      <c r="D780" s="409"/>
      <c r="E780" s="409"/>
      <c r="F780" s="409"/>
    </row>
    <row r="781" spans="2:6" ht="12.75" customHeight="1" x14ac:dyDescent="0.25">
      <c r="B781" s="412">
        <v>43424</v>
      </c>
      <c r="C781" s="413">
        <v>1495.46</v>
      </c>
      <c r="D781" s="409"/>
      <c r="E781" s="409"/>
      <c r="F781" s="409"/>
    </row>
    <row r="782" spans="2:6" ht="12.75" customHeight="1" x14ac:dyDescent="0.25">
      <c r="B782" s="412">
        <v>43425</v>
      </c>
      <c r="C782" s="413">
        <v>1516.73</v>
      </c>
      <c r="D782" s="409"/>
      <c r="E782" s="409"/>
      <c r="F782" s="409"/>
    </row>
    <row r="783" spans="2:6" ht="12.75" customHeight="1" x14ac:dyDescent="0.25">
      <c r="B783" s="412">
        <v>43427</v>
      </c>
      <c r="C783" s="413">
        <v>1502.06</v>
      </c>
      <c r="D783" s="409"/>
      <c r="E783" s="409"/>
      <c r="F783" s="409"/>
    </row>
    <row r="784" spans="2:6" ht="12.75" customHeight="1" x14ac:dyDescent="0.25">
      <c r="B784" s="412">
        <v>43430</v>
      </c>
      <c r="C784" s="413">
        <v>1581.33</v>
      </c>
      <c r="D784" s="409"/>
      <c r="E784" s="409"/>
      <c r="F784" s="409"/>
    </row>
    <row r="785" spans="2:6" ht="12.75" customHeight="1" x14ac:dyDescent="0.25">
      <c r="B785" s="412">
        <v>43431</v>
      </c>
      <c r="C785" s="413">
        <v>1581.42</v>
      </c>
      <c r="D785" s="409"/>
      <c r="E785" s="409"/>
      <c r="F785" s="409"/>
    </row>
    <row r="786" spans="2:6" ht="12.75" customHeight="1" x14ac:dyDescent="0.25">
      <c r="B786" s="412">
        <v>43432</v>
      </c>
      <c r="C786" s="413">
        <v>1677.75</v>
      </c>
      <c r="D786" s="409"/>
      <c r="E786" s="409"/>
      <c r="F786" s="409"/>
    </row>
    <row r="787" spans="2:6" ht="12.75" customHeight="1" x14ac:dyDescent="0.25">
      <c r="B787" s="412">
        <v>43433</v>
      </c>
      <c r="C787" s="413">
        <v>1673.57</v>
      </c>
      <c r="D787" s="409"/>
      <c r="E787" s="409"/>
      <c r="F787" s="409"/>
    </row>
    <row r="788" spans="2:6" ht="12.75" customHeight="1" x14ac:dyDescent="0.25">
      <c r="B788" s="412">
        <v>43434</v>
      </c>
      <c r="C788" s="413">
        <v>1690.17</v>
      </c>
      <c r="D788" s="409"/>
      <c r="E788" s="409"/>
      <c r="F788" s="409"/>
    </row>
    <row r="789" spans="2:6" ht="12.75" customHeight="1" x14ac:dyDescent="0.25">
      <c r="B789" s="412">
        <v>43437</v>
      </c>
      <c r="C789" s="413">
        <v>1772.36</v>
      </c>
      <c r="D789" s="409"/>
      <c r="E789" s="409"/>
      <c r="F789" s="409"/>
    </row>
    <row r="790" spans="2:6" ht="12.75" customHeight="1" x14ac:dyDescent="0.25">
      <c r="B790" s="412">
        <v>43438</v>
      </c>
      <c r="C790" s="413">
        <v>1668.4</v>
      </c>
      <c r="D790" s="409"/>
      <c r="E790" s="409"/>
      <c r="F790" s="409"/>
    </row>
    <row r="791" spans="2:6" ht="12.75" customHeight="1" x14ac:dyDescent="0.25">
      <c r="B791" s="412">
        <v>43440</v>
      </c>
      <c r="C791" s="413">
        <v>1699.19</v>
      </c>
      <c r="D791" s="409"/>
      <c r="E791" s="409"/>
      <c r="F791" s="409"/>
    </row>
    <row r="792" spans="2:6" ht="12.75" customHeight="1" x14ac:dyDescent="0.25">
      <c r="B792" s="412">
        <v>43441</v>
      </c>
      <c r="C792" s="413">
        <v>1629.13</v>
      </c>
      <c r="D792" s="409"/>
      <c r="E792" s="409"/>
      <c r="F792" s="409"/>
    </row>
    <row r="793" spans="2:6" ht="12.75" customHeight="1" x14ac:dyDescent="0.25">
      <c r="B793" s="412">
        <v>43444</v>
      </c>
      <c r="C793" s="413">
        <v>1641.03</v>
      </c>
      <c r="D793" s="409"/>
      <c r="E793" s="409"/>
      <c r="F793" s="409"/>
    </row>
    <row r="794" spans="2:6" ht="12.75" customHeight="1" x14ac:dyDescent="0.25">
      <c r="B794" s="412">
        <v>43445</v>
      </c>
      <c r="C794" s="413">
        <v>1643.24</v>
      </c>
      <c r="D794" s="409"/>
      <c r="E794" s="409"/>
      <c r="F794" s="409"/>
    </row>
    <row r="795" spans="2:6" ht="12.75" customHeight="1" x14ac:dyDescent="0.25">
      <c r="B795" s="412">
        <v>43446</v>
      </c>
      <c r="C795" s="413">
        <v>1663.54</v>
      </c>
      <c r="D795" s="409"/>
      <c r="E795" s="409"/>
      <c r="F795" s="409"/>
    </row>
    <row r="796" spans="2:6" ht="12.75" customHeight="1" x14ac:dyDescent="0.25">
      <c r="B796" s="412">
        <v>43447</v>
      </c>
      <c r="C796" s="413">
        <v>1658.38</v>
      </c>
      <c r="D796" s="409"/>
      <c r="E796" s="409"/>
      <c r="F796" s="409"/>
    </row>
    <row r="797" spans="2:6" ht="12.75" customHeight="1" x14ac:dyDescent="0.25">
      <c r="B797" s="412">
        <v>43448</v>
      </c>
      <c r="C797" s="413">
        <v>1591.91</v>
      </c>
      <c r="D797" s="409"/>
      <c r="E797" s="409"/>
      <c r="F797" s="409"/>
    </row>
    <row r="798" spans="2:6" ht="12.75" customHeight="1" x14ac:dyDescent="0.25">
      <c r="B798" s="412">
        <v>43451</v>
      </c>
      <c r="C798" s="413">
        <v>1520.91</v>
      </c>
      <c r="D798" s="409"/>
      <c r="E798" s="409"/>
      <c r="F798" s="409"/>
    </row>
    <row r="799" spans="2:6" ht="12.75" customHeight="1" x14ac:dyDescent="0.25">
      <c r="B799" s="412">
        <v>43452</v>
      </c>
      <c r="C799" s="413">
        <v>1551.48</v>
      </c>
      <c r="D799" s="409"/>
      <c r="E799" s="409"/>
      <c r="F799" s="409"/>
    </row>
    <row r="800" spans="2:6" ht="12.75" customHeight="1" x14ac:dyDescent="0.25">
      <c r="B800" s="412">
        <v>43453</v>
      </c>
      <c r="C800" s="413">
        <v>1495.08</v>
      </c>
      <c r="D800" s="409"/>
      <c r="E800" s="409"/>
      <c r="F800" s="409"/>
    </row>
    <row r="801" spans="2:6" ht="12.75" customHeight="1" x14ac:dyDescent="0.25">
      <c r="B801" s="412">
        <v>43454</v>
      </c>
      <c r="C801" s="413">
        <v>1460.83</v>
      </c>
      <c r="D801" s="409"/>
      <c r="E801" s="409"/>
      <c r="F801" s="409"/>
    </row>
    <row r="802" spans="2:6" ht="12.75" customHeight="1" x14ac:dyDescent="0.25">
      <c r="B802" s="412">
        <v>43455</v>
      </c>
      <c r="C802" s="413">
        <v>1377.45</v>
      </c>
      <c r="D802" s="409"/>
      <c r="E802" s="409"/>
      <c r="F802" s="409"/>
    </row>
    <row r="803" spans="2:6" ht="12.75" customHeight="1" x14ac:dyDescent="0.25">
      <c r="B803" s="412">
        <v>43458</v>
      </c>
      <c r="C803" s="413">
        <v>1343.96</v>
      </c>
      <c r="D803" s="409"/>
      <c r="E803" s="409"/>
      <c r="F803" s="409"/>
    </row>
    <row r="804" spans="2:6" ht="12.75" customHeight="1" x14ac:dyDescent="0.25">
      <c r="B804" s="412">
        <v>43460</v>
      </c>
      <c r="C804" s="413">
        <v>1470.9</v>
      </c>
      <c r="D804" s="409"/>
      <c r="E804" s="409"/>
      <c r="F804" s="409"/>
    </row>
    <row r="805" spans="2:6" ht="12.75" customHeight="1" x14ac:dyDescent="0.25">
      <c r="B805" s="412">
        <v>43461</v>
      </c>
      <c r="C805" s="413">
        <v>1461.64</v>
      </c>
      <c r="D805" s="409"/>
      <c r="E805" s="409"/>
      <c r="F805" s="409"/>
    </row>
    <row r="806" spans="2:6" ht="12.75" customHeight="1" x14ac:dyDescent="0.25">
      <c r="B806" s="412">
        <v>43462</v>
      </c>
      <c r="C806" s="413">
        <v>1478.02</v>
      </c>
      <c r="D806" s="409"/>
      <c r="E806" s="409"/>
      <c r="F806" s="409"/>
    </row>
    <row r="807" spans="2:6" ht="12.75" customHeight="1" x14ac:dyDescent="0.25">
      <c r="B807" s="412">
        <v>43465</v>
      </c>
      <c r="C807" s="413">
        <v>1501.97</v>
      </c>
      <c r="D807" s="409"/>
      <c r="E807" s="409"/>
      <c r="F807" s="409"/>
    </row>
    <row r="808" spans="2:6" ht="12.75" customHeight="1" x14ac:dyDescent="0.25">
      <c r="B808" s="412">
        <v>43466</v>
      </c>
      <c r="C808" s="413">
        <v>1501.97</v>
      </c>
      <c r="D808" s="409"/>
      <c r="E808" s="409"/>
      <c r="F808" s="409"/>
    </row>
    <row r="809" spans="2:6" ht="12.75" customHeight="1" x14ac:dyDescent="0.25">
      <c r="B809" s="412">
        <v>43467</v>
      </c>
      <c r="C809" s="413">
        <v>1539.13</v>
      </c>
      <c r="D809" s="409"/>
      <c r="E809" s="409"/>
      <c r="F809" s="409"/>
    </row>
    <row r="810" spans="2:6" ht="12.75" customHeight="1" x14ac:dyDescent="0.25">
      <c r="B810" s="412">
        <v>43468</v>
      </c>
      <c r="C810" s="413">
        <v>1500.28</v>
      </c>
      <c r="D810" s="409"/>
      <c r="E810" s="409"/>
      <c r="F810" s="409"/>
    </row>
    <row r="811" spans="2:6" ht="12.75" customHeight="1" x14ac:dyDescent="0.25">
      <c r="B811" s="412">
        <v>43469</v>
      </c>
      <c r="C811" s="413">
        <v>1575.39</v>
      </c>
      <c r="D811" s="409"/>
      <c r="E811" s="409"/>
      <c r="F811" s="409"/>
    </row>
    <row r="812" spans="2:6" ht="12.75" customHeight="1" x14ac:dyDescent="0.25">
      <c r="B812" s="412">
        <v>43472</v>
      </c>
      <c r="C812" s="413">
        <v>1629.51</v>
      </c>
      <c r="D812" s="409"/>
      <c r="E812" s="409"/>
      <c r="F812" s="409"/>
    </row>
    <row r="813" spans="2:6" ht="12.75" customHeight="1" x14ac:dyDescent="0.25">
      <c r="B813" s="412">
        <v>43473</v>
      </c>
      <c r="C813" s="413">
        <v>1656.58</v>
      </c>
      <c r="D813" s="409"/>
      <c r="E813" s="409"/>
      <c r="F813" s="409"/>
    </row>
    <row r="814" spans="2:6" ht="12.75" customHeight="1" x14ac:dyDescent="0.25">
      <c r="B814" s="412">
        <v>43474</v>
      </c>
      <c r="C814" s="413">
        <v>1659.42</v>
      </c>
      <c r="D814" s="409"/>
      <c r="E814" s="409"/>
      <c r="F814" s="409"/>
    </row>
    <row r="815" spans="2:6" ht="12.75" customHeight="1" x14ac:dyDescent="0.25">
      <c r="B815" s="412">
        <v>43475</v>
      </c>
      <c r="C815" s="413">
        <v>1656.22</v>
      </c>
      <c r="D815" s="409"/>
      <c r="E815" s="409"/>
      <c r="F815" s="409"/>
    </row>
    <row r="816" spans="2:6" ht="12.75" customHeight="1" x14ac:dyDescent="0.25">
      <c r="B816" s="412">
        <v>43476</v>
      </c>
      <c r="C816" s="413">
        <v>1640.56</v>
      </c>
      <c r="D816" s="409"/>
      <c r="E816" s="409"/>
      <c r="F816" s="409"/>
    </row>
    <row r="817" spans="2:6" ht="12.75" customHeight="1" x14ac:dyDescent="0.25">
      <c r="B817" s="412">
        <v>43479</v>
      </c>
      <c r="C817" s="413">
        <v>1617.21</v>
      </c>
      <c r="D817" s="409"/>
      <c r="E817" s="409"/>
      <c r="F817" s="409"/>
    </row>
    <row r="818" spans="2:6" ht="12.75" customHeight="1" x14ac:dyDescent="0.25">
      <c r="B818" s="412">
        <v>43480</v>
      </c>
      <c r="C818" s="413">
        <v>1674.56</v>
      </c>
      <c r="D818" s="409"/>
      <c r="E818" s="409"/>
      <c r="F818" s="409"/>
    </row>
    <row r="819" spans="2:6" ht="12.75" customHeight="1" x14ac:dyDescent="0.25">
      <c r="B819" s="412">
        <v>43481</v>
      </c>
      <c r="C819" s="413">
        <v>1683.78</v>
      </c>
      <c r="D819" s="409"/>
      <c r="E819" s="409"/>
      <c r="F819" s="409"/>
    </row>
    <row r="820" spans="2:6" ht="12.75" customHeight="1" x14ac:dyDescent="0.25">
      <c r="B820" s="412">
        <v>43482</v>
      </c>
      <c r="C820" s="413">
        <v>1693.22</v>
      </c>
      <c r="D820" s="409"/>
      <c r="E820" s="409"/>
      <c r="F820" s="409"/>
    </row>
    <row r="821" spans="2:6" ht="12.75" customHeight="1" x14ac:dyDescent="0.25">
      <c r="B821" s="412">
        <v>43483</v>
      </c>
      <c r="C821" s="413">
        <v>1696.2</v>
      </c>
      <c r="D821" s="409"/>
      <c r="E821" s="409"/>
      <c r="F821" s="409"/>
    </row>
    <row r="822" spans="2:6" ht="12.75" customHeight="1" x14ac:dyDescent="0.25">
      <c r="B822" s="412">
        <v>43486</v>
      </c>
      <c r="C822" s="413">
        <v>1696.2</v>
      </c>
      <c r="D822" s="409"/>
      <c r="E822" s="409"/>
      <c r="F822" s="409"/>
    </row>
    <row r="823" spans="2:6" ht="12.75" customHeight="1" x14ac:dyDescent="0.25">
      <c r="B823" s="412">
        <v>43487</v>
      </c>
      <c r="C823" s="413">
        <v>1632.17</v>
      </c>
      <c r="D823" s="409"/>
      <c r="E823" s="409"/>
      <c r="F823" s="409"/>
    </row>
    <row r="824" spans="2:6" ht="12.75" customHeight="1" x14ac:dyDescent="0.25">
      <c r="B824" s="412">
        <v>43488</v>
      </c>
      <c r="C824" s="413">
        <v>1640.02</v>
      </c>
      <c r="D824" s="409"/>
      <c r="E824" s="409"/>
      <c r="F824" s="409"/>
    </row>
    <row r="825" spans="2:6" ht="12.75" customHeight="1" x14ac:dyDescent="0.25">
      <c r="B825" s="412">
        <v>43489</v>
      </c>
      <c r="C825" s="413">
        <v>1654.93</v>
      </c>
      <c r="D825" s="409"/>
      <c r="E825" s="409"/>
      <c r="F825" s="409"/>
    </row>
    <row r="826" spans="2:6" ht="12.75" customHeight="1" x14ac:dyDescent="0.25">
      <c r="B826" s="412">
        <v>43490</v>
      </c>
      <c r="C826" s="413">
        <v>1670.57</v>
      </c>
      <c r="D826" s="409"/>
      <c r="E826" s="409"/>
      <c r="F826" s="409"/>
    </row>
    <row r="827" spans="2:6" ht="12.75" customHeight="1" x14ac:dyDescent="0.25">
      <c r="B827" s="412">
        <v>43493</v>
      </c>
      <c r="C827" s="413">
        <v>1637.89</v>
      </c>
      <c r="D827" s="409"/>
      <c r="E827" s="409"/>
      <c r="F827" s="409"/>
    </row>
    <row r="828" spans="2:6" ht="12.75" customHeight="1" x14ac:dyDescent="0.25">
      <c r="B828" s="412">
        <v>43494</v>
      </c>
      <c r="C828" s="413">
        <v>1593.88</v>
      </c>
      <c r="D828" s="409"/>
      <c r="E828" s="409"/>
      <c r="F828" s="409"/>
    </row>
    <row r="829" spans="2:6" ht="12.75" customHeight="1" x14ac:dyDescent="0.25">
      <c r="B829" s="412">
        <v>43495</v>
      </c>
      <c r="C829" s="413">
        <v>1670.43</v>
      </c>
      <c r="D829" s="409"/>
      <c r="E829" s="409"/>
      <c r="F829" s="409"/>
    </row>
    <row r="830" spans="2:6" ht="12.75" customHeight="1" x14ac:dyDescent="0.25">
      <c r="B830" s="412">
        <v>43496</v>
      </c>
      <c r="C830" s="413">
        <v>1718.73</v>
      </c>
      <c r="D830" s="409"/>
      <c r="E830" s="409"/>
      <c r="F830" s="409"/>
    </row>
    <row r="831" spans="2:6" ht="12.75" customHeight="1" x14ac:dyDescent="0.25">
      <c r="B831" s="412">
        <v>43497</v>
      </c>
      <c r="C831" s="413">
        <v>1626.23</v>
      </c>
      <c r="D831" s="409"/>
      <c r="E831" s="409"/>
      <c r="F831" s="409"/>
    </row>
    <row r="832" spans="2:6" ht="12.75" customHeight="1" x14ac:dyDescent="0.25">
      <c r="B832" s="412">
        <v>43500</v>
      </c>
      <c r="C832" s="413">
        <v>1633.31</v>
      </c>
      <c r="D832" s="409"/>
      <c r="E832" s="409"/>
      <c r="F832" s="409"/>
    </row>
    <row r="833" spans="2:6" ht="12.75" customHeight="1" x14ac:dyDescent="0.25">
      <c r="B833" s="412">
        <v>43501</v>
      </c>
      <c r="C833" s="413">
        <v>1658.81</v>
      </c>
      <c r="D833" s="409"/>
      <c r="E833" s="409"/>
      <c r="F833" s="409"/>
    </row>
    <row r="834" spans="2:6" ht="12.75" customHeight="1" x14ac:dyDescent="0.25">
      <c r="B834" s="412">
        <v>43502</v>
      </c>
      <c r="C834" s="413">
        <v>1640.26</v>
      </c>
      <c r="D834" s="409"/>
      <c r="E834" s="409"/>
      <c r="F834" s="409"/>
    </row>
    <row r="835" spans="2:6" ht="12.75" customHeight="1" x14ac:dyDescent="0.25">
      <c r="B835" s="412">
        <v>43503</v>
      </c>
      <c r="C835" s="413">
        <v>1614.37</v>
      </c>
      <c r="D835" s="409"/>
      <c r="E835" s="409"/>
      <c r="F835" s="409"/>
    </row>
    <row r="836" spans="2:6" ht="12.75" customHeight="1" x14ac:dyDescent="0.25">
      <c r="B836" s="412">
        <v>43504</v>
      </c>
      <c r="C836" s="413">
        <v>1588.22</v>
      </c>
      <c r="D836" s="409"/>
      <c r="E836" s="409"/>
      <c r="F836" s="409"/>
    </row>
    <row r="837" spans="2:6" ht="12.75" customHeight="1" x14ac:dyDescent="0.25">
      <c r="B837" s="412">
        <v>43507</v>
      </c>
      <c r="C837" s="413">
        <v>1591</v>
      </c>
      <c r="D837" s="409"/>
      <c r="E837" s="409"/>
      <c r="F837" s="409"/>
    </row>
    <row r="838" spans="2:6" ht="12.75" customHeight="1" x14ac:dyDescent="0.25">
      <c r="B838" s="412">
        <v>43508</v>
      </c>
      <c r="C838" s="413">
        <v>1638.01</v>
      </c>
      <c r="D838" s="409"/>
      <c r="E838" s="409"/>
      <c r="F838" s="409"/>
    </row>
    <row r="839" spans="2:6" ht="12.75" customHeight="1" x14ac:dyDescent="0.25">
      <c r="B839" s="412">
        <v>43509</v>
      </c>
      <c r="C839" s="413">
        <v>1640</v>
      </c>
      <c r="D839" s="409"/>
      <c r="E839" s="409"/>
      <c r="F839" s="409"/>
    </row>
    <row r="840" spans="2:6" ht="12.75" customHeight="1" x14ac:dyDescent="0.25">
      <c r="B840" s="412">
        <v>43510</v>
      </c>
      <c r="C840" s="413">
        <v>1622.65</v>
      </c>
      <c r="D840" s="409"/>
      <c r="E840" s="409"/>
      <c r="F840" s="409"/>
    </row>
    <row r="841" spans="2:6" ht="12.75" customHeight="1" x14ac:dyDescent="0.25">
      <c r="B841" s="412">
        <v>43511</v>
      </c>
      <c r="C841" s="413">
        <v>1607.95</v>
      </c>
      <c r="D841" s="409"/>
      <c r="E841" s="409"/>
      <c r="F841" s="409"/>
    </row>
    <row r="842" spans="2:6" ht="12.75" customHeight="1" x14ac:dyDescent="0.25">
      <c r="B842" s="412">
        <v>43514</v>
      </c>
      <c r="C842" s="413">
        <v>1607.95</v>
      </c>
      <c r="D842" s="409"/>
      <c r="E842" s="409"/>
      <c r="F842" s="409"/>
    </row>
    <row r="843" spans="2:6" ht="12.75" customHeight="1" x14ac:dyDescent="0.25">
      <c r="B843" s="412">
        <v>43515</v>
      </c>
      <c r="C843" s="413">
        <v>1627.58</v>
      </c>
      <c r="D843" s="409"/>
      <c r="E843" s="409"/>
      <c r="F843" s="409"/>
    </row>
    <row r="844" spans="2:6" ht="12.75" customHeight="1" x14ac:dyDescent="0.25">
      <c r="B844" s="412">
        <v>43516</v>
      </c>
      <c r="C844" s="413">
        <v>1622.1</v>
      </c>
      <c r="D844" s="409"/>
      <c r="E844" s="409"/>
      <c r="F844" s="409"/>
    </row>
    <row r="845" spans="2:6" ht="12.75" customHeight="1" x14ac:dyDescent="0.25">
      <c r="B845" s="412">
        <v>43517</v>
      </c>
      <c r="C845" s="413">
        <v>1619.44</v>
      </c>
      <c r="D845" s="409"/>
      <c r="E845" s="409"/>
      <c r="F845" s="409"/>
    </row>
    <row r="846" spans="2:6" ht="12.75" customHeight="1" x14ac:dyDescent="0.25">
      <c r="B846" s="412">
        <v>43518</v>
      </c>
      <c r="C846" s="413">
        <v>1631.56</v>
      </c>
      <c r="D846" s="409"/>
      <c r="E846" s="409"/>
      <c r="F846" s="409"/>
    </row>
    <row r="847" spans="2:6" ht="12.75" customHeight="1" x14ac:dyDescent="0.25">
      <c r="B847" s="412">
        <v>43521</v>
      </c>
      <c r="C847" s="413">
        <v>1633</v>
      </c>
      <c r="D847" s="409"/>
      <c r="E847" s="409"/>
      <c r="F847" s="409"/>
    </row>
    <row r="848" spans="2:6" ht="12.75" customHeight="1" x14ac:dyDescent="0.25">
      <c r="B848" s="412">
        <v>43522</v>
      </c>
      <c r="C848" s="413">
        <v>1636.4</v>
      </c>
      <c r="D848" s="409"/>
      <c r="E848" s="409"/>
      <c r="F848" s="409"/>
    </row>
    <row r="849" spans="2:6" ht="12.75" customHeight="1" x14ac:dyDescent="0.25">
      <c r="B849" s="412">
        <v>43523</v>
      </c>
      <c r="C849" s="413">
        <v>1641.09</v>
      </c>
      <c r="D849" s="409"/>
      <c r="E849" s="409"/>
      <c r="F849" s="409"/>
    </row>
    <row r="850" spans="2:6" ht="12.75" customHeight="1" x14ac:dyDescent="0.25">
      <c r="B850" s="412">
        <v>43524</v>
      </c>
      <c r="C850" s="413">
        <v>1639.83</v>
      </c>
      <c r="D850" s="409"/>
      <c r="E850" s="409"/>
      <c r="F850" s="409"/>
    </row>
    <row r="851" spans="2:6" ht="12.75" customHeight="1" x14ac:dyDescent="0.25">
      <c r="B851" s="412">
        <v>43525</v>
      </c>
      <c r="C851" s="413">
        <v>1671.73</v>
      </c>
      <c r="D851" s="409"/>
      <c r="E851" s="409"/>
      <c r="F851" s="409"/>
    </row>
    <row r="852" spans="2:6" ht="12.75" customHeight="1" x14ac:dyDescent="0.25">
      <c r="B852" s="412">
        <v>43528</v>
      </c>
      <c r="C852" s="413">
        <v>1696.17</v>
      </c>
      <c r="D852" s="409"/>
      <c r="E852" s="409"/>
      <c r="F852" s="409"/>
    </row>
    <row r="853" spans="2:6" ht="12.75" customHeight="1" x14ac:dyDescent="0.25">
      <c r="B853" s="412">
        <v>43529</v>
      </c>
      <c r="C853" s="413">
        <v>1692.43</v>
      </c>
      <c r="D853" s="409"/>
      <c r="E853" s="409"/>
      <c r="F853" s="409"/>
    </row>
    <row r="854" spans="2:6" ht="12.75" customHeight="1" x14ac:dyDescent="0.25">
      <c r="B854" s="412">
        <v>43530</v>
      </c>
      <c r="C854" s="413">
        <v>1668.95</v>
      </c>
      <c r="D854" s="409"/>
      <c r="E854" s="409"/>
      <c r="F854" s="409"/>
    </row>
    <row r="855" spans="2:6" ht="12.75" customHeight="1" x14ac:dyDescent="0.25">
      <c r="B855" s="412">
        <v>43531</v>
      </c>
      <c r="C855" s="413">
        <v>1625.95</v>
      </c>
      <c r="D855" s="409"/>
      <c r="E855" s="409"/>
      <c r="F855" s="409"/>
    </row>
    <row r="856" spans="2:6" ht="12.75" customHeight="1" x14ac:dyDescent="0.25">
      <c r="B856" s="412">
        <v>43532</v>
      </c>
      <c r="C856" s="413">
        <v>1620.8</v>
      </c>
      <c r="D856" s="409"/>
      <c r="E856" s="409"/>
      <c r="F856" s="409"/>
    </row>
    <row r="857" spans="2:6" ht="12.75" customHeight="1" x14ac:dyDescent="0.25">
      <c r="B857" s="412">
        <v>43535</v>
      </c>
      <c r="C857" s="413">
        <v>1670.62</v>
      </c>
      <c r="D857" s="409"/>
      <c r="E857" s="409"/>
      <c r="F857" s="409"/>
    </row>
    <row r="858" spans="2:6" ht="12.75" customHeight="1" x14ac:dyDescent="0.25">
      <c r="B858" s="412">
        <v>43536</v>
      </c>
      <c r="C858" s="413">
        <v>1673.1</v>
      </c>
      <c r="D858" s="409"/>
      <c r="E858" s="409"/>
      <c r="F858" s="409"/>
    </row>
    <row r="859" spans="2:6" ht="12.75" customHeight="1" x14ac:dyDescent="0.25">
      <c r="B859" s="412">
        <v>43537</v>
      </c>
      <c r="C859" s="413">
        <v>1690.81</v>
      </c>
      <c r="D859" s="409"/>
      <c r="E859" s="409"/>
      <c r="F859" s="409"/>
    </row>
    <row r="860" spans="2:6" ht="12.75" customHeight="1" x14ac:dyDescent="0.25">
      <c r="B860" s="412">
        <v>43538</v>
      </c>
      <c r="C860" s="413">
        <v>1686.22</v>
      </c>
      <c r="D860" s="409"/>
      <c r="E860" s="409"/>
      <c r="F860" s="409"/>
    </row>
    <row r="861" spans="2:6" ht="12.75" customHeight="1" x14ac:dyDescent="0.25">
      <c r="B861" s="412">
        <v>43539</v>
      </c>
      <c r="C861" s="413">
        <v>1712.36</v>
      </c>
      <c r="D861" s="409"/>
      <c r="E861" s="409"/>
      <c r="F861" s="409"/>
    </row>
    <row r="862" spans="2:6" ht="12.75" customHeight="1" x14ac:dyDescent="0.25">
      <c r="B862" s="412">
        <v>43542</v>
      </c>
      <c r="C862" s="413">
        <v>1742.15</v>
      </c>
      <c r="D862" s="409"/>
      <c r="E862" s="409"/>
      <c r="F862" s="409"/>
    </row>
    <row r="863" spans="2:6" ht="12.75" customHeight="1" x14ac:dyDescent="0.25">
      <c r="B863" s="412">
        <v>43543</v>
      </c>
      <c r="C863" s="413">
        <v>1761.85</v>
      </c>
      <c r="D863" s="409"/>
      <c r="E863" s="409"/>
      <c r="F863" s="409"/>
    </row>
    <row r="864" spans="2:6" ht="12.75" customHeight="1" x14ac:dyDescent="0.25">
      <c r="B864" s="412">
        <v>43544</v>
      </c>
      <c r="C864" s="413">
        <v>1797.27</v>
      </c>
      <c r="D864" s="409"/>
      <c r="E864" s="409"/>
      <c r="F864" s="409"/>
    </row>
    <row r="865" spans="2:6" ht="12.75" customHeight="1" x14ac:dyDescent="0.25">
      <c r="B865" s="412">
        <v>43545</v>
      </c>
      <c r="C865" s="413">
        <v>1819.26</v>
      </c>
      <c r="D865" s="409"/>
      <c r="E865" s="409"/>
      <c r="F865" s="409"/>
    </row>
    <row r="866" spans="2:6" ht="12.75" customHeight="1" x14ac:dyDescent="0.25">
      <c r="B866" s="412">
        <v>43546</v>
      </c>
      <c r="C866" s="413">
        <v>1764.77</v>
      </c>
      <c r="D866" s="409"/>
      <c r="E866" s="409"/>
      <c r="F866" s="409"/>
    </row>
    <row r="867" spans="2:6" ht="12.75" customHeight="1" x14ac:dyDescent="0.25">
      <c r="B867" s="412">
        <v>43549</v>
      </c>
      <c r="C867" s="413">
        <v>1774.26</v>
      </c>
      <c r="D867" s="409"/>
      <c r="E867" s="409"/>
      <c r="F867" s="409"/>
    </row>
    <row r="868" spans="2:6" ht="12.75" customHeight="1" x14ac:dyDescent="0.25">
      <c r="B868" s="412">
        <v>43550</v>
      </c>
      <c r="C868" s="413">
        <v>1783.76</v>
      </c>
      <c r="D868" s="409"/>
      <c r="E868" s="409"/>
      <c r="F868" s="409"/>
    </row>
    <row r="869" spans="2:6" ht="12.75" customHeight="1" x14ac:dyDescent="0.25">
      <c r="B869" s="412">
        <v>43551</v>
      </c>
      <c r="C869" s="413">
        <v>1765.7</v>
      </c>
      <c r="D869" s="409"/>
      <c r="E869" s="409"/>
      <c r="F869" s="409"/>
    </row>
    <row r="870" spans="2:6" ht="12.75" customHeight="1" x14ac:dyDescent="0.25">
      <c r="B870" s="412">
        <v>43552</v>
      </c>
      <c r="C870" s="413">
        <v>1773.42</v>
      </c>
      <c r="D870" s="409"/>
      <c r="E870" s="409"/>
      <c r="F870" s="409"/>
    </row>
    <row r="871" spans="2:6" ht="12.75" customHeight="1" x14ac:dyDescent="0.25">
      <c r="B871" s="412">
        <v>43553</v>
      </c>
      <c r="C871" s="413">
        <v>1780.75</v>
      </c>
      <c r="D871" s="409"/>
      <c r="E871" s="409"/>
      <c r="F871" s="409"/>
    </row>
    <row r="872" spans="2:6" ht="12.75" customHeight="1" x14ac:dyDescent="0.25">
      <c r="B872" s="412">
        <v>43556</v>
      </c>
      <c r="C872" s="413">
        <v>1814.19</v>
      </c>
      <c r="D872" s="409"/>
      <c r="E872" s="409"/>
      <c r="F872" s="409"/>
    </row>
    <row r="873" spans="2:6" ht="12.75" customHeight="1" x14ac:dyDescent="0.25">
      <c r="B873" s="412">
        <v>43557</v>
      </c>
      <c r="C873" s="413">
        <v>1813.98</v>
      </c>
      <c r="D873" s="409"/>
      <c r="E873" s="409"/>
      <c r="F873" s="409"/>
    </row>
    <row r="874" spans="2:6" ht="12.75" customHeight="1" x14ac:dyDescent="0.25">
      <c r="B874" s="412">
        <v>43558</v>
      </c>
      <c r="C874" s="413">
        <v>1820.7</v>
      </c>
      <c r="D874" s="409"/>
      <c r="E874" s="409"/>
      <c r="F874" s="409"/>
    </row>
    <row r="875" spans="2:6" ht="12.75" customHeight="1" x14ac:dyDescent="0.25">
      <c r="B875" s="412">
        <v>43559</v>
      </c>
      <c r="C875" s="413">
        <v>1818.86</v>
      </c>
      <c r="D875" s="409"/>
      <c r="E875" s="409"/>
      <c r="F875" s="409"/>
    </row>
    <row r="876" spans="2:6" ht="12.75" customHeight="1" x14ac:dyDescent="0.25">
      <c r="B876" s="412">
        <v>43560</v>
      </c>
      <c r="C876" s="413">
        <v>1837.28</v>
      </c>
      <c r="D876" s="409"/>
      <c r="E876" s="409"/>
      <c r="F876" s="409"/>
    </row>
    <row r="877" spans="2:6" ht="12.75" customHeight="1" x14ac:dyDescent="0.25">
      <c r="B877" s="412">
        <v>43563</v>
      </c>
      <c r="C877" s="413">
        <v>1849.86</v>
      </c>
      <c r="D877" s="409"/>
      <c r="E877" s="409"/>
      <c r="F877" s="409"/>
    </row>
    <row r="878" spans="2:6" ht="12.75" customHeight="1" x14ac:dyDescent="0.25">
      <c r="B878" s="412">
        <v>43564</v>
      </c>
      <c r="C878" s="413">
        <v>1835.84</v>
      </c>
      <c r="D878" s="409"/>
      <c r="E878" s="409"/>
      <c r="F878" s="409"/>
    </row>
    <row r="879" spans="2:6" ht="12.75" customHeight="1" x14ac:dyDescent="0.25">
      <c r="B879" s="412">
        <v>43565</v>
      </c>
      <c r="C879" s="413">
        <v>1847.33</v>
      </c>
      <c r="D879" s="409"/>
      <c r="E879" s="409"/>
      <c r="F879" s="409"/>
    </row>
    <row r="880" spans="2:6" ht="12.75" customHeight="1" x14ac:dyDescent="0.25">
      <c r="B880" s="412">
        <v>43566</v>
      </c>
      <c r="C880" s="413">
        <v>1844.07</v>
      </c>
      <c r="D880" s="409"/>
      <c r="E880" s="409"/>
      <c r="F880" s="409"/>
    </row>
    <row r="881" spans="2:6" ht="12.75" customHeight="1" x14ac:dyDescent="0.25">
      <c r="B881" s="412">
        <v>43567</v>
      </c>
      <c r="C881" s="413">
        <v>1843.06</v>
      </c>
      <c r="D881" s="409"/>
      <c r="E881" s="409"/>
      <c r="F881" s="409"/>
    </row>
    <row r="882" spans="2:6" ht="12.75" customHeight="1" x14ac:dyDescent="0.25">
      <c r="B882" s="412">
        <v>43570</v>
      </c>
      <c r="C882" s="413">
        <v>1844.87</v>
      </c>
      <c r="D882" s="409"/>
      <c r="E882" s="409"/>
      <c r="F882" s="409"/>
    </row>
    <row r="883" spans="2:6" ht="12.75" customHeight="1" x14ac:dyDescent="0.25">
      <c r="B883" s="412">
        <v>43571</v>
      </c>
      <c r="C883" s="413">
        <v>1863.04</v>
      </c>
      <c r="D883" s="409"/>
      <c r="E883" s="409"/>
      <c r="F883" s="409"/>
    </row>
    <row r="884" spans="2:6" ht="12.75" customHeight="1" x14ac:dyDescent="0.25">
      <c r="B884" s="412">
        <v>43572</v>
      </c>
      <c r="C884" s="413">
        <v>1864.82</v>
      </c>
      <c r="D884" s="409"/>
      <c r="E884" s="409"/>
      <c r="F884" s="409"/>
    </row>
    <row r="885" spans="2:6" ht="12.75" customHeight="1" x14ac:dyDescent="0.25">
      <c r="B885" s="412">
        <v>43573</v>
      </c>
      <c r="C885" s="413">
        <v>1861.69</v>
      </c>
      <c r="D885" s="409"/>
      <c r="E885" s="409"/>
      <c r="F885" s="409"/>
    </row>
    <row r="886" spans="2:6" ht="12.75" customHeight="1" x14ac:dyDescent="0.25">
      <c r="B886" s="412">
        <v>43574</v>
      </c>
      <c r="C886" s="413">
        <v>1861.69</v>
      </c>
      <c r="D886" s="409"/>
      <c r="E886" s="409"/>
      <c r="F886" s="409"/>
    </row>
    <row r="887" spans="2:6" ht="12.75" customHeight="1" x14ac:dyDescent="0.25">
      <c r="B887" s="412">
        <v>43577</v>
      </c>
      <c r="C887" s="413">
        <v>1887.31</v>
      </c>
      <c r="D887" s="409"/>
      <c r="E887" s="409"/>
      <c r="F887" s="409"/>
    </row>
    <row r="888" spans="2:6" ht="12.75" customHeight="1" x14ac:dyDescent="0.25">
      <c r="B888" s="412">
        <v>43578</v>
      </c>
      <c r="C888" s="413">
        <v>1923.77</v>
      </c>
      <c r="D888" s="409"/>
      <c r="E888" s="409"/>
      <c r="F888" s="409"/>
    </row>
    <row r="889" spans="2:6" ht="12.75" customHeight="1" x14ac:dyDescent="0.25">
      <c r="B889" s="412">
        <v>43579</v>
      </c>
      <c r="C889" s="413">
        <v>1901.75</v>
      </c>
      <c r="D889" s="409"/>
      <c r="E889" s="409"/>
      <c r="F889" s="409"/>
    </row>
    <row r="890" spans="2:6" ht="12.75" customHeight="1" x14ac:dyDescent="0.25">
      <c r="B890" s="412">
        <v>43580</v>
      </c>
      <c r="C890" s="413">
        <v>1902.25</v>
      </c>
      <c r="D890" s="409"/>
      <c r="E890" s="409"/>
      <c r="F890" s="409"/>
    </row>
    <row r="891" spans="2:6" ht="12.75" customHeight="1" x14ac:dyDescent="0.25">
      <c r="B891" s="412">
        <v>43581</v>
      </c>
      <c r="C891" s="413">
        <v>1950.63</v>
      </c>
      <c r="D891" s="409"/>
      <c r="E891" s="409"/>
      <c r="F891" s="409"/>
    </row>
    <row r="892" spans="2:6" ht="12.75" customHeight="1" x14ac:dyDescent="0.25">
      <c r="B892" s="412">
        <v>43584</v>
      </c>
      <c r="C892" s="413">
        <v>1938.43</v>
      </c>
      <c r="D892" s="409"/>
      <c r="E892" s="409"/>
      <c r="F892" s="409"/>
    </row>
    <row r="893" spans="2:6" ht="12.75" customHeight="1" x14ac:dyDescent="0.25">
      <c r="B893" s="412">
        <v>43585</v>
      </c>
      <c r="C893" s="413">
        <v>1926.52</v>
      </c>
      <c r="D893" s="409"/>
      <c r="E893" s="409"/>
      <c r="F893" s="409"/>
    </row>
    <row r="894" spans="2:6" ht="12.75" customHeight="1" x14ac:dyDescent="0.25">
      <c r="B894" s="412">
        <v>43586</v>
      </c>
      <c r="C894" s="413">
        <v>1911.52</v>
      </c>
      <c r="D894" s="409"/>
      <c r="E894" s="409"/>
      <c r="F894" s="409"/>
    </row>
    <row r="895" spans="2:6" ht="12.75" customHeight="1" x14ac:dyDescent="0.25">
      <c r="B895" s="412">
        <v>43587</v>
      </c>
      <c r="C895" s="413">
        <v>1900.82</v>
      </c>
      <c r="D895" s="409"/>
      <c r="E895" s="409"/>
      <c r="F895" s="409"/>
    </row>
    <row r="896" spans="2:6" ht="12.75" customHeight="1" x14ac:dyDescent="0.25">
      <c r="B896" s="412">
        <v>43588</v>
      </c>
      <c r="C896" s="413">
        <v>1962.46</v>
      </c>
      <c r="D896" s="409"/>
      <c r="E896" s="409"/>
      <c r="F896" s="409"/>
    </row>
    <row r="897" spans="2:6" ht="12.75" customHeight="1" x14ac:dyDescent="0.25">
      <c r="B897" s="412">
        <v>43591</v>
      </c>
      <c r="C897" s="413">
        <v>1950.55</v>
      </c>
      <c r="D897" s="409"/>
      <c r="E897" s="409"/>
      <c r="F897" s="409"/>
    </row>
    <row r="898" spans="2:6" ht="12.75" customHeight="1" x14ac:dyDescent="0.25">
      <c r="B898" s="412">
        <v>43592</v>
      </c>
      <c r="C898" s="413">
        <v>1921</v>
      </c>
      <c r="D898" s="409"/>
      <c r="E898" s="409"/>
      <c r="F898" s="409"/>
    </row>
    <row r="899" spans="2:6" ht="12.75" customHeight="1" x14ac:dyDescent="0.25">
      <c r="B899" s="412">
        <v>43593</v>
      </c>
      <c r="C899" s="413">
        <v>1917.77</v>
      </c>
      <c r="D899" s="409"/>
      <c r="E899" s="409"/>
      <c r="F899" s="409"/>
    </row>
    <row r="900" spans="2:6" ht="12.75" customHeight="1" x14ac:dyDescent="0.25">
      <c r="B900" s="412">
        <v>43594</v>
      </c>
      <c r="C900" s="413">
        <v>1899.87</v>
      </c>
      <c r="D900" s="409"/>
      <c r="E900" s="409"/>
      <c r="F900" s="409"/>
    </row>
    <row r="901" spans="2:6" ht="12.75" customHeight="1" x14ac:dyDescent="0.25">
      <c r="B901" s="412">
        <v>43595</v>
      </c>
      <c r="C901" s="413">
        <v>1889.98</v>
      </c>
      <c r="D901" s="409"/>
      <c r="E901" s="409"/>
      <c r="F901" s="409"/>
    </row>
    <row r="902" spans="2:6" ht="12.75" customHeight="1" x14ac:dyDescent="0.25">
      <c r="B902" s="412">
        <v>43598</v>
      </c>
      <c r="C902" s="413">
        <v>1822.68</v>
      </c>
      <c r="D902" s="409"/>
      <c r="E902" s="409"/>
      <c r="F902" s="409"/>
    </row>
    <row r="903" spans="2:6" ht="12.75" customHeight="1" x14ac:dyDescent="0.25">
      <c r="B903" s="412">
        <v>43599</v>
      </c>
      <c r="C903" s="413">
        <v>1840.12</v>
      </c>
      <c r="D903" s="409"/>
      <c r="E903" s="409"/>
      <c r="F903" s="409"/>
    </row>
    <row r="904" spans="2:6" ht="12.75" customHeight="1" x14ac:dyDescent="0.25">
      <c r="B904" s="412">
        <v>43600</v>
      </c>
      <c r="C904" s="413">
        <v>1871.15</v>
      </c>
      <c r="D904" s="409"/>
      <c r="E904" s="409"/>
      <c r="F904" s="409"/>
    </row>
    <row r="905" spans="2:6" ht="12.75" customHeight="1" x14ac:dyDescent="0.25">
      <c r="B905" s="412">
        <v>43601</v>
      </c>
      <c r="C905" s="413">
        <v>1907.57</v>
      </c>
      <c r="D905" s="409"/>
      <c r="E905" s="409"/>
      <c r="F905" s="409"/>
    </row>
    <row r="906" spans="2:6" ht="12.75" customHeight="1" x14ac:dyDescent="0.25">
      <c r="B906" s="412">
        <v>43602</v>
      </c>
      <c r="C906" s="413">
        <v>1869</v>
      </c>
      <c r="D906" s="409"/>
      <c r="E906" s="409"/>
      <c r="F906" s="409"/>
    </row>
    <row r="907" spans="2:6" ht="12.75" customHeight="1" x14ac:dyDescent="0.25">
      <c r="B907" s="412">
        <v>43605</v>
      </c>
      <c r="C907" s="413">
        <v>1858.97</v>
      </c>
      <c r="D907" s="409"/>
      <c r="E907" s="409"/>
      <c r="F907" s="409"/>
    </row>
    <row r="908" spans="2:6" ht="12.75" customHeight="1" x14ac:dyDescent="0.25">
      <c r="B908" s="412">
        <v>43606</v>
      </c>
      <c r="C908" s="413">
        <v>1857.52</v>
      </c>
      <c r="D908" s="409"/>
      <c r="E908" s="409"/>
      <c r="F908" s="409"/>
    </row>
    <row r="909" spans="2:6" ht="12.75" customHeight="1" x14ac:dyDescent="0.25">
      <c r="B909" s="412">
        <v>43607</v>
      </c>
      <c r="C909" s="413">
        <v>1859.68</v>
      </c>
      <c r="D909" s="409"/>
      <c r="E909" s="409"/>
      <c r="F909" s="409"/>
    </row>
    <row r="910" spans="2:6" ht="12.75" customHeight="1" x14ac:dyDescent="0.25">
      <c r="B910" s="412">
        <v>43608</v>
      </c>
      <c r="C910" s="413">
        <v>1815.48</v>
      </c>
      <c r="D910" s="409"/>
      <c r="E910" s="409"/>
      <c r="F910" s="409"/>
    </row>
    <row r="911" spans="2:6" ht="12.75" customHeight="1" x14ac:dyDescent="0.25">
      <c r="B911" s="412">
        <v>43609</v>
      </c>
      <c r="C911" s="413">
        <v>1823.28</v>
      </c>
      <c r="D911" s="409"/>
      <c r="E911" s="409"/>
      <c r="F911" s="409"/>
    </row>
    <row r="912" spans="2:6" ht="12.75" customHeight="1" x14ac:dyDescent="0.25">
      <c r="B912" s="412">
        <v>43612</v>
      </c>
      <c r="C912" s="413">
        <v>1823.28</v>
      </c>
      <c r="D912" s="409"/>
      <c r="E912" s="409"/>
      <c r="F912" s="409"/>
    </row>
    <row r="913" spans="2:6" ht="12.75" customHeight="1" x14ac:dyDescent="0.25">
      <c r="B913" s="412">
        <v>43613</v>
      </c>
      <c r="C913" s="413">
        <v>1836.43</v>
      </c>
      <c r="D913" s="409"/>
      <c r="E913" s="409"/>
      <c r="F913" s="409"/>
    </row>
    <row r="914" spans="2:6" ht="12.75" customHeight="1" x14ac:dyDescent="0.25">
      <c r="B914" s="412">
        <v>43614</v>
      </c>
      <c r="C914" s="413">
        <v>1819.19</v>
      </c>
      <c r="D914" s="409"/>
      <c r="E914" s="409"/>
      <c r="F914" s="409"/>
    </row>
    <row r="915" spans="2:6" ht="12.75" customHeight="1" x14ac:dyDescent="0.25">
      <c r="B915" s="412">
        <v>43615</v>
      </c>
      <c r="C915" s="413">
        <v>1816.32</v>
      </c>
      <c r="D915" s="409"/>
      <c r="E915" s="409"/>
      <c r="F915" s="409"/>
    </row>
    <row r="916" spans="2:6" ht="12.75" customHeight="1" x14ac:dyDescent="0.25">
      <c r="B916" s="412">
        <v>43616</v>
      </c>
      <c r="C916" s="413">
        <v>1775.07</v>
      </c>
      <c r="D916" s="409"/>
      <c r="E916" s="409"/>
      <c r="F916" s="409"/>
    </row>
    <row r="917" spans="2:6" ht="12.75" customHeight="1" x14ac:dyDescent="0.25">
      <c r="B917" s="412">
        <v>43619</v>
      </c>
      <c r="C917" s="413">
        <v>1692.69</v>
      </c>
      <c r="D917" s="409"/>
      <c r="E917" s="409"/>
      <c r="F917" s="409"/>
    </row>
    <row r="918" spans="2:6" ht="12.75" customHeight="1" x14ac:dyDescent="0.25">
      <c r="B918" s="412">
        <v>43620</v>
      </c>
      <c r="C918" s="413">
        <v>1729.56</v>
      </c>
      <c r="D918" s="409"/>
      <c r="E918" s="409"/>
      <c r="F918" s="409"/>
    </row>
    <row r="919" spans="2:6" ht="12.75" customHeight="1" x14ac:dyDescent="0.25">
      <c r="B919" s="412">
        <v>43621</v>
      </c>
      <c r="C919" s="413">
        <v>1738.5</v>
      </c>
      <c r="D919" s="409"/>
      <c r="E919" s="409"/>
      <c r="F919" s="409"/>
    </row>
    <row r="920" spans="2:6" ht="12.75" customHeight="1" x14ac:dyDescent="0.25">
      <c r="B920" s="412">
        <v>43622</v>
      </c>
      <c r="C920" s="413">
        <v>1754.36</v>
      </c>
      <c r="D920" s="409"/>
      <c r="E920" s="409"/>
      <c r="F920" s="409"/>
    </row>
    <row r="921" spans="2:6" ht="12.75" customHeight="1" x14ac:dyDescent="0.25">
      <c r="B921" s="412">
        <v>43623</v>
      </c>
      <c r="C921" s="413">
        <v>1804.03</v>
      </c>
      <c r="D921" s="409"/>
      <c r="E921" s="409"/>
      <c r="F921" s="409"/>
    </row>
    <row r="922" spans="2:6" ht="12.75" customHeight="1" x14ac:dyDescent="0.25">
      <c r="B922" s="412">
        <v>43626</v>
      </c>
      <c r="C922" s="413">
        <v>1860.63</v>
      </c>
      <c r="D922" s="409"/>
      <c r="E922" s="409"/>
      <c r="F922" s="409"/>
    </row>
    <row r="923" spans="2:6" ht="12.75" customHeight="1" x14ac:dyDescent="0.25">
      <c r="B923" s="412">
        <v>43627</v>
      </c>
      <c r="C923" s="413">
        <v>1863.7</v>
      </c>
      <c r="D923" s="409"/>
      <c r="E923" s="409"/>
      <c r="F923" s="409"/>
    </row>
    <row r="924" spans="2:6" ht="12.75" customHeight="1" x14ac:dyDescent="0.25">
      <c r="B924" s="412">
        <v>43628</v>
      </c>
      <c r="C924" s="413">
        <v>1855.32</v>
      </c>
      <c r="D924" s="409"/>
      <c r="E924" s="409"/>
      <c r="F924" s="409"/>
    </row>
    <row r="925" spans="2:6" ht="12.75" customHeight="1" x14ac:dyDescent="0.25">
      <c r="B925" s="412">
        <v>43629</v>
      </c>
      <c r="C925" s="413">
        <v>1870.3</v>
      </c>
      <c r="D925" s="409"/>
      <c r="E925" s="409"/>
      <c r="F925" s="409"/>
    </row>
    <row r="926" spans="2:6" ht="12.75" customHeight="1" x14ac:dyDescent="0.25">
      <c r="B926" s="412">
        <v>43630</v>
      </c>
      <c r="C926" s="413">
        <v>1869.67</v>
      </c>
      <c r="D926" s="409"/>
      <c r="E926" s="409"/>
      <c r="F926" s="409"/>
    </row>
    <row r="927" spans="2:6" ht="12.75" customHeight="1" x14ac:dyDescent="0.25">
      <c r="B927" s="412">
        <v>43633</v>
      </c>
      <c r="C927" s="413">
        <v>1886.03</v>
      </c>
      <c r="D927" s="409"/>
      <c r="E927" s="409"/>
      <c r="F927" s="409"/>
    </row>
    <row r="928" spans="2:6" ht="12.75" customHeight="1" x14ac:dyDescent="0.25">
      <c r="B928" s="412">
        <v>43634</v>
      </c>
      <c r="C928" s="413">
        <v>1901.37</v>
      </c>
      <c r="D928" s="409"/>
      <c r="E928" s="409"/>
      <c r="F928" s="409"/>
    </row>
    <row r="929" spans="2:6" ht="12.75" customHeight="1" x14ac:dyDescent="0.25">
      <c r="B929" s="412">
        <v>43635</v>
      </c>
      <c r="C929" s="413">
        <v>1908.79</v>
      </c>
      <c r="D929" s="409"/>
      <c r="E929" s="409"/>
      <c r="F929" s="409"/>
    </row>
    <row r="930" spans="2:6" ht="12.75" customHeight="1" x14ac:dyDescent="0.25">
      <c r="B930" s="412">
        <v>43636</v>
      </c>
      <c r="C930" s="413">
        <v>1918.19</v>
      </c>
      <c r="D930" s="409"/>
      <c r="E930" s="409"/>
      <c r="F930" s="409"/>
    </row>
    <row r="931" spans="2:6" ht="12.75" customHeight="1" x14ac:dyDescent="0.25">
      <c r="B931" s="412">
        <v>43637</v>
      </c>
      <c r="C931" s="413">
        <v>1911.3</v>
      </c>
      <c r="D931" s="409"/>
      <c r="E931" s="409"/>
      <c r="F931" s="409"/>
    </row>
    <row r="932" spans="2:6" ht="12.75" customHeight="1" x14ac:dyDescent="0.25">
      <c r="B932" s="412">
        <v>43640</v>
      </c>
      <c r="C932" s="413">
        <v>1913.9</v>
      </c>
      <c r="D932" s="409"/>
      <c r="E932" s="409"/>
      <c r="F932" s="409"/>
    </row>
    <row r="933" spans="2:6" ht="12.75" customHeight="1" x14ac:dyDescent="0.25">
      <c r="B933" s="412">
        <v>43641</v>
      </c>
      <c r="C933" s="413">
        <v>1878.27</v>
      </c>
      <c r="D933" s="409"/>
      <c r="E933" s="409"/>
      <c r="F933" s="409"/>
    </row>
    <row r="934" spans="2:6" ht="12.75" customHeight="1" x14ac:dyDescent="0.25">
      <c r="B934" s="412">
        <v>43642</v>
      </c>
      <c r="C934" s="413">
        <v>1897.83</v>
      </c>
      <c r="D934" s="409"/>
      <c r="E934" s="409"/>
      <c r="F934" s="409"/>
    </row>
    <row r="935" spans="2:6" ht="12.75" customHeight="1" x14ac:dyDescent="0.25">
      <c r="B935" s="412">
        <v>43643</v>
      </c>
      <c r="C935" s="413">
        <v>1904.28</v>
      </c>
      <c r="D935" s="409"/>
      <c r="E935" s="409"/>
      <c r="F935" s="409"/>
    </row>
    <row r="936" spans="2:6" ht="12.75" customHeight="1" x14ac:dyDescent="0.25">
      <c r="B936" s="412">
        <v>43644</v>
      </c>
      <c r="C936" s="413">
        <v>1893.63</v>
      </c>
      <c r="D936" s="409"/>
      <c r="E936" s="409"/>
      <c r="F936" s="409"/>
    </row>
    <row r="937" spans="2:6" ht="12.75" customHeight="1" x14ac:dyDescent="0.25">
      <c r="B937" s="412">
        <v>43647</v>
      </c>
      <c r="C937" s="413">
        <v>1922.19</v>
      </c>
      <c r="D937" s="409"/>
      <c r="E937" s="409"/>
      <c r="F937" s="409"/>
    </row>
    <row r="938" spans="2:6" ht="12.75" customHeight="1" x14ac:dyDescent="0.25">
      <c r="B938" s="412">
        <v>43648</v>
      </c>
      <c r="C938" s="413">
        <v>1934.31</v>
      </c>
      <c r="D938" s="409"/>
      <c r="E938" s="409"/>
      <c r="F938" s="409"/>
    </row>
    <row r="939" spans="2:6" ht="12.75" customHeight="1" x14ac:dyDescent="0.25">
      <c r="B939" s="412">
        <v>43649</v>
      </c>
      <c r="C939" s="413">
        <v>1939</v>
      </c>
      <c r="D939" s="409"/>
      <c r="E939" s="409"/>
      <c r="F939" s="409"/>
    </row>
    <row r="940" spans="2:6" ht="12.75" customHeight="1" x14ac:dyDescent="0.25">
      <c r="B940" s="412">
        <v>43650</v>
      </c>
      <c r="C940" s="413">
        <v>1939</v>
      </c>
      <c r="D940" s="409"/>
      <c r="E940" s="409"/>
      <c r="F940" s="409"/>
    </row>
    <row r="941" spans="2:6" ht="12.75" customHeight="1" x14ac:dyDescent="0.25">
      <c r="B941" s="412">
        <v>43651</v>
      </c>
      <c r="C941" s="413">
        <v>1942.91</v>
      </c>
      <c r="D941" s="409"/>
      <c r="E941" s="409"/>
      <c r="F941" s="409"/>
    </row>
    <row r="942" spans="2:6" ht="12.75" customHeight="1" x14ac:dyDescent="0.25">
      <c r="B942" s="412">
        <v>43654</v>
      </c>
      <c r="C942" s="413">
        <v>1952.32</v>
      </c>
      <c r="D942" s="409"/>
      <c r="E942" s="409"/>
      <c r="F942" s="409"/>
    </row>
    <row r="943" spans="2:6" ht="12.75" customHeight="1" x14ac:dyDescent="0.25">
      <c r="B943" s="412">
        <v>43655</v>
      </c>
      <c r="C943" s="413">
        <v>1988.3</v>
      </c>
      <c r="D943" s="409"/>
      <c r="E943" s="409"/>
      <c r="F943" s="409"/>
    </row>
    <row r="944" spans="2:6" ht="12.75" customHeight="1" x14ac:dyDescent="0.25">
      <c r="B944" s="412">
        <v>43656</v>
      </c>
      <c r="C944" s="413">
        <v>2017.41</v>
      </c>
      <c r="D944" s="409"/>
      <c r="E944" s="409"/>
      <c r="F944" s="409"/>
    </row>
    <row r="945" spans="2:6" ht="12.75" customHeight="1" x14ac:dyDescent="0.25">
      <c r="B945" s="412">
        <v>43657</v>
      </c>
      <c r="C945" s="413">
        <v>2001.07</v>
      </c>
      <c r="D945" s="409"/>
      <c r="E945" s="409"/>
      <c r="F945" s="409"/>
    </row>
    <row r="946" spans="2:6" ht="12.75" customHeight="1" x14ac:dyDescent="0.25">
      <c r="B946" s="412">
        <v>43658</v>
      </c>
      <c r="C946" s="413">
        <v>2011</v>
      </c>
      <c r="D946" s="409"/>
      <c r="E946" s="409"/>
      <c r="F946" s="409"/>
    </row>
    <row r="947" spans="2:6" ht="12.75" customHeight="1" x14ac:dyDescent="0.25">
      <c r="B947" s="412">
        <v>43661</v>
      </c>
      <c r="C947" s="413">
        <v>2020.99</v>
      </c>
      <c r="D947" s="409"/>
      <c r="E947" s="409"/>
      <c r="F947" s="409"/>
    </row>
    <row r="948" spans="2:6" ht="12.75" customHeight="1" x14ac:dyDescent="0.25">
      <c r="B948" s="412">
        <v>43662</v>
      </c>
      <c r="C948" s="413">
        <v>2009.9</v>
      </c>
      <c r="D948" s="409"/>
      <c r="E948" s="409"/>
      <c r="F948" s="409"/>
    </row>
    <row r="949" spans="2:6" ht="12.75" customHeight="1" x14ac:dyDescent="0.25">
      <c r="B949" s="412">
        <v>43663</v>
      </c>
      <c r="C949" s="413">
        <v>1992.03</v>
      </c>
      <c r="D949" s="409"/>
      <c r="E949" s="409"/>
      <c r="F949" s="409"/>
    </row>
    <row r="950" spans="2:6" ht="12.75" customHeight="1" x14ac:dyDescent="0.25">
      <c r="B950" s="412">
        <v>43664</v>
      </c>
      <c r="C950" s="413">
        <v>1977.9</v>
      </c>
      <c r="D950" s="409"/>
      <c r="E950" s="409"/>
      <c r="F950" s="409"/>
    </row>
    <row r="951" spans="2:6" ht="12.75" customHeight="1" x14ac:dyDescent="0.25">
      <c r="B951" s="412">
        <v>43665</v>
      </c>
      <c r="C951" s="413">
        <v>1964.52</v>
      </c>
      <c r="D951" s="409"/>
      <c r="E951" s="409"/>
      <c r="F951" s="409"/>
    </row>
    <row r="952" spans="2:6" ht="12.75" customHeight="1" x14ac:dyDescent="0.25">
      <c r="B952" s="412">
        <v>43668</v>
      </c>
      <c r="C952" s="413">
        <v>1985.63</v>
      </c>
      <c r="D952" s="409"/>
      <c r="E952" s="409"/>
      <c r="F952" s="409"/>
    </row>
    <row r="953" spans="2:6" ht="12.75" customHeight="1" x14ac:dyDescent="0.25">
      <c r="B953" s="412">
        <v>43669</v>
      </c>
      <c r="C953" s="413">
        <v>1994.49</v>
      </c>
      <c r="D953" s="409"/>
      <c r="E953" s="409"/>
      <c r="F953" s="409"/>
    </row>
    <row r="954" spans="2:6" ht="12.75" customHeight="1" x14ac:dyDescent="0.25">
      <c r="B954" s="412">
        <v>43670</v>
      </c>
      <c r="C954" s="413">
        <v>2000.81</v>
      </c>
      <c r="D954" s="409"/>
      <c r="E954" s="409"/>
      <c r="F954" s="409"/>
    </row>
    <row r="955" spans="2:6" ht="12.75" customHeight="1" x14ac:dyDescent="0.25">
      <c r="B955" s="412">
        <v>43671</v>
      </c>
      <c r="C955" s="413">
        <v>1973.82</v>
      </c>
      <c r="D955" s="409"/>
      <c r="E955" s="409"/>
      <c r="F955" s="409"/>
    </row>
    <row r="956" spans="2:6" ht="12.75" customHeight="1" x14ac:dyDescent="0.25">
      <c r="B956" s="412">
        <v>43672</v>
      </c>
      <c r="C956" s="413">
        <v>1943.05</v>
      </c>
      <c r="D956" s="409"/>
      <c r="E956" s="409"/>
      <c r="F956" s="409"/>
    </row>
    <row r="957" spans="2:6" ht="12.75" customHeight="1" x14ac:dyDescent="0.25">
      <c r="B957" s="412">
        <v>43675</v>
      </c>
      <c r="C957" s="413">
        <v>1912.45</v>
      </c>
      <c r="D957" s="409"/>
      <c r="E957" s="409"/>
      <c r="F957" s="409"/>
    </row>
    <row r="958" spans="2:6" ht="12.75" customHeight="1" x14ac:dyDescent="0.25">
      <c r="B958" s="412">
        <v>43676</v>
      </c>
      <c r="C958" s="413">
        <v>1898.53</v>
      </c>
      <c r="D958" s="409"/>
      <c r="E958" s="409"/>
      <c r="F958" s="409"/>
    </row>
    <row r="959" spans="2:6" ht="12.75" customHeight="1" x14ac:dyDescent="0.25">
      <c r="B959" s="412">
        <v>43677</v>
      </c>
      <c r="C959" s="413">
        <v>1866.78</v>
      </c>
      <c r="D959" s="409"/>
      <c r="E959" s="409"/>
      <c r="F959" s="409"/>
    </row>
    <row r="960" spans="2:6" ht="12.75" customHeight="1" x14ac:dyDescent="0.25">
      <c r="B960" s="412">
        <v>43678</v>
      </c>
      <c r="C960" s="413">
        <v>1855.32</v>
      </c>
      <c r="D960" s="409"/>
      <c r="E960" s="409"/>
      <c r="F960" s="409"/>
    </row>
    <row r="961" spans="2:6" ht="12.75" customHeight="1" x14ac:dyDescent="0.25">
      <c r="B961" s="412">
        <v>43679</v>
      </c>
      <c r="C961" s="413">
        <v>1823.24</v>
      </c>
      <c r="D961" s="409"/>
      <c r="E961" s="409"/>
      <c r="F961" s="409"/>
    </row>
    <row r="962" spans="2:6" ht="12.75" customHeight="1" x14ac:dyDescent="0.25">
      <c r="B962" s="412">
        <v>43682</v>
      </c>
      <c r="C962" s="413">
        <v>1765.13</v>
      </c>
      <c r="D962" s="409"/>
      <c r="E962" s="409"/>
      <c r="F962" s="409"/>
    </row>
    <row r="963" spans="2:6" ht="12.75" customHeight="1" x14ac:dyDescent="0.25">
      <c r="B963" s="412">
        <v>43683</v>
      </c>
      <c r="C963" s="413">
        <v>1787.83</v>
      </c>
      <c r="D963" s="409"/>
      <c r="E963" s="409"/>
      <c r="F963" s="409"/>
    </row>
    <row r="964" spans="2:6" ht="12.75" customHeight="1" x14ac:dyDescent="0.25">
      <c r="B964" s="412">
        <v>43684</v>
      </c>
      <c r="C964" s="413">
        <v>1793.4</v>
      </c>
      <c r="D964" s="409"/>
      <c r="E964" s="409"/>
      <c r="F964" s="409"/>
    </row>
    <row r="965" spans="2:6" ht="12.75" customHeight="1" x14ac:dyDescent="0.25">
      <c r="B965" s="412">
        <v>43685</v>
      </c>
      <c r="C965" s="413">
        <v>1832.89</v>
      </c>
      <c r="D965" s="409"/>
      <c r="E965" s="409"/>
      <c r="F965" s="409"/>
    </row>
    <row r="966" spans="2:6" ht="12.75" customHeight="1" x14ac:dyDescent="0.25">
      <c r="B966" s="412">
        <v>43686</v>
      </c>
      <c r="C966" s="413">
        <v>1807.58</v>
      </c>
      <c r="D966" s="409"/>
      <c r="E966" s="409"/>
      <c r="F966" s="409"/>
    </row>
    <row r="967" spans="2:6" ht="12.75" customHeight="1" x14ac:dyDescent="0.25">
      <c r="B967" s="412">
        <v>43689</v>
      </c>
      <c r="C967" s="413">
        <v>1784.92</v>
      </c>
      <c r="D967" s="409"/>
      <c r="E967" s="409"/>
      <c r="F967" s="409"/>
    </row>
    <row r="968" spans="2:6" ht="12.75" customHeight="1" x14ac:dyDescent="0.25">
      <c r="B968" s="412">
        <v>43690</v>
      </c>
      <c r="C968" s="413">
        <v>1824.34</v>
      </c>
      <c r="D968" s="409"/>
      <c r="E968" s="409"/>
      <c r="F968" s="409"/>
    </row>
    <row r="969" spans="2:6" ht="12.75" customHeight="1" x14ac:dyDescent="0.25">
      <c r="B969" s="412">
        <v>43691</v>
      </c>
      <c r="C969" s="413">
        <v>1762.96</v>
      </c>
      <c r="D969" s="409"/>
      <c r="E969" s="409"/>
      <c r="F969" s="409"/>
    </row>
    <row r="970" spans="2:6" ht="12.75" customHeight="1" x14ac:dyDescent="0.25">
      <c r="B970" s="412">
        <v>43692</v>
      </c>
      <c r="C970" s="413">
        <v>1776.12</v>
      </c>
      <c r="D970" s="409"/>
      <c r="E970" s="409"/>
      <c r="F970" s="409"/>
    </row>
    <row r="971" spans="2:6" ht="12.75" customHeight="1" x14ac:dyDescent="0.25">
      <c r="B971" s="412">
        <v>43693</v>
      </c>
      <c r="C971" s="413">
        <v>1792.57</v>
      </c>
      <c r="D971" s="409"/>
      <c r="E971" s="409"/>
      <c r="F971" s="409"/>
    </row>
    <row r="972" spans="2:6" ht="12.75" customHeight="1" x14ac:dyDescent="0.25">
      <c r="B972" s="412">
        <v>43696</v>
      </c>
      <c r="C972" s="413">
        <v>1816.12</v>
      </c>
      <c r="D972" s="409"/>
      <c r="E972" s="409"/>
      <c r="F972" s="409"/>
    </row>
    <row r="973" spans="2:6" ht="12.75" customHeight="1" x14ac:dyDescent="0.25">
      <c r="B973" s="412">
        <v>43697</v>
      </c>
      <c r="C973" s="413">
        <v>1801.38</v>
      </c>
      <c r="D973" s="409"/>
      <c r="E973" s="409"/>
      <c r="F973" s="409"/>
    </row>
    <row r="974" spans="2:6" ht="12.75" customHeight="1" x14ac:dyDescent="0.25">
      <c r="B974" s="412">
        <v>43698</v>
      </c>
      <c r="C974" s="413">
        <v>1823.54</v>
      </c>
      <c r="D974" s="409"/>
      <c r="E974" s="409"/>
      <c r="F974" s="409"/>
    </row>
    <row r="975" spans="2:6" ht="12.75" customHeight="1" x14ac:dyDescent="0.25">
      <c r="B975" s="412">
        <v>43699</v>
      </c>
      <c r="C975" s="413">
        <v>1805.6</v>
      </c>
      <c r="D975" s="409"/>
      <c r="E975" s="409"/>
      <c r="F975" s="409"/>
    </row>
    <row r="976" spans="2:6" ht="12.75" customHeight="1" x14ac:dyDescent="0.25">
      <c r="B976" s="412">
        <v>43700</v>
      </c>
      <c r="C976" s="413">
        <v>1749.62</v>
      </c>
      <c r="D976" s="409"/>
      <c r="E976" s="409"/>
      <c r="F976" s="409"/>
    </row>
    <row r="977" spans="2:6" ht="12.75" customHeight="1" x14ac:dyDescent="0.25">
      <c r="B977" s="412">
        <v>43703</v>
      </c>
      <c r="C977" s="413">
        <v>1768.87</v>
      </c>
      <c r="D977" s="409"/>
      <c r="E977" s="409"/>
      <c r="F977" s="409"/>
    </row>
    <row r="978" spans="2:6" ht="12.75" customHeight="1" x14ac:dyDescent="0.25">
      <c r="B978" s="412">
        <v>43704</v>
      </c>
      <c r="C978" s="413">
        <v>1761.83</v>
      </c>
      <c r="D978" s="409"/>
      <c r="E978" s="409"/>
      <c r="F978" s="409"/>
    </row>
    <row r="979" spans="2:6" ht="12.75" customHeight="1" x14ac:dyDescent="0.25">
      <c r="B979" s="412">
        <v>43705</v>
      </c>
      <c r="C979" s="413">
        <v>1764.25</v>
      </c>
      <c r="D979" s="409"/>
      <c r="E979" s="409"/>
      <c r="F979" s="409"/>
    </row>
    <row r="980" spans="2:6" ht="12.75" customHeight="1" x14ac:dyDescent="0.25">
      <c r="B980" s="412">
        <v>43706</v>
      </c>
      <c r="C980" s="413">
        <v>1786.4</v>
      </c>
      <c r="D980" s="409"/>
      <c r="E980" s="409"/>
      <c r="F980" s="409"/>
    </row>
    <row r="981" spans="2:6" ht="12.75" customHeight="1" x14ac:dyDescent="0.25">
      <c r="B981" s="412">
        <v>43707</v>
      </c>
      <c r="C981" s="413">
        <v>1776.29</v>
      </c>
      <c r="D981" s="409"/>
      <c r="E981" s="409"/>
      <c r="F981" s="409"/>
    </row>
    <row r="982" spans="2:6" ht="12.75" customHeight="1" x14ac:dyDescent="0.25">
      <c r="B982" s="412">
        <v>43710</v>
      </c>
      <c r="C982" s="413">
        <v>1776.29</v>
      </c>
      <c r="D982" s="409"/>
      <c r="E982" s="409"/>
      <c r="F982" s="409"/>
    </row>
    <row r="983" spans="2:6" ht="12.75" customHeight="1" x14ac:dyDescent="0.25">
      <c r="B983" s="412">
        <v>43711</v>
      </c>
      <c r="C983" s="413">
        <v>1789.84</v>
      </c>
      <c r="D983" s="409"/>
      <c r="E983" s="409"/>
      <c r="F983" s="409"/>
    </row>
    <row r="984" spans="2:6" ht="12.75" customHeight="1" x14ac:dyDescent="0.25">
      <c r="B984" s="412">
        <v>43712</v>
      </c>
      <c r="C984" s="413">
        <v>1800.62</v>
      </c>
      <c r="D984" s="409"/>
      <c r="E984" s="409"/>
      <c r="F984" s="409"/>
    </row>
    <row r="985" spans="2:6" ht="12.75" customHeight="1" x14ac:dyDescent="0.25">
      <c r="B985" s="412">
        <v>43713</v>
      </c>
      <c r="C985" s="413">
        <v>1840.72</v>
      </c>
      <c r="D985" s="409"/>
      <c r="E985" s="409"/>
      <c r="F985" s="409"/>
    </row>
    <row r="986" spans="2:6" ht="12.75" customHeight="1" x14ac:dyDescent="0.25">
      <c r="B986" s="412">
        <v>43714</v>
      </c>
      <c r="C986" s="413">
        <v>1833.51</v>
      </c>
      <c r="D986" s="409"/>
      <c r="E986" s="409"/>
      <c r="F986" s="409"/>
    </row>
    <row r="987" spans="2:6" ht="12.75" customHeight="1" x14ac:dyDescent="0.25">
      <c r="B987" s="412">
        <v>43717</v>
      </c>
      <c r="C987" s="413">
        <v>1831.35</v>
      </c>
      <c r="D987" s="409"/>
      <c r="E987" s="409"/>
      <c r="F987" s="409"/>
    </row>
    <row r="988" spans="2:6" ht="12.75" customHeight="1" x14ac:dyDescent="0.25">
      <c r="B988" s="412">
        <v>43718</v>
      </c>
      <c r="C988" s="413">
        <v>1820.55</v>
      </c>
      <c r="D988" s="409"/>
      <c r="E988" s="409"/>
      <c r="F988" s="409"/>
    </row>
    <row r="989" spans="2:6" ht="12.75" customHeight="1" x14ac:dyDescent="0.25">
      <c r="B989" s="412">
        <v>43719</v>
      </c>
      <c r="C989" s="413">
        <v>1822.99</v>
      </c>
      <c r="D989" s="409"/>
      <c r="E989" s="409"/>
      <c r="F989" s="409"/>
    </row>
    <row r="990" spans="2:6" ht="12.75" customHeight="1" x14ac:dyDescent="0.25">
      <c r="B990" s="412">
        <v>43720</v>
      </c>
      <c r="C990" s="413">
        <v>1843.55</v>
      </c>
      <c r="D990" s="409"/>
      <c r="E990" s="409"/>
      <c r="F990" s="409"/>
    </row>
    <row r="991" spans="2:6" ht="12.75" customHeight="1" x14ac:dyDescent="0.25">
      <c r="B991" s="412">
        <v>43721</v>
      </c>
      <c r="C991" s="413">
        <v>1839.34</v>
      </c>
      <c r="D991" s="409"/>
      <c r="E991" s="409"/>
      <c r="F991" s="409"/>
    </row>
    <row r="992" spans="2:6" ht="12.75" customHeight="1" x14ac:dyDescent="0.25">
      <c r="B992" s="412">
        <v>43724</v>
      </c>
      <c r="C992" s="413">
        <v>1807.84</v>
      </c>
      <c r="D992" s="409"/>
      <c r="E992" s="409"/>
      <c r="F992" s="409"/>
    </row>
    <row r="993" spans="2:6" ht="12.75" customHeight="1" x14ac:dyDescent="0.25">
      <c r="B993" s="412">
        <v>43725</v>
      </c>
      <c r="C993" s="413">
        <v>1822.55</v>
      </c>
      <c r="D993" s="409"/>
      <c r="E993" s="409"/>
      <c r="F993" s="409"/>
    </row>
    <row r="994" spans="2:6" ht="12.75" customHeight="1" x14ac:dyDescent="0.25">
      <c r="B994" s="412">
        <v>43726</v>
      </c>
      <c r="C994" s="413">
        <v>1817.46</v>
      </c>
      <c r="D994" s="409"/>
      <c r="E994" s="409"/>
      <c r="F994" s="409"/>
    </row>
    <row r="995" spans="2:6" ht="12.75" customHeight="1" x14ac:dyDescent="0.25">
      <c r="B995" s="412">
        <v>43727</v>
      </c>
      <c r="C995" s="413">
        <v>1821.5</v>
      </c>
      <c r="D995" s="409"/>
      <c r="E995" s="409"/>
      <c r="F995" s="409"/>
    </row>
    <row r="996" spans="2:6" ht="12.75" customHeight="1" x14ac:dyDescent="0.25">
      <c r="B996" s="412">
        <v>43728</v>
      </c>
      <c r="C996" s="413">
        <v>1794.16</v>
      </c>
      <c r="D996" s="409"/>
      <c r="E996" s="409"/>
      <c r="F996" s="409"/>
    </row>
    <row r="997" spans="2:6" ht="12.75" customHeight="1" x14ac:dyDescent="0.25">
      <c r="B997" s="412">
        <v>43731</v>
      </c>
      <c r="C997" s="413">
        <v>1785.3</v>
      </c>
      <c r="D997" s="409"/>
      <c r="E997" s="409"/>
      <c r="F997" s="409"/>
    </row>
    <row r="998" spans="2:6" ht="12.75" customHeight="1" x14ac:dyDescent="0.25">
      <c r="B998" s="412">
        <v>43732</v>
      </c>
      <c r="C998" s="413">
        <v>1741.61</v>
      </c>
      <c r="D998" s="409"/>
      <c r="E998" s="409"/>
      <c r="F998" s="409"/>
    </row>
    <row r="999" spans="2:6" ht="12.75" customHeight="1" x14ac:dyDescent="0.25">
      <c r="B999" s="412">
        <v>43733</v>
      </c>
      <c r="C999" s="413">
        <v>1768.33</v>
      </c>
      <c r="D999" s="409"/>
      <c r="E999" s="409"/>
      <c r="F999" s="409"/>
    </row>
    <row r="1000" spans="2:6" ht="12.75" customHeight="1" x14ac:dyDescent="0.25">
      <c r="B1000" s="412">
        <v>43734</v>
      </c>
      <c r="C1000" s="413">
        <v>1739.84</v>
      </c>
      <c r="D1000" s="409"/>
      <c r="E1000" s="409"/>
      <c r="F1000" s="409"/>
    </row>
    <row r="1001" spans="2:6" ht="12.75" customHeight="1" x14ac:dyDescent="0.25">
      <c r="B1001" s="412">
        <v>43735</v>
      </c>
      <c r="C1001" s="413">
        <v>1725.45</v>
      </c>
      <c r="D1001" s="409"/>
      <c r="E1001" s="409"/>
      <c r="F1001" s="409"/>
    </row>
    <row r="1002" spans="2:6" ht="12.75" customHeight="1" x14ac:dyDescent="0.25">
      <c r="B1002" s="412">
        <v>43738</v>
      </c>
      <c r="C1002" s="413">
        <v>1735.91</v>
      </c>
      <c r="D1002" s="409"/>
      <c r="E1002" s="409"/>
      <c r="F1002" s="409"/>
    </row>
    <row r="1003" spans="2:6" ht="12.75" customHeight="1" x14ac:dyDescent="0.25">
      <c r="B1003" s="412">
        <v>43739</v>
      </c>
      <c r="C1003" s="413">
        <v>1735.65</v>
      </c>
      <c r="D1003" s="409"/>
      <c r="E1003" s="409"/>
      <c r="F1003" s="409"/>
    </row>
    <row r="1004" spans="2:6" ht="12.75" customHeight="1" x14ac:dyDescent="0.25">
      <c r="B1004" s="412">
        <v>43740</v>
      </c>
      <c r="C1004" s="413">
        <v>1713.23</v>
      </c>
      <c r="D1004" s="409"/>
      <c r="E1004" s="409"/>
      <c r="F1004" s="409"/>
    </row>
    <row r="1005" spans="2:6" ht="12.75" customHeight="1" x14ac:dyDescent="0.25">
      <c r="B1005" s="412">
        <v>43741</v>
      </c>
      <c r="C1005" s="413">
        <v>1724.42</v>
      </c>
      <c r="D1005" s="409"/>
      <c r="E1005" s="409"/>
      <c r="F1005" s="409"/>
    </row>
    <row r="1006" spans="2:6" ht="12.75" customHeight="1" x14ac:dyDescent="0.25">
      <c r="B1006" s="412">
        <v>43742</v>
      </c>
      <c r="C1006" s="413">
        <v>1739.65</v>
      </c>
      <c r="D1006" s="409"/>
      <c r="E1006" s="409"/>
      <c r="F1006" s="409"/>
    </row>
    <row r="1007" spans="2:6" ht="12.75" customHeight="1" x14ac:dyDescent="0.25">
      <c r="B1007" s="412">
        <v>43745</v>
      </c>
      <c r="C1007" s="413">
        <v>1732.66</v>
      </c>
      <c r="D1007" s="409"/>
      <c r="E1007" s="409"/>
      <c r="F1007" s="409"/>
    </row>
    <row r="1008" spans="2:6" ht="12.75" customHeight="1" x14ac:dyDescent="0.25">
      <c r="B1008" s="412">
        <v>43746</v>
      </c>
      <c r="C1008" s="413">
        <v>1705.51</v>
      </c>
      <c r="D1008" s="409"/>
      <c r="E1008" s="409"/>
      <c r="F1008" s="409"/>
    </row>
    <row r="1009" spans="2:6" ht="12.75" customHeight="1" x14ac:dyDescent="0.25">
      <c r="B1009" s="412">
        <v>43747</v>
      </c>
      <c r="C1009" s="413">
        <v>1721.99</v>
      </c>
      <c r="D1009" s="409"/>
      <c r="E1009" s="409"/>
      <c r="F1009" s="409"/>
    </row>
    <row r="1010" spans="2:6" ht="12.75" customHeight="1" x14ac:dyDescent="0.25">
      <c r="B1010" s="412">
        <v>43748</v>
      </c>
      <c r="C1010" s="413">
        <v>1720.26</v>
      </c>
      <c r="D1010" s="409"/>
      <c r="E1010" s="409"/>
      <c r="F1010" s="409"/>
    </row>
    <row r="1011" spans="2:6" ht="12.75" customHeight="1" x14ac:dyDescent="0.25">
      <c r="B1011" s="412">
        <v>43749</v>
      </c>
      <c r="C1011" s="413">
        <v>1731.92</v>
      </c>
      <c r="D1011" s="409"/>
      <c r="E1011" s="409"/>
      <c r="F1011" s="409"/>
    </row>
    <row r="1012" spans="2:6" ht="12.75" customHeight="1" x14ac:dyDescent="0.25">
      <c r="B1012" s="412">
        <v>43752</v>
      </c>
      <c r="C1012" s="413">
        <v>1736.43</v>
      </c>
      <c r="D1012" s="409"/>
      <c r="E1012" s="409"/>
      <c r="F1012" s="409"/>
    </row>
    <row r="1013" spans="2:6" ht="12.75" customHeight="1" x14ac:dyDescent="0.25">
      <c r="B1013" s="412">
        <v>43753</v>
      </c>
      <c r="C1013" s="413">
        <v>1767.38</v>
      </c>
      <c r="D1013" s="409"/>
      <c r="E1013" s="409"/>
      <c r="F1013" s="409"/>
    </row>
    <row r="1014" spans="2:6" ht="12.75" customHeight="1" x14ac:dyDescent="0.25">
      <c r="B1014" s="412">
        <v>43754</v>
      </c>
      <c r="C1014" s="413">
        <v>1777.43</v>
      </c>
      <c r="D1014" s="409"/>
      <c r="E1014" s="409"/>
      <c r="F1014" s="409"/>
    </row>
    <row r="1015" spans="2:6" ht="12.75" customHeight="1" x14ac:dyDescent="0.25">
      <c r="B1015" s="412">
        <v>43755</v>
      </c>
      <c r="C1015" s="413">
        <v>1787.48</v>
      </c>
      <c r="D1015" s="409"/>
      <c r="E1015" s="409"/>
      <c r="F1015" s="409"/>
    </row>
    <row r="1016" spans="2:6" ht="12.75" customHeight="1" x14ac:dyDescent="0.25">
      <c r="B1016" s="412">
        <v>43756</v>
      </c>
      <c r="C1016" s="413">
        <v>1757.51</v>
      </c>
      <c r="D1016" s="409"/>
      <c r="E1016" s="409"/>
      <c r="F1016" s="409"/>
    </row>
    <row r="1017" spans="2:6" ht="12.75" customHeight="1" x14ac:dyDescent="0.25">
      <c r="B1017" s="412">
        <v>43759</v>
      </c>
      <c r="C1017" s="413">
        <v>1785.66</v>
      </c>
      <c r="D1017" s="409"/>
      <c r="E1017" s="409"/>
      <c r="F1017" s="409"/>
    </row>
    <row r="1018" spans="2:6" ht="12.75" customHeight="1" x14ac:dyDescent="0.25">
      <c r="B1018" s="412">
        <v>43760</v>
      </c>
      <c r="C1018" s="413">
        <v>1765.73</v>
      </c>
      <c r="D1018" s="409"/>
      <c r="E1018" s="409"/>
      <c r="F1018" s="409"/>
    </row>
    <row r="1019" spans="2:6" ht="12.75" customHeight="1" x14ac:dyDescent="0.25">
      <c r="B1019" s="412">
        <v>43761</v>
      </c>
      <c r="C1019" s="413">
        <v>1762.17</v>
      </c>
      <c r="D1019" s="409"/>
      <c r="E1019" s="409"/>
      <c r="F1019" s="409"/>
    </row>
    <row r="1020" spans="2:6" ht="12.75" customHeight="1" x14ac:dyDescent="0.25">
      <c r="B1020" s="412">
        <v>43762</v>
      </c>
      <c r="C1020" s="413">
        <v>1780.78</v>
      </c>
      <c r="D1020" s="409"/>
      <c r="E1020" s="409"/>
      <c r="F1020" s="409"/>
    </row>
    <row r="1021" spans="2:6" ht="12.75" customHeight="1" x14ac:dyDescent="0.25">
      <c r="B1021" s="412">
        <v>43763</v>
      </c>
      <c r="C1021" s="413">
        <v>1761.33</v>
      </c>
      <c r="D1021" s="409"/>
      <c r="E1021" s="409"/>
      <c r="F1021" s="409"/>
    </row>
    <row r="1022" spans="2:6" ht="12.75" customHeight="1" x14ac:dyDescent="0.25">
      <c r="B1022" s="412">
        <v>43766</v>
      </c>
      <c r="C1022" s="413">
        <v>1777.08</v>
      </c>
      <c r="D1022" s="409"/>
      <c r="E1022" s="409"/>
      <c r="F1022" s="409"/>
    </row>
    <row r="1023" spans="2:6" ht="12.75" customHeight="1" x14ac:dyDescent="0.25">
      <c r="B1023" s="412">
        <v>43767</v>
      </c>
      <c r="C1023" s="413">
        <v>1762.71</v>
      </c>
      <c r="D1023" s="409"/>
      <c r="E1023" s="409"/>
      <c r="F1023" s="409"/>
    </row>
    <row r="1024" spans="2:6" ht="12.75" customHeight="1" x14ac:dyDescent="0.25">
      <c r="B1024" s="412">
        <v>43768</v>
      </c>
      <c r="C1024" s="413">
        <v>1779.99</v>
      </c>
      <c r="D1024" s="409"/>
      <c r="E1024" s="409"/>
      <c r="F1024" s="409"/>
    </row>
    <row r="1025" spans="2:6" ht="12.75" customHeight="1" x14ac:dyDescent="0.25">
      <c r="B1025" s="412">
        <v>43769</v>
      </c>
      <c r="C1025" s="413">
        <v>1776.66</v>
      </c>
      <c r="D1025" s="409"/>
      <c r="E1025" s="409"/>
      <c r="F1025" s="409"/>
    </row>
    <row r="1026" spans="2:6" ht="12.75" customHeight="1" x14ac:dyDescent="0.25">
      <c r="B1026" s="412">
        <v>43770</v>
      </c>
      <c r="C1026" s="413">
        <v>1791.44</v>
      </c>
      <c r="D1026" s="409"/>
      <c r="E1026" s="409"/>
      <c r="F1026" s="409"/>
    </row>
    <row r="1027" spans="2:6" ht="12.75" customHeight="1" x14ac:dyDescent="0.25">
      <c r="B1027" s="412">
        <v>43773</v>
      </c>
      <c r="C1027" s="413">
        <v>1804.66</v>
      </c>
      <c r="D1027" s="409"/>
      <c r="E1027" s="409"/>
      <c r="F1027" s="409"/>
    </row>
    <row r="1028" spans="2:6" ht="12.75" customHeight="1" x14ac:dyDescent="0.25">
      <c r="B1028" s="412">
        <v>43774</v>
      </c>
      <c r="C1028" s="413">
        <v>1801.71</v>
      </c>
      <c r="D1028" s="409"/>
      <c r="E1028" s="409"/>
      <c r="F1028" s="409"/>
    </row>
    <row r="1029" spans="2:6" ht="12.75" customHeight="1" x14ac:dyDescent="0.25">
      <c r="B1029" s="412">
        <v>43775</v>
      </c>
      <c r="C1029" s="413">
        <v>1795.77</v>
      </c>
      <c r="D1029" s="409"/>
      <c r="E1029" s="409"/>
      <c r="F1029" s="409"/>
    </row>
    <row r="1030" spans="2:6" ht="12.75" customHeight="1" x14ac:dyDescent="0.25">
      <c r="B1030" s="412">
        <v>43776</v>
      </c>
      <c r="C1030" s="413">
        <v>1788.2</v>
      </c>
      <c r="D1030" s="409"/>
      <c r="E1030" s="409"/>
      <c r="F1030" s="409"/>
    </row>
    <row r="1031" spans="2:6" ht="12.75" customHeight="1" x14ac:dyDescent="0.25">
      <c r="B1031" s="412">
        <v>43777</v>
      </c>
      <c r="C1031" s="413">
        <v>1785.88</v>
      </c>
      <c r="D1031" s="409"/>
      <c r="E1031" s="409"/>
      <c r="F1031" s="409"/>
    </row>
    <row r="1032" spans="2:6" ht="12.75" customHeight="1" x14ac:dyDescent="0.25">
      <c r="B1032" s="412">
        <v>43780</v>
      </c>
      <c r="C1032" s="413">
        <v>1771.65</v>
      </c>
      <c r="D1032" s="409"/>
      <c r="E1032" s="409"/>
      <c r="F1032" s="409"/>
    </row>
    <row r="1033" spans="2:6" ht="12.75" customHeight="1" x14ac:dyDescent="0.25">
      <c r="B1033" s="412">
        <v>43781</v>
      </c>
      <c r="C1033" s="413">
        <v>1778</v>
      </c>
      <c r="D1033" s="409"/>
      <c r="E1033" s="409"/>
      <c r="F1033" s="409"/>
    </row>
    <row r="1034" spans="2:6" ht="12.75" customHeight="1" x14ac:dyDescent="0.25">
      <c r="B1034" s="412">
        <v>43782</v>
      </c>
      <c r="C1034" s="413">
        <v>1753.11</v>
      </c>
      <c r="D1034" s="409"/>
      <c r="E1034" s="409"/>
      <c r="F1034" s="409"/>
    </row>
    <row r="1035" spans="2:6" ht="12.75" customHeight="1" x14ac:dyDescent="0.25">
      <c r="B1035" s="412">
        <v>43783</v>
      </c>
      <c r="C1035" s="413">
        <v>1754.6</v>
      </c>
      <c r="D1035" s="409"/>
      <c r="E1035" s="409"/>
      <c r="F1035" s="409"/>
    </row>
    <row r="1036" spans="2:6" ht="12.75" customHeight="1" x14ac:dyDescent="0.25">
      <c r="B1036" s="412">
        <v>43784</v>
      </c>
      <c r="C1036" s="413">
        <v>1739.49</v>
      </c>
      <c r="D1036" s="409"/>
      <c r="E1036" s="409"/>
      <c r="F1036" s="409"/>
    </row>
    <row r="1037" spans="2:6" ht="12.75" customHeight="1" x14ac:dyDescent="0.25">
      <c r="B1037" s="412">
        <v>43787</v>
      </c>
      <c r="C1037" s="413">
        <v>1752.53</v>
      </c>
      <c r="D1037" s="409"/>
      <c r="E1037" s="409"/>
      <c r="F1037" s="409"/>
    </row>
    <row r="1038" spans="2:6" ht="12.75" customHeight="1" x14ac:dyDescent="0.25">
      <c r="B1038" s="412">
        <v>43788</v>
      </c>
      <c r="C1038" s="413">
        <v>1752.79</v>
      </c>
      <c r="D1038" s="409"/>
      <c r="E1038" s="409"/>
      <c r="F1038" s="409"/>
    </row>
    <row r="1039" spans="2:6" ht="12.75" customHeight="1" x14ac:dyDescent="0.25">
      <c r="B1039" s="412">
        <v>43789</v>
      </c>
      <c r="C1039" s="413">
        <v>1745.53</v>
      </c>
      <c r="D1039" s="409"/>
      <c r="E1039" s="409"/>
      <c r="F1039" s="409"/>
    </row>
    <row r="1040" spans="2:6" ht="12.75" customHeight="1" x14ac:dyDescent="0.25">
      <c r="B1040" s="412">
        <v>43790</v>
      </c>
      <c r="C1040" s="413">
        <v>1734.71</v>
      </c>
      <c r="D1040" s="409"/>
      <c r="E1040" s="409"/>
      <c r="F1040" s="409"/>
    </row>
    <row r="1041" spans="2:6" ht="12.75" customHeight="1" x14ac:dyDescent="0.25">
      <c r="B1041" s="412">
        <v>43791</v>
      </c>
      <c r="C1041" s="413">
        <v>1745.72</v>
      </c>
      <c r="D1041" s="409"/>
      <c r="E1041" s="409"/>
      <c r="F1041" s="409"/>
    </row>
    <row r="1042" spans="2:6" ht="12.75" customHeight="1" x14ac:dyDescent="0.25">
      <c r="B1042" s="412">
        <v>43794</v>
      </c>
      <c r="C1042" s="413">
        <v>1773.84</v>
      </c>
      <c r="D1042" s="409"/>
      <c r="E1042" s="409"/>
      <c r="F1042" s="409"/>
    </row>
    <row r="1043" spans="2:6" ht="12.75" customHeight="1" x14ac:dyDescent="0.25">
      <c r="B1043" s="412">
        <v>43795</v>
      </c>
      <c r="C1043" s="413">
        <v>1796.94</v>
      </c>
      <c r="D1043" s="409"/>
      <c r="E1043" s="409"/>
      <c r="F1043" s="409"/>
    </row>
    <row r="1044" spans="2:6" ht="12.75" customHeight="1" x14ac:dyDescent="0.25">
      <c r="B1044" s="412">
        <v>43796</v>
      </c>
      <c r="C1044" s="413">
        <v>1818.51</v>
      </c>
      <c r="D1044" s="409"/>
      <c r="E1044" s="409"/>
      <c r="F1044" s="409"/>
    </row>
    <row r="1045" spans="2:6" ht="12.75" customHeight="1" x14ac:dyDescent="0.25">
      <c r="B1045" s="412">
        <v>43797</v>
      </c>
      <c r="C1045" s="413">
        <v>1818.51</v>
      </c>
      <c r="D1045" s="409"/>
      <c r="E1045" s="409"/>
      <c r="F1045" s="409"/>
    </row>
    <row r="1046" spans="2:6" ht="12.75" customHeight="1" x14ac:dyDescent="0.25">
      <c r="B1046" s="412">
        <v>43798</v>
      </c>
      <c r="C1046" s="413">
        <v>1800.8</v>
      </c>
      <c r="D1046" s="409"/>
      <c r="E1046" s="409"/>
      <c r="F1046" s="409"/>
    </row>
    <row r="1047" spans="2:6" ht="12.75" customHeight="1" x14ac:dyDescent="0.25">
      <c r="B1047" s="412">
        <v>43801</v>
      </c>
      <c r="C1047" s="413">
        <v>1781.6</v>
      </c>
      <c r="D1047" s="409"/>
      <c r="E1047" s="409"/>
      <c r="F1047" s="409"/>
    </row>
    <row r="1048" spans="2:6" ht="12.75" customHeight="1" x14ac:dyDescent="0.25">
      <c r="B1048" s="412">
        <v>43802</v>
      </c>
      <c r="C1048" s="413">
        <v>1769.96</v>
      </c>
      <c r="D1048" s="409"/>
      <c r="E1048" s="409"/>
      <c r="F1048" s="409"/>
    </row>
    <row r="1049" spans="2:6" ht="12.75" customHeight="1" x14ac:dyDescent="0.25">
      <c r="B1049" s="412">
        <v>43803</v>
      </c>
      <c r="C1049" s="413">
        <v>1760.69</v>
      </c>
      <c r="D1049" s="409"/>
      <c r="E1049" s="409"/>
      <c r="F1049" s="409"/>
    </row>
    <row r="1050" spans="2:6" ht="12.75" customHeight="1" x14ac:dyDescent="0.25">
      <c r="B1050" s="412">
        <v>43804</v>
      </c>
      <c r="C1050" s="413">
        <v>1740.48</v>
      </c>
      <c r="D1050" s="409"/>
      <c r="E1050" s="409"/>
      <c r="F1050" s="409"/>
    </row>
    <row r="1051" spans="2:6" ht="12.75" customHeight="1" x14ac:dyDescent="0.25">
      <c r="B1051" s="412">
        <v>43805</v>
      </c>
      <c r="C1051" s="413">
        <v>1751.6</v>
      </c>
      <c r="D1051" s="409"/>
      <c r="E1051" s="409"/>
      <c r="F1051" s="409"/>
    </row>
    <row r="1052" spans="2:6" ht="12.75" customHeight="1" x14ac:dyDescent="0.25">
      <c r="B1052" s="412">
        <v>43808</v>
      </c>
      <c r="C1052" s="413">
        <v>1749.51</v>
      </c>
      <c r="D1052" s="409"/>
      <c r="E1052" s="409"/>
      <c r="F1052" s="409"/>
    </row>
    <row r="1053" spans="2:6" ht="12.75" customHeight="1" x14ac:dyDescent="0.25">
      <c r="B1053" s="412">
        <v>43809</v>
      </c>
      <c r="C1053" s="413">
        <v>1739.21</v>
      </c>
      <c r="D1053" s="409"/>
      <c r="E1053" s="409"/>
      <c r="F1053" s="409"/>
    </row>
    <row r="1054" spans="2:6" ht="12.75" customHeight="1" x14ac:dyDescent="0.25">
      <c r="B1054" s="412">
        <v>43810</v>
      </c>
      <c r="C1054" s="413">
        <v>1748.72</v>
      </c>
      <c r="D1054" s="409"/>
      <c r="E1054" s="409"/>
      <c r="F1054" s="409"/>
    </row>
    <row r="1055" spans="2:6" ht="12.75" customHeight="1" x14ac:dyDescent="0.25">
      <c r="B1055" s="412">
        <v>43811</v>
      </c>
      <c r="C1055" s="413">
        <v>1760.33</v>
      </c>
      <c r="D1055" s="409"/>
      <c r="E1055" s="409"/>
      <c r="F1055" s="409"/>
    </row>
    <row r="1056" spans="2:6" ht="12.75" customHeight="1" x14ac:dyDescent="0.25">
      <c r="B1056" s="412">
        <v>43812</v>
      </c>
      <c r="C1056" s="413">
        <v>1760.94</v>
      </c>
      <c r="D1056" s="409"/>
      <c r="E1056" s="409"/>
      <c r="F1056" s="409"/>
    </row>
    <row r="1057" spans="2:6" ht="12.75" customHeight="1" x14ac:dyDescent="0.25">
      <c r="B1057" s="412">
        <v>43815</v>
      </c>
      <c r="C1057" s="413">
        <v>1769.21</v>
      </c>
      <c r="D1057" s="409"/>
      <c r="E1057" s="409"/>
      <c r="F1057" s="409"/>
    </row>
    <row r="1058" spans="2:6" ht="12.75" customHeight="1" x14ac:dyDescent="0.25">
      <c r="B1058" s="412">
        <v>43816</v>
      </c>
      <c r="C1058" s="413">
        <v>1790.66</v>
      </c>
      <c r="D1058" s="409"/>
      <c r="E1058" s="409"/>
      <c r="F1058" s="409"/>
    </row>
    <row r="1059" spans="2:6" ht="12.75" customHeight="1" x14ac:dyDescent="0.25">
      <c r="B1059" s="412">
        <v>43817</v>
      </c>
      <c r="C1059" s="413">
        <v>1784.03</v>
      </c>
      <c r="D1059" s="409"/>
      <c r="E1059" s="409"/>
      <c r="F1059" s="409"/>
    </row>
    <row r="1060" spans="2:6" ht="12.75" customHeight="1" x14ac:dyDescent="0.25">
      <c r="B1060" s="412">
        <v>43818</v>
      </c>
      <c r="C1060" s="413">
        <v>1792.28</v>
      </c>
      <c r="D1060" s="409"/>
      <c r="E1060" s="409"/>
      <c r="F1060" s="409"/>
    </row>
    <row r="1061" spans="2:6" ht="12.75" customHeight="1" x14ac:dyDescent="0.25">
      <c r="B1061" s="412">
        <v>43819</v>
      </c>
      <c r="C1061" s="413">
        <v>1786.5</v>
      </c>
      <c r="D1061" s="409"/>
      <c r="E1061" s="409"/>
      <c r="F1061" s="409"/>
    </row>
    <row r="1062" spans="2:6" ht="12.75" customHeight="1" x14ac:dyDescent="0.25">
      <c r="B1062" s="412">
        <v>43822</v>
      </c>
      <c r="C1062" s="413">
        <v>1793</v>
      </c>
      <c r="D1062" s="409"/>
      <c r="E1062" s="409"/>
      <c r="F1062" s="409"/>
    </row>
    <row r="1063" spans="2:6" ht="12.75" customHeight="1" x14ac:dyDescent="0.25">
      <c r="B1063" s="412">
        <v>43823</v>
      </c>
      <c r="C1063" s="413">
        <v>1789.21</v>
      </c>
      <c r="D1063" s="409"/>
      <c r="E1063" s="409"/>
      <c r="F1063" s="409"/>
    </row>
    <row r="1064" spans="2:6" ht="12.75" customHeight="1" x14ac:dyDescent="0.25">
      <c r="B1064" s="412">
        <v>43824</v>
      </c>
      <c r="C1064" s="413">
        <v>1789.21</v>
      </c>
      <c r="D1064" s="409"/>
      <c r="E1064" s="409"/>
      <c r="F1064" s="409"/>
    </row>
    <row r="1065" spans="2:6" ht="12.75" customHeight="1" x14ac:dyDescent="0.25">
      <c r="B1065" s="412">
        <v>43825</v>
      </c>
      <c r="C1065" s="413">
        <v>1868.77</v>
      </c>
      <c r="D1065" s="409"/>
      <c r="E1065" s="409"/>
      <c r="F1065" s="409"/>
    </row>
    <row r="1066" spans="2:6" ht="12.75" customHeight="1" x14ac:dyDescent="0.25">
      <c r="B1066" s="412">
        <v>43826</v>
      </c>
      <c r="C1066" s="413">
        <v>1869.8</v>
      </c>
      <c r="D1066" s="409"/>
      <c r="E1066" s="409"/>
      <c r="F1066" s="409"/>
    </row>
    <row r="1067" spans="2:6" ht="12.75" customHeight="1" x14ac:dyDescent="0.25">
      <c r="B1067" s="412">
        <v>43829</v>
      </c>
      <c r="C1067" s="413">
        <v>1846.89</v>
      </c>
      <c r="D1067" s="409"/>
      <c r="E1067" s="409"/>
      <c r="F1067" s="409"/>
    </row>
    <row r="1068" spans="2:6" ht="12.75" customHeight="1" x14ac:dyDescent="0.25">
      <c r="B1068" s="412">
        <v>43830</v>
      </c>
      <c r="C1068" s="413">
        <v>1847.84</v>
      </c>
      <c r="D1068" s="409"/>
      <c r="E1068" s="409"/>
      <c r="F1068" s="409"/>
    </row>
    <row r="1069" spans="2:6" ht="12.75" customHeight="1" x14ac:dyDescent="0.25">
      <c r="B1069" s="412">
        <v>43832</v>
      </c>
      <c r="C1069" s="413">
        <v>1898.01</v>
      </c>
      <c r="D1069" s="409"/>
      <c r="E1069" s="409"/>
      <c r="F1069" s="409"/>
    </row>
    <row r="1070" spans="2:6" ht="12.75" customHeight="1" x14ac:dyDescent="0.25">
      <c r="B1070" s="412">
        <v>43833</v>
      </c>
      <c r="C1070" s="413">
        <v>1874.97</v>
      </c>
      <c r="D1070" s="409"/>
      <c r="E1070" s="409"/>
      <c r="F1070" s="409"/>
    </row>
    <row r="1071" spans="2:6" ht="12.75" customHeight="1" x14ac:dyDescent="0.25">
      <c r="B1071" s="412">
        <v>43836</v>
      </c>
      <c r="C1071" s="413">
        <v>1902.88</v>
      </c>
      <c r="D1071" s="409"/>
      <c r="E1071" s="409"/>
      <c r="F1071" s="409"/>
    </row>
    <row r="1072" spans="2:6" ht="12.75" customHeight="1" x14ac:dyDescent="0.25">
      <c r="B1072" s="412">
        <v>43837</v>
      </c>
      <c r="C1072" s="413">
        <v>1906.86</v>
      </c>
      <c r="D1072" s="409"/>
      <c r="E1072" s="409"/>
      <c r="F1072" s="409"/>
    </row>
    <row r="1073" spans="2:6" ht="12.75" customHeight="1" x14ac:dyDescent="0.25">
      <c r="B1073" s="412">
        <v>43838</v>
      </c>
      <c r="C1073" s="413">
        <v>1891.97</v>
      </c>
      <c r="D1073" s="409"/>
      <c r="E1073" s="409"/>
      <c r="F1073" s="409"/>
    </row>
    <row r="1074" spans="2:6" ht="12.75" customHeight="1" x14ac:dyDescent="0.25">
      <c r="B1074" s="412">
        <v>43839</v>
      </c>
      <c r="C1074" s="413">
        <v>1901.05</v>
      </c>
      <c r="D1074" s="409"/>
      <c r="E1074" s="409"/>
      <c r="F1074" s="409"/>
    </row>
    <row r="1075" spans="2:6" ht="12.75" customHeight="1" x14ac:dyDescent="0.25">
      <c r="B1075" s="412">
        <v>43840</v>
      </c>
      <c r="C1075" s="413">
        <v>1883.16</v>
      </c>
      <c r="D1075" s="409"/>
      <c r="E1075" s="409"/>
      <c r="F1075" s="409"/>
    </row>
    <row r="1076" spans="2:6" ht="12.75" customHeight="1" x14ac:dyDescent="0.25">
      <c r="B1076" s="412">
        <v>43843</v>
      </c>
      <c r="C1076" s="413">
        <v>1891.3</v>
      </c>
      <c r="D1076" s="409"/>
      <c r="E1076" s="409"/>
      <c r="F1076" s="409"/>
    </row>
    <row r="1077" spans="2:6" ht="12.75" customHeight="1" x14ac:dyDescent="0.25">
      <c r="B1077" s="412">
        <v>43844</v>
      </c>
      <c r="C1077" s="413">
        <v>1869.44</v>
      </c>
      <c r="D1077" s="409"/>
      <c r="E1077" s="409"/>
      <c r="F1077" s="409"/>
    </row>
    <row r="1078" spans="2:6" ht="12.75" customHeight="1" x14ac:dyDescent="0.25">
      <c r="B1078" s="412">
        <v>43845</v>
      </c>
      <c r="C1078" s="413">
        <v>1862.02</v>
      </c>
      <c r="D1078" s="409"/>
      <c r="E1078" s="409"/>
      <c r="F1078" s="409"/>
    </row>
    <row r="1079" spans="2:6" ht="12.75" customHeight="1" x14ac:dyDescent="0.25">
      <c r="B1079" s="412">
        <v>43846</v>
      </c>
      <c r="C1079" s="413">
        <v>1877.94</v>
      </c>
      <c r="D1079" s="409"/>
      <c r="E1079" s="409"/>
      <c r="F1079" s="409"/>
    </row>
    <row r="1080" spans="2:6" ht="12.75" customHeight="1" x14ac:dyDescent="0.25">
      <c r="B1080" s="412">
        <v>43847</v>
      </c>
      <c r="C1080" s="413">
        <v>1864.72</v>
      </c>
      <c r="D1080" s="409"/>
      <c r="E1080" s="409"/>
      <c r="F1080" s="409"/>
    </row>
    <row r="1081" spans="2:6" ht="12.75" customHeight="1" x14ac:dyDescent="0.25">
      <c r="B1081" s="412">
        <v>43851</v>
      </c>
      <c r="C1081" s="413">
        <v>1892</v>
      </c>
      <c r="D1081" s="409"/>
      <c r="E1081" s="409"/>
      <c r="F1081" s="409"/>
    </row>
    <row r="1082" spans="2:6" ht="12.75" customHeight="1" x14ac:dyDescent="0.25">
      <c r="B1082" s="412">
        <v>43852</v>
      </c>
      <c r="C1082" s="413">
        <v>1887.46</v>
      </c>
      <c r="D1082" s="409"/>
      <c r="E1082" s="409"/>
      <c r="F1082" s="409"/>
    </row>
    <row r="1083" spans="2:6" ht="12.75" customHeight="1" x14ac:dyDescent="0.25">
      <c r="B1083" s="412">
        <v>43853</v>
      </c>
      <c r="C1083" s="413">
        <v>1884.58</v>
      </c>
      <c r="D1083" s="409"/>
      <c r="E1083" s="409"/>
      <c r="F1083" s="409"/>
    </row>
    <row r="1084" spans="2:6" ht="12.75" customHeight="1" x14ac:dyDescent="0.25">
      <c r="B1084" s="412">
        <v>43854</v>
      </c>
      <c r="C1084" s="413">
        <v>1861.64</v>
      </c>
      <c r="D1084" s="409"/>
      <c r="E1084" s="409"/>
      <c r="F1084" s="409"/>
    </row>
    <row r="1085" spans="2:6" ht="12.75" customHeight="1" x14ac:dyDescent="0.25">
      <c r="B1085" s="412">
        <v>43857</v>
      </c>
      <c r="C1085" s="413">
        <v>1828.34</v>
      </c>
      <c r="D1085" s="409"/>
      <c r="E1085" s="409"/>
      <c r="F1085" s="409"/>
    </row>
    <row r="1086" spans="2:6" ht="12.75" customHeight="1" x14ac:dyDescent="0.25">
      <c r="B1086" s="412">
        <v>43858</v>
      </c>
      <c r="C1086" s="413">
        <v>1853.25</v>
      </c>
      <c r="D1086" s="409"/>
      <c r="E1086" s="409"/>
      <c r="F1086" s="409"/>
    </row>
    <row r="1087" spans="2:6" ht="12.75" customHeight="1" x14ac:dyDescent="0.25">
      <c r="B1087" s="412">
        <v>43859</v>
      </c>
      <c r="C1087" s="413">
        <v>1858</v>
      </c>
      <c r="D1087" s="409"/>
      <c r="E1087" s="409"/>
      <c r="F1087" s="409"/>
    </row>
    <row r="1088" spans="2:6" ht="12.75" customHeight="1" x14ac:dyDescent="0.25">
      <c r="B1088" s="412">
        <v>43860</v>
      </c>
      <c r="C1088" s="413">
        <v>1870.68</v>
      </c>
      <c r="D1088" s="409"/>
      <c r="E1088" s="409"/>
      <c r="F1088" s="409"/>
    </row>
    <row r="1089" spans="2:6" ht="12.75" customHeight="1" x14ac:dyDescent="0.25">
      <c r="B1089" s="412">
        <v>43861</v>
      </c>
      <c r="C1089" s="413">
        <v>2008.72</v>
      </c>
      <c r="D1089" s="409"/>
      <c r="E1089" s="409"/>
      <c r="F1089" s="409"/>
    </row>
    <row r="1090" spans="2:6" ht="12.75" customHeight="1" x14ac:dyDescent="0.25">
      <c r="B1090" s="412">
        <v>43864</v>
      </c>
      <c r="C1090" s="413">
        <v>2004.2</v>
      </c>
      <c r="D1090" s="409"/>
      <c r="E1090" s="409"/>
      <c r="F1090" s="409"/>
    </row>
    <row r="1091" spans="2:6" ht="12.75" customHeight="1" x14ac:dyDescent="0.25">
      <c r="B1091" s="412">
        <v>43865</v>
      </c>
      <c r="C1091" s="413">
        <v>2049.67</v>
      </c>
      <c r="D1091" s="409"/>
      <c r="E1091" s="409"/>
      <c r="F1091" s="409"/>
    </row>
    <row r="1092" spans="2:6" ht="12.75" customHeight="1" x14ac:dyDescent="0.25">
      <c r="B1092" s="412">
        <v>43866</v>
      </c>
      <c r="C1092" s="413">
        <v>2039.87</v>
      </c>
      <c r="D1092" s="409"/>
      <c r="E1092" s="409"/>
      <c r="F1092" s="409"/>
    </row>
    <row r="1093" spans="2:6" ht="12.75" customHeight="1" x14ac:dyDescent="0.25">
      <c r="B1093" s="412">
        <v>43867</v>
      </c>
      <c r="C1093" s="413">
        <v>2050.23</v>
      </c>
      <c r="D1093" s="409"/>
      <c r="E1093" s="409"/>
      <c r="F1093" s="409"/>
    </row>
    <row r="1094" spans="2:6" ht="12.75" customHeight="1" x14ac:dyDescent="0.25">
      <c r="B1094" s="412">
        <v>43868</v>
      </c>
      <c r="C1094" s="413">
        <v>2079.2800000000002</v>
      </c>
      <c r="D1094" s="409"/>
      <c r="E1094" s="409"/>
      <c r="F1094" s="409"/>
    </row>
    <row r="1095" spans="2:6" ht="12.75" customHeight="1" x14ac:dyDescent="0.25">
      <c r="B1095" s="412">
        <v>43871</v>
      </c>
      <c r="C1095" s="413">
        <v>2133.91</v>
      </c>
      <c r="D1095" s="409"/>
      <c r="E1095" s="409"/>
      <c r="F1095" s="409"/>
    </row>
    <row r="1096" spans="2:6" ht="12.75" customHeight="1" x14ac:dyDescent="0.25">
      <c r="B1096" s="412">
        <v>43872</v>
      </c>
      <c r="C1096" s="413">
        <v>2150.8000000000002</v>
      </c>
      <c r="D1096" s="409"/>
      <c r="E1096" s="409"/>
      <c r="F1096" s="409"/>
    </row>
    <row r="1097" spans="2:6" ht="12.75" customHeight="1" x14ac:dyDescent="0.25">
      <c r="B1097" s="412">
        <v>43873</v>
      </c>
      <c r="C1097" s="413">
        <v>2160</v>
      </c>
      <c r="D1097" s="409"/>
      <c r="E1097" s="409"/>
      <c r="F1097" s="409"/>
    </row>
    <row r="1098" spans="2:6" ht="12.75" customHeight="1" x14ac:dyDescent="0.25">
      <c r="B1098" s="412">
        <v>43874</v>
      </c>
      <c r="C1098" s="413">
        <v>2149.87</v>
      </c>
      <c r="D1098" s="409"/>
      <c r="E1098" s="409"/>
      <c r="F1098" s="409"/>
    </row>
    <row r="1099" spans="2:6" ht="12.75" customHeight="1" x14ac:dyDescent="0.25">
      <c r="B1099" s="412">
        <v>43875</v>
      </c>
      <c r="C1099" s="413">
        <v>2134.87</v>
      </c>
      <c r="D1099" s="409"/>
      <c r="E1099" s="409"/>
      <c r="F1099" s="409"/>
    </row>
    <row r="1100" spans="2:6" ht="12.75" customHeight="1" x14ac:dyDescent="0.25">
      <c r="B1100" s="412">
        <v>43879</v>
      </c>
      <c r="C1100" s="413">
        <v>2155.67</v>
      </c>
      <c r="D1100" s="409"/>
      <c r="E1100" s="409"/>
      <c r="F1100" s="409"/>
    </row>
    <row r="1101" spans="2:6" ht="12.75" customHeight="1" x14ac:dyDescent="0.25">
      <c r="B1101" s="412">
        <v>43880</v>
      </c>
      <c r="C1101" s="413">
        <v>2170.2199999999998</v>
      </c>
      <c r="D1101" s="409"/>
      <c r="E1101" s="409"/>
      <c r="F1101" s="409"/>
    </row>
    <row r="1102" spans="2:6" ht="12.75" customHeight="1" x14ac:dyDescent="0.25">
      <c r="B1102" s="412">
        <v>43881</v>
      </c>
      <c r="C1102" s="413">
        <v>2153.1</v>
      </c>
      <c r="D1102" s="409"/>
      <c r="E1102" s="409"/>
      <c r="F1102" s="409"/>
    </row>
    <row r="1103" spans="2:6" ht="12.75" customHeight="1" x14ac:dyDescent="0.25">
      <c r="B1103" s="412">
        <v>43882</v>
      </c>
      <c r="C1103" s="413">
        <v>2095.9699999999998</v>
      </c>
      <c r="D1103" s="409"/>
      <c r="E1103" s="409"/>
      <c r="F1103" s="409"/>
    </row>
    <row r="1104" spans="2:6" ht="12.75" customHeight="1" x14ac:dyDescent="0.25">
      <c r="B1104" s="412">
        <v>43885</v>
      </c>
      <c r="C1104" s="413">
        <v>2009.29</v>
      </c>
      <c r="D1104" s="409"/>
      <c r="E1104" s="409"/>
      <c r="F1104" s="409"/>
    </row>
    <row r="1105" spans="2:6" ht="12.75" customHeight="1" x14ac:dyDescent="0.25">
      <c r="B1105" s="412">
        <v>43886</v>
      </c>
      <c r="C1105" s="413">
        <v>1972.74</v>
      </c>
      <c r="D1105" s="409"/>
      <c r="E1105" s="409"/>
      <c r="F1105" s="409"/>
    </row>
    <row r="1106" spans="2:6" ht="12.75" customHeight="1" x14ac:dyDescent="0.25">
      <c r="B1106" s="412">
        <v>43887</v>
      </c>
      <c r="C1106" s="413">
        <v>1979.59</v>
      </c>
      <c r="D1106" s="409"/>
      <c r="E1106" s="409"/>
      <c r="F1106" s="409"/>
    </row>
    <row r="1107" spans="2:6" ht="12.75" customHeight="1" x14ac:dyDescent="0.25">
      <c r="B1107" s="412">
        <v>43888</v>
      </c>
      <c r="C1107" s="413">
        <v>1884.3</v>
      </c>
      <c r="D1107" s="409"/>
      <c r="E1107" s="409"/>
      <c r="F1107" s="409"/>
    </row>
    <row r="1108" spans="2:6" ht="12.75" customHeight="1" x14ac:dyDescent="0.25">
      <c r="B1108" s="412">
        <v>43889</v>
      </c>
      <c r="C1108" s="413">
        <v>1883.75</v>
      </c>
      <c r="D1108" s="409"/>
      <c r="E1108" s="409"/>
      <c r="F1108" s="409"/>
    </row>
    <row r="1109" spans="2:6" ht="12.75" customHeight="1" x14ac:dyDescent="0.25">
      <c r="B1109" s="412">
        <v>43892</v>
      </c>
      <c r="C1109" s="413">
        <v>1953.95</v>
      </c>
      <c r="D1109" s="409"/>
      <c r="E1109" s="409"/>
      <c r="F1109" s="409"/>
    </row>
    <row r="1110" spans="2:6" ht="12.75" customHeight="1" x14ac:dyDescent="0.25">
      <c r="B1110" s="412">
        <v>43893</v>
      </c>
      <c r="C1110" s="413">
        <v>1908.99</v>
      </c>
      <c r="D1110" s="409"/>
      <c r="E1110" s="409"/>
      <c r="F1110" s="409"/>
    </row>
    <row r="1111" spans="2:6" ht="12.75" customHeight="1" x14ac:dyDescent="0.25">
      <c r="B1111" s="412">
        <v>43894</v>
      </c>
      <c r="C1111" s="413">
        <v>1975.83</v>
      </c>
      <c r="D1111" s="409"/>
      <c r="E1111" s="409"/>
      <c r="F1111" s="409"/>
    </row>
    <row r="1112" spans="2:6" ht="12.75" customHeight="1" x14ac:dyDescent="0.25">
      <c r="B1112" s="412">
        <v>43895</v>
      </c>
      <c r="C1112" s="413">
        <v>1924.03</v>
      </c>
      <c r="D1112" s="409"/>
      <c r="E1112" s="409"/>
      <c r="F1112" s="409"/>
    </row>
    <row r="1113" spans="2:6" ht="12.75" customHeight="1" x14ac:dyDescent="0.25">
      <c r="B1113" s="412">
        <v>43896</v>
      </c>
      <c r="C1113" s="413">
        <v>1901.09</v>
      </c>
      <c r="D1113" s="409"/>
      <c r="E1113" s="409"/>
      <c r="F1113" s="409"/>
    </row>
    <row r="1114" spans="2:6" ht="12.75" customHeight="1" x14ac:dyDescent="0.25">
      <c r="B1114" s="412">
        <v>43899</v>
      </c>
      <c r="C1114" s="413">
        <v>1800.61</v>
      </c>
      <c r="D1114" s="409"/>
      <c r="E1114" s="409"/>
      <c r="F1114" s="409"/>
    </row>
    <row r="1115" spans="2:6" ht="12.75" customHeight="1" x14ac:dyDescent="0.25">
      <c r="B1115" s="412">
        <v>43900</v>
      </c>
      <c r="C1115" s="413">
        <v>1891.82</v>
      </c>
      <c r="D1115" s="409"/>
      <c r="E1115" s="409"/>
      <c r="F1115" s="409"/>
    </row>
    <row r="1116" spans="2:6" ht="12.75" customHeight="1" x14ac:dyDescent="0.25">
      <c r="B1116" s="412">
        <v>43901</v>
      </c>
      <c r="C1116" s="413">
        <v>1820.86</v>
      </c>
      <c r="D1116" s="409"/>
      <c r="E1116" s="409"/>
      <c r="F1116" s="409"/>
    </row>
    <row r="1117" spans="2:6" ht="12.75" customHeight="1" x14ac:dyDescent="0.25">
      <c r="B1117" s="412">
        <v>43902</v>
      </c>
      <c r="C1117" s="413">
        <v>1676.61</v>
      </c>
      <c r="D1117" s="409"/>
      <c r="E1117" s="409"/>
      <c r="F1117" s="409"/>
    </row>
    <row r="1118" spans="2:6" ht="12.75" customHeight="1" x14ac:dyDescent="0.25">
      <c r="B1118" s="412">
        <v>43903</v>
      </c>
      <c r="C1118" s="413">
        <v>1785</v>
      </c>
      <c r="D1118" s="409"/>
      <c r="E1118" s="409"/>
      <c r="F1118" s="409"/>
    </row>
    <row r="1119" spans="2:6" ht="12.75" customHeight="1" x14ac:dyDescent="0.25">
      <c r="B1119" s="412">
        <v>43906</v>
      </c>
      <c r="C1119" s="413">
        <v>1689.15</v>
      </c>
      <c r="D1119" s="409"/>
      <c r="E1119" s="409"/>
      <c r="F1119" s="409"/>
    </row>
    <row r="1120" spans="2:6" ht="12.75" customHeight="1" x14ac:dyDescent="0.25">
      <c r="B1120" s="412">
        <v>43907</v>
      </c>
      <c r="C1120" s="413">
        <v>1807.84</v>
      </c>
      <c r="D1120" s="409"/>
      <c r="E1120" s="409"/>
      <c r="F1120" s="409"/>
    </row>
    <row r="1121" spans="2:6" ht="12.75" customHeight="1" x14ac:dyDescent="0.25">
      <c r="B1121" s="412">
        <v>43908</v>
      </c>
      <c r="C1121" s="413">
        <v>1830</v>
      </c>
      <c r="D1121" s="409"/>
      <c r="E1121" s="409"/>
      <c r="F1121" s="409"/>
    </row>
    <row r="1122" spans="2:6" ht="12.75" customHeight="1" x14ac:dyDescent="0.25">
      <c r="B1122" s="412">
        <v>43909</v>
      </c>
      <c r="C1122" s="413">
        <v>1880.93</v>
      </c>
      <c r="D1122" s="409"/>
      <c r="E1122" s="409"/>
      <c r="F1122" s="409"/>
    </row>
    <row r="1123" spans="2:6" ht="12.75" customHeight="1" x14ac:dyDescent="0.25">
      <c r="B1123" s="412">
        <v>43910</v>
      </c>
      <c r="C1123" s="413">
        <v>1846.09</v>
      </c>
      <c r="D1123" s="409"/>
      <c r="E1123" s="409"/>
      <c r="F1123" s="409"/>
    </row>
    <row r="1124" spans="2:6" ht="12.75" customHeight="1" x14ac:dyDescent="0.25">
      <c r="B1124" s="412">
        <v>43913</v>
      </c>
      <c r="C1124" s="413">
        <v>1902.83</v>
      </c>
      <c r="D1124" s="409"/>
      <c r="E1124" s="409"/>
      <c r="F1124" s="409"/>
    </row>
    <row r="1125" spans="2:6" ht="12.75" customHeight="1" x14ac:dyDescent="0.25">
      <c r="B1125" s="412">
        <v>43914</v>
      </c>
      <c r="C1125" s="413">
        <v>1940.1</v>
      </c>
      <c r="D1125" s="409"/>
      <c r="E1125" s="409"/>
      <c r="F1125" s="409"/>
    </row>
    <row r="1126" spans="2:6" ht="12.75" customHeight="1" x14ac:dyDescent="0.25">
      <c r="B1126" s="412">
        <v>43915</v>
      </c>
      <c r="C1126" s="413">
        <v>1885.84</v>
      </c>
      <c r="D1126" s="409"/>
      <c r="E1126" s="409"/>
      <c r="F1126" s="409"/>
    </row>
    <row r="1127" spans="2:6" ht="12.75" customHeight="1" x14ac:dyDescent="0.25">
      <c r="B1127" s="412">
        <v>43916</v>
      </c>
      <c r="C1127" s="413">
        <v>1955.49</v>
      </c>
      <c r="D1127" s="409"/>
      <c r="E1127" s="409"/>
      <c r="F1127" s="409"/>
    </row>
    <row r="1128" spans="2:6" ht="12.75" customHeight="1" x14ac:dyDescent="0.25">
      <c r="B1128" s="412">
        <v>43917</v>
      </c>
      <c r="C1128" s="413">
        <v>1900.1</v>
      </c>
      <c r="D1128" s="409"/>
      <c r="E1128" s="409"/>
      <c r="F1128" s="409"/>
    </row>
    <row r="1129" spans="2:6" ht="12.75" customHeight="1" x14ac:dyDescent="0.25">
      <c r="B1129" s="412">
        <v>43920</v>
      </c>
      <c r="C1129" s="413">
        <v>1963.95</v>
      </c>
      <c r="D1129" s="409"/>
      <c r="E1129" s="409"/>
      <c r="F1129" s="409"/>
    </row>
    <row r="1130" spans="2:6" ht="12.75" customHeight="1" x14ac:dyDescent="0.25">
      <c r="B1130" s="412">
        <v>43921</v>
      </c>
      <c r="C1130" s="413">
        <v>1949.72</v>
      </c>
      <c r="D1130" s="409"/>
      <c r="E1130" s="409"/>
      <c r="F1130" s="409"/>
    </row>
    <row r="1131" spans="2:6" ht="12.75" customHeight="1" x14ac:dyDescent="0.25">
      <c r="B1131" s="412">
        <v>43922</v>
      </c>
      <c r="C1131" s="413">
        <v>1907.7</v>
      </c>
      <c r="D1131" s="409"/>
      <c r="E1131" s="409"/>
      <c r="F1131" s="409"/>
    </row>
    <row r="1132" spans="2:6" ht="12.75" customHeight="1" x14ac:dyDescent="0.25">
      <c r="B1132" s="412">
        <v>43923</v>
      </c>
      <c r="C1132" s="413">
        <v>1918.83</v>
      </c>
      <c r="D1132" s="409"/>
      <c r="E1132" s="409"/>
      <c r="F1132" s="409"/>
    </row>
    <row r="1133" spans="2:6" ht="12.75" customHeight="1" x14ac:dyDescent="0.25">
      <c r="B1133" s="412">
        <v>43924</v>
      </c>
      <c r="C1133" s="413">
        <v>1906.59</v>
      </c>
      <c r="D1133" s="409"/>
      <c r="E1133" s="409"/>
      <c r="F1133" s="409"/>
    </row>
    <row r="1134" spans="2:6" ht="12.75" customHeight="1" x14ac:dyDescent="0.25">
      <c r="B1134" s="412">
        <v>43927</v>
      </c>
      <c r="C1134" s="413">
        <v>1997.59</v>
      </c>
      <c r="D1134" s="409"/>
      <c r="E1134" s="409"/>
      <c r="F1134" s="409"/>
    </row>
    <row r="1135" spans="2:6" ht="12.75" customHeight="1" x14ac:dyDescent="0.25">
      <c r="B1135" s="412">
        <v>43928</v>
      </c>
      <c r="C1135" s="413">
        <v>2011.6</v>
      </c>
      <c r="D1135" s="409"/>
      <c r="E1135" s="409"/>
      <c r="F1135" s="409"/>
    </row>
    <row r="1136" spans="2:6" ht="12.75" customHeight="1" x14ac:dyDescent="0.25">
      <c r="B1136" s="412">
        <v>43929</v>
      </c>
      <c r="C1136" s="413">
        <v>2043</v>
      </c>
      <c r="D1136" s="409"/>
      <c r="E1136" s="409"/>
      <c r="F1136" s="409"/>
    </row>
    <row r="1137" spans="2:6" ht="12.75" customHeight="1" x14ac:dyDescent="0.25">
      <c r="B1137" s="412">
        <v>43930</v>
      </c>
      <c r="C1137" s="413">
        <v>2042.76</v>
      </c>
      <c r="D1137" s="409"/>
      <c r="E1137" s="409"/>
      <c r="F1137" s="409"/>
    </row>
    <row r="1138" spans="2:6" ht="12.75" customHeight="1" x14ac:dyDescent="0.25">
      <c r="B1138" s="412">
        <v>43934</v>
      </c>
      <c r="C1138" s="413">
        <v>2168.87</v>
      </c>
      <c r="D1138" s="409"/>
      <c r="E1138" s="409"/>
      <c r="F1138" s="409"/>
    </row>
    <row r="1139" spans="2:6" ht="12.75" customHeight="1" x14ac:dyDescent="0.25">
      <c r="B1139" s="412">
        <v>43935</v>
      </c>
      <c r="C1139" s="413">
        <v>2283.3200000000002</v>
      </c>
      <c r="D1139" s="409"/>
      <c r="E1139" s="409"/>
      <c r="F1139" s="409"/>
    </row>
    <row r="1140" spans="2:6" ht="12.75" customHeight="1" x14ac:dyDescent="0.25">
      <c r="B1140" s="412">
        <v>43936</v>
      </c>
      <c r="C1140" s="413">
        <v>2307.6799999999998</v>
      </c>
      <c r="D1140" s="409"/>
      <c r="E1140" s="409"/>
      <c r="F1140" s="409"/>
    </row>
    <row r="1141" spans="2:6" ht="12.75" customHeight="1" x14ac:dyDescent="0.25">
      <c r="B1141" s="412">
        <v>43937</v>
      </c>
      <c r="C1141" s="413">
        <v>2408.19</v>
      </c>
      <c r="D1141" s="409"/>
      <c r="E1141" s="409"/>
      <c r="F1141" s="409"/>
    </row>
    <row r="1142" spans="2:6" ht="12.75" customHeight="1" x14ac:dyDescent="0.25">
      <c r="B1142" s="412">
        <v>43938</v>
      </c>
      <c r="C1142" s="413">
        <v>2375</v>
      </c>
      <c r="D1142" s="409"/>
      <c r="E1142" s="409"/>
      <c r="F1142" s="409"/>
    </row>
    <row r="1143" spans="2:6" ht="12.75" customHeight="1" x14ac:dyDescent="0.25">
      <c r="B1143" s="412">
        <v>43941</v>
      </c>
      <c r="C1143" s="413">
        <v>2393.61</v>
      </c>
      <c r="D1143" s="409"/>
      <c r="E1143" s="409"/>
      <c r="F1143" s="409"/>
    </row>
    <row r="1144" spans="2:6" ht="12.75" customHeight="1" x14ac:dyDescent="0.25">
      <c r="B1144" s="412">
        <v>43942</v>
      </c>
      <c r="C1144" s="413">
        <v>2328.12</v>
      </c>
      <c r="D1144" s="409"/>
      <c r="E1144" s="409"/>
      <c r="F1144" s="409"/>
    </row>
    <row r="1145" spans="2:6" ht="12.75" customHeight="1" x14ac:dyDescent="0.25">
      <c r="B1145" s="412">
        <v>43943</v>
      </c>
      <c r="C1145" s="413">
        <v>2363.4899999999998</v>
      </c>
      <c r="D1145" s="409"/>
      <c r="E1145" s="409"/>
      <c r="F1145" s="409"/>
    </row>
    <row r="1146" spans="2:6" ht="12.75" customHeight="1" x14ac:dyDescent="0.25">
      <c r="B1146" s="412">
        <v>43944</v>
      </c>
      <c r="C1146" s="413">
        <v>2399.4499999999998</v>
      </c>
      <c r="D1146" s="409"/>
      <c r="E1146" s="409"/>
      <c r="F1146" s="409"/>
    </row>
    <row r="1147" spans="2:6" ht="12.75" customHeight="1" x14ac:dyDescent="0.25">
      <c r="B1147" s="412">
        <v>43945</v>
      </c>
      <c r="C1147" s="413">
        <v>2410.2199999999998</v>
      </c>
      <c r="D1147" s="409"/>
      <c r="E1147" s="409"/>
      <c r="F1147" s="409"/>
    </row>
    <row r="1148" spans="2:6" ht="12.75" customHeight="1" x14ac:dyDescent="0.25">
      <c r="B1148" s="412">
        <v>43948</v>
      </c>
      <c r="C1148" s="413">
        <v>2376</v>
      </c>
      <c r="D1148" s="409"/>
      <c r="E1148" s="409"/>
      <c r="F1148" s="409"/>
    </row>
    <row r="1149" spans="2:6" ht="12.75" customHeight="1" x14ac:dyDescent="0.25">
      <c r="B1149" s="412">
        <v>43949</v>
      </c>
      <c r="C1149" s="413">
        <v>2314.08</v>
      </c>
      <c r="D1149" s="409"/>
      <c r="E1149" s="409"/>
      <c r="F1149" s="409"/>
    </row>
    <row r="1150" spans="2:6" ht="12.75" customHeight="1" x14ac:dyDescent="0.25">
      <c r="B1150" s="412">
        <v>43950</v>
      </c>
      <c r="C1150" s="413">
        <v>2372.71</v>
      </c>
      <c r="D1150" s="409"/>
      <c r="E1150" s="409"/>
      <c r="F1150" s="409"/>
    </row>
    <row r="1151" spans="2:6" ht="12.75" customHeight="1" x14ac:dyDescent="0.25">
      <c r="B1151" s="412">
        <v>43951</v>
      </c>
      <c r="C1151" s="413">
        <v>2474</v>
      </c>
      <c r="D1151" s="409"/>
      <c r="E1151" s="409"/>
      <c r="F1151" s="409"/>
    </row>
    <row r="1152" spans="2:6" ht="12.75" customHeight="1" x14ac:dyDescent="0.25">
      <c r="B1152" s="412">
        <v>43952</v>
      </c>
      <c r="C1152" s="413">
        <v>2286.04</v>
      </c>
      <c r="D1152" s="409"/>
      <c r="E1152" s="409"/>
      <c r="F1152" s="409"/>
    </row>
    <row r="1153" spans="2:6" ht="12.75" customHeight="1" x14ac:dyDescent="0.25">
      <c r="B1153" s="412">
        <v>43955</v>
      </c>
      <c r="C1153" s="413">
        <v>2315.9899999999998</v>
      </c>
      <c r="D1153" s="409"/>
      <c r="E1153" s="409"/>
      <c r="F1153" s="409"/>
    </row>
    <row r="1154" spans="2:6" ht="12.75" customHeight="1" x14ac:dyDescent="0.25">
      <c r="B1154" s="412">
        <v>43956</v>
      </c>
      <c r="C1154" s="413">
        <v>2317.8000000000002</v>
      </c>
      <c r="D1154" s="409"/>
      <c r="E1154" s="409"/>
      <c r="F1154" s="409"/>
    </row>
    <row r="1155" spans="2:6" ht="12.75" customHeight="1" x14ac:dyDescent="0.25">
      <c r="B1155" s="412">
        <v>43957</v>
      </c>
      <c r="C1155" s="413">
        <v>2351.2600000000002</v>
      </c>
      <c r="D1155" s="409"/>
      <c r="E1155" s="409"/>
      <c r="F1155" s="409"/>
    </row>
    <row r="1156" spans="2:6" ht="12.75" customHeight="1" x14ac:dyDescent="0.25">
      <c r="B1156" s="412">
        <v>43958</v>
      </c>
      <c r="C1156" s="413">
        <v>2367.61</v>
      </c>
      <c r="D1156" s="409"/>
      <c r="E1156" s="409"/>
      <c r="F1156" s="409"/>
    </row>
    <row r="1157" spans="2:6" ht="12.75" customHeight="1" x14ac:dyDescent="0.25">
      <c r="B1157" s="412">
        <v>43959</v>
      </c>
      <c r="C1157" s="413">
        <v>2379.61</v>
      </c>
      <c r="D1157" s="409"/>
      <c r="E1157" s="409"/>
      <c r="F1157" s="409"/>
    </row>
    <row r="1158" spans="2:6" ht="12.75" customHeight="1" x14ac:dyDescent="0.25">
      <c r="B1158" s="412">
        <v>43962</v>
      </c>
      <c r="C1158" s="413">
        <v>2409</v>
      </c>
      <c r="D1158" s="409"/>
      <c r="E1158" s="409"/>
      <c r="F1158" s="409"/>
    </row>
    <row r="1159" spans="2:6" ht="12.75" customHeight="1" x14ac:dyDescent="0.25">
      <c r="B1159" s="412">
        <v>43963</v>
      </c>
      <c r="C1159" s="413">
        <v>2356.9499999999998</v>
      </c>
      <c r="D1159" s="409"/>
      <c r="E1159" s="409"/>
      <c r="F1159" s="409"/>
    </row>
    <row r="1160" spans="2:6" ht="12.75" customHeight="1" x14ac:dyDescent="0.25">
      <c r="B1160" s="412">
        <v>43964</v>
      </c>
      <c r="C1160" s="413">
        <v>2367.92</v>
      </c>
      <c r="D1160" s="409"/>
      <c r="E1160" s="409"/>
      <c r="F1160" s="409"/>
    </row>
    <row r="1161" spans="2:6" ht="12.75" customHeight="1" x14ac:dyDescent="0.25">
      <c r="B1161" s="412">
        <v>43965</v>
      </c>
      <c r="C1161" s="413">
        <v>2388.85</v>
      </c>
      <c r="D1161" s="409"/>
      <c r="E1161" s="409"/>
      <c r="F1161" s="409"/>
    </row>
    <row r="1162" spans="2:6" ht="12.75" customHeight="1" x14ac:dyDescent="0.25">
      <c r="B1162" s="412">
        <v>43966</v>
      </c>
      <c r="C1162" s="413">
        <v>2409.7800000000002</v>
      </c>
      <c r="D1162" s="409"/>
      <c r="E1162" s="409"/>
      <c r="F1162" s="409"/>
    </row>
    <row r="1163" spans="2:6" ht="12.75" customHeight="1" x14ac:dyDescent="0.25">
      <c r="B1163" s="412">
        <v>43969</v>
      </c>
      <c r="C1163" s="413">
        <v>2426.2600000000002</v>
      </c>
      <c r="D1163" s="409"/>
      <c r="E1163" s="409"/>
      <c r="F1163" s="409"/>
    </row>
    <row r="1164" spans="2:6" ht="12.75" customHeight="1" x14ac:dyDescent="0.25">
      <c r="B1164" s="412">
        <v>43970</v>
      </c>
      <c r="C1164" s="413">
        <v>2449.33</v>
      </c>
      <c r="D1164" s="409"/>
      <c r="E1164" s="409"/>
      <c r="F1164" s="409"/>
    </row>
    <row r="1165" spans="2:6" ht="12.75" customHeight="1" x14ac:dyDescent="0.25">
      <c r="B1165" s="412">
        <v>43971</v>
      </c>
      <c r="C1165" s="413">
        <v>2497.94</v>
      </c>
      <c r="D1165" s="409"/>
      <c r="E1165" s="409"/>
      <c r="F1165" s="409"/>
    </row>
    <row r="1166" spans="2:6" ht="12.75" customHeight="1" x14ac:dyDescent="0.25">
      <c r="B1166" s="412">
        <v>43972</v>
      </c>
      <c r="C1166" s="413">
        <v>2446.7399999999998</v>
      </c>
      <c r="D1166" s="409"/>
      <c r="E1166" s="409"/>
      <c r="F1166" s="409"/>
    </row>
    <row r="1167" spans="2:6" ht="12.75" customHeight="1" x14ac:dyDescent="0.25">
      <c r="B1167" s="412">
        <v>43973</v>
      </c>
      <c r="C1167" s="413">
        <v>2436.88</v>
      </c>
      <c r="D1167" s="409"/>
      <c r="E1167" s="409"/>
      <c r="F1167" s="409"/>
    </row>
    <row r="1168" spans="2:6" ht="12.75" customHeight="1" x14ac:dyDescent="0.25">
      <c r="B1168" s="412">
        <v>43977</v>
      </c>
      <c r="C1168" s="413">
        <v>2421.86</v>
      </c>
      <c r="D1168" s="409"/>
      <c r="E1168" s="409"/>
      <c r="F1168" s="409"/>
    </row>
    <row r="1169" spans="2:6" ht="12.75" customHeight="1" x14ac:dyDescent="0.25">
      <c r="B1169" s="412">
        <v>43978</v>
      </c>
      <c r="C1169" s="413">
        <v>2410.39</v>
      </c>
      <c r="D1169" s="409"/>
      <c r="E1169" s="409"/>
      <c r="F1169" s="409"/>
    </row>
    <row r="1170" spans="2:6" ht="12.75" customHeight="1" x14ac:dyDescent="0.25">
      <c r="B1170" s="412">
        <v>43979</v>
      </c>
      <c r="C1170" s="413">
        <v>2401.1</v>
      </c>
      <c r="D1170" s="409"/>
      <c r="E1170" s="409"/>
      <c r="F1170" s="409"/>
    </row>
    <row r="1171" spans="2:6" ht="12.75" customHeight="1" x14ac:dyDescent="0.25">
      <c r="B1171" s="412">
        <v>43980</v>
      </c>
      <c r="C1171" s="413">
        <v>2442.37</v>
      </c>
      <c r="D1171" s="409"/>
      <c r="E1171" s="409"/>
      <c r="F1171" s="409"/>
    </row>
    <row r="1172" spans="2:6" ht="12.75" customHeight="1" x14ac:dyDescent="0.25">
      <c r="B1172" s="412">
        <v>43983</v>
      </c>
      <c r="C1172" s="413">
        <v>2471.04</v>
      </c>
      <c r="D1172" s="409"/>
      <c r="E1172" s="409"/>
      <c r="F1172" s="409"/>
    </row>
    <row r="1173" spans="2:6" ht="12.75" customHeight="1" x14ac:dyDescent="0.25">
      <c r="B1173" s="412">
        <v>43984</v>
      </c>
      <c r="C1173" s="413">
        <v>2472.41</v>
      </c>
      <c r="D1173" s="409"/>
      <c r="E1173" s="409"/>
      <c r="F1173" s="409"/>
    </row>
    <row r="1174" spans="2:6" ht="12.75" customHeight="1" x14ac:dyDescent="0.25">
      <c r="B1174" s="412">
        <v>43985</v>
      </c>
      <c r="C1174" s="413">
        <v>2478.4</v>
      </c>
      <c r="D1174" s="409"/>
      <c r="E1174" s="409"/>
      <c r="F1174" s="409"/>
    </row>
    <row r="1175" spans="2:6" ht="12.75" customHeight="1" x14ac:dyDescent="0.25">
      <c r="B1175" s="412">
        <v>43986</v>
      </c>
      <c r="C1175" s="413">
        <v>2460.6</v>
      </c>
      <c r="D1175" s="409"/>
      <c r="E1175" s="409"/>
      <c r="F1175" s="409"/>
    </row>
    <row r="1176" spans="2:6" ht="12.75" customHeight="1" x14ac:dyDescent="0.25">
      <c r="B1176" s="412">
        <v>43987</v>
      </c>
      <c r="C1176" s="413">
        <v>2483</v>
      </c>
      <c r="D1176" s="409"/>
      <c r="E1176" s="409"/>
      <c r="F1176" s="409"/>
    </row>
    <row r="1177" spans="2:6" ht="12.75" customHeight="1" x14ac:dyDescent="0.25">
      <c r="B1177" s="412">
        <v>43990</v>
      </c>
      <c r="C1177" s="413">
        <v>2524.06</v>
      </c>
      <c r="D1177" s="409"/>
      <c r="E1177" s="409"/>
      <c r="F1177" s="409"/>
    </row>
    <row r="1178" spans="2:6" ht="12.75" customHeight="1" x14ac:dyDescent="0.25">
      <c r="B1178" s="412">
        <v>43991</v>
      </c>
      <c r="C1178" s="413">
        <v>2600.86</v>
      </c>
      <c r="D1178" s="409"/>
      <c r="E1178" s="409"/>
      <c r="F1178" s="409"/>
    </row>
    <row r="1179" spans="2:6" ht="12.75" customHeight="1" x14ac:dyDescent="0.25">
      <c r="B1179" s="412">
        <v>43992</v>
      </c>
      <c r="C1179" s="413">
        <v>2647.45</v>
      </c>
      <c r="D1179" s="409"/>
      <c r="E1179" s="409"/>
      <c r="F1179" s="409"/>
    </row>
    <row r="1180" spans="2:6" ht="12.75" customHeight="1" x14ac:dyDescent="0.25">
      <c r="B1180" s="412">
        <v>43993</v>
      </c>
      <c r="C1180" s="413">
        <v>2557.96</v>
      </c>
      <c r="D1180" s="409"/>
      <c r="E1180" s="409"/>
      <c r="F1180" s="409"/>
    </row>
    <row r="1181" spans="2:6" ht="12.75" customHeight="1" x14ac:dyDescent="0.25">
      <c r="B1181" s="412">
        <v>43994</v>
      </c>
      <c r="C1181" s="413">
        <v>2545.02</v>
      </c>
      <c r="D1181" s="409"/>
      <c r="E1181" s="409"/>
      <c r="F1181" s="409"/>
    </row>
    <row r="1182" spans="2:6" ht="12.75" customHeight="1" x14ac:dyDescent="0.25">
      <c r="B1182" s="412">
        <v>43997</v>
      </c>
      <c r="C1182" s="413">
        <v>2572.6799999999998</v>
      </c>
      <c r="D1182" s="409"/>
      <c r="E1182" s="409"/>
      <c r="F1182" s="409"/>
    </row>
    <row r="1183" spans="2:6" ht="12.75" customHeight="1" x14ac:dyDescent="0.25">
      <c r="B1183" s="412">
        <v>43998</v>
      </c>
      <c r="C1183" s="413">
        <v>2615.27</v>
      </c>
      <c r="D1183" s="409"/>
      <c r="E1183" s="409"/>
      <c r="F1183" s="409"/>
    </row>
    <row r="1184" spans="2:6" ht="12.75" customHeight="1" x14ac:dyDescent="0.25">
      <c r="B1184" s="412">
        <v>43999</v>
      </c>
      <c r="C1184" s="413">
        <v>2640.98</v>
      </c>
      <c r="D1184" s="409"/>
      <c r="E1184" s="409"/>
      <c r="F1184" s="409"/>
    </row>
    <row r="1185" spans="2:6" ht="12.75" customHeight="1" x14ac:dyDescent="0.25">
      <c r="B1185" s="412">
        <v>44000</v>
      </c>
      <c r="C1185" s="413">
        <v>2653.98</v>
      </c>
      <c r="D1185" s="409"/>
      <c r="E1185" s="409"/>
      <c r="F1185" s="409"/>
    </row>
    <row r="1186" spans="2:6" ht="12.75" customHeight="1" x14ac:dyDescent="0.25">
      <c r="B1186" s="412">
        <v>44001</v>
      </c>
      <c r="C1186" s="413">
        <v>2675.01</v>
      </c>
      <c r="D1186" s="409"/>
      <c r="E1186" s="409"/>
      <c r="F1186" s="409"/>
    </row>
    <row r="1187" spans="2:6" ht="12.75" customHeight="1" x14ac:dyDescent="0.25">
      <c r="B1187" s="412">
        <v>44004</v>
      </c>
      <c r="C1187" s="413">
        <v>2713.82</v>
      </c>
      <c r="D1187" s="409"/>
      <c r="E1187" s="409"/>
      <c r="F1187" s="409"/>
    </row>
    <row r="1188" spans="2:6" ht="12.75" customHeight="1" x14ac:dyDescent="0.25">
      <c r="B1188" s="412">
        <v>44005</v>
      </c>
      <c r="C1188" s="413">
        <v>2764.41</v>
      </c>
      <c r="D1188" s="409"/>
      <c r="E1188" s="409"/>
      <c r="F1188" s="409"/>
    </row>
    <row r="1189" spans="2:6" ht="12.75" customHeight="1" x14ac:dyDescent="0.25">
      <c r="B1189" s="412">
        <v>44006</v>
      </c>
      <c r="C1189" s="413">
        <v>2734.4</v>
      </c>
      <c r="D1189" s="409"/>
      <c r="E1189" s="409"/>
      <c r="F1189" s="409"/>
    </row>
    <row r="1190" spans="2:6" ht="12.75" customHeight="1" x14ac:dyDescent="0.25">
      <c r="B1190" s="412">
        <v>44007</v>
      </c>
      <c r="C1190" s="413">
        <v>2754.58</v>
      </c>
      <c r="D1190" s="409"/>
      <c r="E1190" s="409"/>
      <c r="F1190" s="409"/>
    </row>
    <row r="1191" spans="2:6" ht="12.75" customHeight="1" x14ac:dyDescent="0.25">
      <c r="B1191" s="412">
        <v>44008</v>
      </c>
      <c r="C1191" s="413">
        <v>2692.87</v>
      </c>
      <c r="D1191" s="409"/>
      <c r="E1191" s="409"/>
      <c r="F1191" s="409"/>
    </row>
    <row r="1192" spans="2:6" ht="12.75" customHeight="1" x14ac:dyDescent="0.25">
      <c r="B1192" s="412">
        <v>44011</v>
      </c>
      <c r="C1192" s="413">
        <v>2680.38</v>
      </c>
      <c r="D1192" s="409"/>
      <c r="E1192" s="409"/>
      <c r="F1192" s="409"/>
    </row>
    <row r="1193" spans="2:6" ht="12.75" customHeight="1" x14ac:dyDescent="0.25">
      <c r="B1193" s="412">
        <v>44012</v>
      </c>
      <c r="C1193" s="413">
        <v>2758.82</v>
      </c>
      <c r="D1193" s="409"/>
      <c r="E1193" s="409"/>
      <c r="F1193" s="409"/>
    </row>
    <row r="1194" spans="2:6" ht="12.75" customHeight="1" x14ac:dyDescent="0.25">
      <c r="B1194" s="412">
        <v>44013</v>
      </c>
      <c r="C1194" s="413">
        <v>2878.7</v>
      </c>
      <c r="D1194" s="409"/>
      <c r="E1194" s="409"/>
      <c r="F1194" s="409"/>
    </row>
    <row r="1195" spans="2:6" ht="12.75" customHeight="1" x14ac:dyDescent="0.25">
      <c r="B1195" s="412">
        <v>44014</v>
      </c>
      <c r="C1195" s="413">
        <v>2890.3</v>
      </c>
      <c r="D1195" s="409"/>
      <c r="E1195" s="409"/>
      <c r="F1195" s="409"/>
    </row>
    <row r="1196" spans="2:6" ht="12.75" customHeight="1" x14ac:dyDescent="0.25">
      <c r="B1196" s="412">
        <v>44018</v>
      </c>
      <c r="C1196" s="413">
        <v>3057.04</v>
      </c>
      <c r="D1196" s="409"/>
      <c r="E1196" s="409"/>
      <c r="F1196" s="409"/>
    </row>
    <row r="1197" spans="2:6" ht="12.75" customHeight="1" x14ac:dyDescent="0.25">
      <c r="B1197" s="412">
        <v>44019</v>
      </c>
      <c r="C1197" s="413">
        <v>3000.12</v>
      </c>
      <c r="D1197" s="409"/>
      <c r="E1197" s="409"/>
      <c r="F1197" s="409"/>
    </row>
    <row r="1198" spans="2:6" ht="12.75" customHeight="1" x14ac:dyDescent="0.25">
      <c r="B1198" s="412">
        <v>44020</v>
      </c>
      <c r="C1198" s="413">
        <v>3081.11</v>
      </c>
      <c r="D1198" s="409"/>
      <c r="E1198" s="409"/>
      <c r="F1198" s="409"/>
    </row>
    <row r="1199" spans="2:6" ht="12.75" customHeight="1" x14ac:dyDescent="0.25">
      <c r="B1199" s="412">
        <v>44021</v>
      </c>
      <c r="C1199" s="413">
        <v>3182.63</v>
      </c>
      <c r="D1199" s="409"/>
      <c r="E1199" s="409"/>
      <c r="F1199" s="409"/>
    </row>
    <row r="1200" spans="2:6" ht="12.75" customHeight="1" x14ac:dyDescent="0.25">
      <c r="B1200" s="412">
        <v>44022</v>
      </c>
      <c r="C1200" s="413">
        <v>3200</v>
      </c>
      <c r="D1200" s="409"/>
      <c r="E1200" s="409"/>
      <c r="F1200" s="409"/>
    </row>
    <row r="1201" spans="2:6" ht="12.75" customHeight="1" x14ac:dyDescent="0.25">
      <c r="B1201" s="412">
        <v>44025</v>
      </c>
      <c r="C1201" s="413">
        <v>3104</v>
      </c>
      <c r="D1201" s="409"/>
      <c r="E1201" s="409"/>
      <c r="F1201" s="409"/>
    </row>
    <row r="1202" spans="2:6" ht="12.75" customHeight="1" x14ac:dyDescent="0.25">
      <c r="B1202" s="412">
        <v>44026</v>
      </c>
      <c r="C1202" s="413">
        <v>3084</v>
      </c>
      <c r="D1202" s="409"/>
      <c r="E1202" s="409"/>
      <c r="F1202" s="409"/>
    </row>
    <row r="1203" spans="2:6" ht="12.75" customHeight="1" x14ac:dyDescent="0.25">
      <c r="B1203" s="412">
        <v>44027</v>
      </c>
      <c r="C1203" s="413">
        <v>3008.87</v>
      </c>
      <c r="D1203" s="409"/>
      <c r="E1203" s="409"/>
      <c r="F1203" s="409"/>
    </row>
    <row r="1204" spans="2:6" ht="12.75" customHeight="1" x14ac:dyDescent="0.25">
      <c r="B1204" s="412">
        <v>44028</v>
      </c>
      <c r="C1204" s="413">
        <v>2999.9</v>
      </c>
      <c r="D1204" s="409"/>
      <c r="E1204" s="409"/>
      <c r="F1204" s="409"/>
    </row>
    <row r="1205" spans="2:6" ht="12.75" customHeight="1" x14ac:dyDescent="0.25">
      <c r="B1205" s="412">
        <v>44029</v>
      </c>
      <c r="C1205" s="413">
        <v>2961.97</v>
      </c>
      <c r="D1205" s="409"/>
      <c r="E1205" s="409"/>
      <c r="F1205" s="409"/>
    </row>
    <row r="1206" spans="2:6" ht="12.75" customHeight="1" x14ac:dyDescent="0.25">
      <c r="B1206" s="412">
        <v>44032</v>
      </c>
      <c r="C1206" s="413">
        <v>3196.84</v>
      </c>
      <c r="D1206" s="409"/>
      <c r="E1206" s="409"/>
      <c r="F1206" s="409"/>
    </row>
    <row r="1207" spans="2:6" ht="12.75" customHeight="1" x14ac:dyDescent="0.25">
      <c r="B1207" s="412">
        <v>44033</v>
      </c>
      <c r="C1207" s="413">
        <v>3138.29</v>
      </c>
      <c r="D1207" s="409"/>
      <c r="E1207" s="409"/>
      <c r="F1207" s="409"/>
    </row>
    <row r="1208" spans="2:6" ht="12.75" customHeight="1" x14ac:dyDescent="0.25">
      <c r="B1208" s="412">
        <v>44034</v>
      </c>
      <c r="C1208" s="413">
        <v>3099.91</v>
      </c>
      <c r="D1208" s="409"/>
      <c r="E1208" s="409"/>
      <c r="F1208" s="409"/>
    </row>
    <row r="1209" spans="2:6" ht="12.75" customHeight="1" x14ac:dyDescent="0.25">
      <c r="B1209" s="412">
        <v>44035</v>
      </c>
      <c r="C1209" s="413">
        <v>2986.55</v>
      </c>
      <c r="D1209" s="409"/>
      <c r="E1209" s="409"/>
      <c r="F1209" s="409"/>
    </row>
    <row r="1210" spans="2:6" ht="12.75" customHeight="1" x14ac:dyDescent="0.25">
      <c r="B1210" s="412">
        <v>44036</v>
      </c>
      <c r="C1210" s="413">
        <v>3008.91</v>
      </c>
      <c r="D1210" s="409"/>
      <c r="E1210" s="409"/>
      <c r="F1210" s="409"/>
    </row>
    <row r="1211" spans="2:6" ht="12.75" customHeight="1" x14ac:dyDescent="0.25">
      <c r="B1211" s="412">
        <v>44039</v>
      </c>
      <c r="C1211" s="413">
        <v>3055.21</v>
      </c>
      <c r="D1211" s="409"/>
      <c r="E1211" s="409"/>
      <c r="F1211" s="409"/>
    </row>
    <row r="1212" spans="2:6" ht="12.75" customHeight="1" x14ac:dyDescent="0.25">
      <c r="B1212" s="412">
        <v>44040</v>
      </c>
      <c r="C1212" s="413">
        <v>3000.33</v>
      </c>
      <c r="D1212" s="409"/>
      <c r="E1212" s="409"/>
      <c r="F1212" s="409"/>
    </row>
    <row r="1213" spans="2:6" ht="12.75" customHeight="1" x14ac:dyDescent="0.25">
      <c r="B1213" s="412">
        <v>44041</v>
      </c>
      <c r="C1213" s="413">
        <v>3033.53</v>
      </c>
      <c r="D1213" s="409"/>
      <c r="E1213" s="409"/>
      <c r="F1213" s="409"/>
    </row>
    <row r="1214" spans="2:6" ht="12.75" customHeight="1" x14ac:dyDescent="0.25">
      <c r="B1214" s="412">
        <v>44042</v>
      </c>
      <c r="C1214" s="413">
        <v>3051.88</v>
      </c>
      <c r="D1214" s="409"/>
      <c r="E1214" s="409"/>
      <c r="F1214" s="409"/>
    </row>
    <row r="1215" spans="2:6" ht="12.75" customHeight="1" x14ac:dyDescent="0.25">
      <c r="B1215" s="412">
        <v>44043</v>
      </c>
      <c r="C1215" s="413">
        <v>3164.68</v>
      </c>
      <c r="D1215" s="409"/>
      <c r="E1215" s="409"/>
      <c r="F1215" s="409"/>
    </row>
    <row r="1216" spans="2:6" ht="12.75" customHeight="1" x14ac:dyDescent="0.25">
      <c r="B1216" s="412">
        <v>44046</v>
      </c>
      <c r="C1216" s="413">
        <v>3111.89</v>
      </c>
      <c r="D1216" s="409"/>
      <c r="E1216" s="409"/>
      <c r="F1216" s="409"/>
    </row>
    <row r="1217" spans="2:6" ht="12.75" customHeight="1" x14ac:dyDescent="0.25">
      <c r="B1217" s="412">
        <v>44047</v>
      </c>
      <c r="C1217" s="413">
        <v>3138.83</v>
      </c>
      <c r="D1217" s="409"/>
      <c r="E1217" s="409"/>
      <c r="F1217" s="409"/>
    </row>
    <row r="1218" spans="2:6" ht="12.75" customHeight="1" x14ac:dyDescent="0.25">
      <c r="B1218" s="412">
        <v>44048</v>
      </c>
      <c r="C1218" s="413">
        <v>3205.03</v>
      </c>
      <c r="D1218" s="409"/>
      <c r="E1218" s="409"/>
      <c r="F1218" s="409"/>
    </row>
    <row r="1219" spans="2:6" ht="12.75" customHeight="1" x14ac:dyDescent="0.25">
      <c r="B1219" s="412">
        <v>44049</v>
      </c>
      <c r="C1219" s="413">
        <v>3225</v>
      </c>
      <c r="D1219" s="409"/>
      <c r="E1219" s="409"/>
      <c r="F1219" s="409"/>
    </row>
    <row r="1220" spans="2:6" ht="12.75" customHeight="1" x14ac:dyDescent="0.25">
      <c r="B1220" s="412">
        <v>44050</v>
      </c>
      <c r="C1220" s="413">
        <v>3167.46</v>
      </c>
      <c r="D1220" s="409"/>
      <c r="E1220" s="409"/>
      <c r="F1220" s="409"/>
    </row>
    <row r="1221" spans="2:6" ht="12.75" customHeight="1" x14ac:dyDescent="0.25">
      <c r="B1221" s="412">
        <v>44053</v>
      </c>
      <c r="C1221" s="413">
        <v>3148.16</v>
      </c>
      <c r="D1221" s="409"/>
      <c r="E1221" s="409"/>
      <c r="F1221" s="409"/>
    </row>
    <row r="1222" spans="2:6" ht="12.75" customHeight="1" x14ac:dyDescent="0.25">
      <c r="B1222" s="412">
        <v>44054</v>
      </c>
      <c r="C1222" s="413">
        <v>3080.67</v>
      </c>
      <c r="D1222" s="409"/>
      <c r="E1222" s="409"/>
      <c r="F1222" s="409"/>
    </row>
    <row r="1223" spans="2:6" ht="12.75" customHeight="1" x14ac:dyDescent="0.25">
      <c r="B1223" s="412">
        <v>44055</v>
      </c>
      <c r="C1223" s="413">
        <v>3162.24</v>
      </c>
      <c r="D1223" s="409"/>
      <c r="E1223" s="409"/>
      <c r="F1223" s="409"/>
    </row>
    <row r="1224" spans="2:6" ht="12.75" customHeight="1" x14ac:dyDescent="0.25">
      <c r="B1224" s="412">
        <v>44056</v>
      </c>
      <c r="C1224" s="413">
        <v>3161.02</v>
      </c>
      <c r="D1224" s="409"/>
      <c r="E1224" s="409"/>
      <c r="F1224" s="409"/>
    </row>
    <row r="1225" spans="2:6" ht="12.75" customHeight="1" x14ac:dyDescent="0.25">
      <c r="B1225" s="412">
        <v>44057</v>
      </c>
      <c r="C1225" s="413">
        <v>3148.02</v>
      </c>
      <c r="D1225" s="409"/>
      <c r="E1225" s="409"/>
      <c r="F1225" s="409"/>
    </row>
    <row r="1226" spans="2:6" ht="12.75" customHeight="1" x14ac:dyDescent="0.25">
      <c r="B1226" s="412">
        <v>44060</v>
      </c>
      <c r="C1226" s="413">
        <v>3182.41</v>
      </c>
      <c r="D1226" s="409"/>
      <c r="E1226" s="409"/>
      <c r="F1226" s="409"/>
    </row>
    <row r="1227" spans="2:6" ht="12.75" customHeight="1" x14ac:dyDescent="0.25">
      <c r="B1227" s="412">
        <v>44061</v>
      </c>
      <c r="C1227" s="413">
        <v>3312.49</v>
      </c>
      <c r="D1227" s="409"/>
      <c r="E1227" s="409"/>
      <c r="F1227" s="409"/>
    </row>
    <row r="1228" spans="2:6" ht="12.75" customHeight="1" x14ac:dyDescent="0.25">
      <c r="B1228" s="412">
        <v>44062</v>
      </c>
      <c r="C1228" s="413">
        <v>3260.48</v>
      </c>
      <c r="D1228" s="409"/>
      <c r="E1228" s="409"/>
      <c r="F1228" s="409"/>
    </row>
    <row r="1229" spans="2:6" ht="12.75" customHeight="1" x14ac:dyDescent="0.25">
      <c r="B1229" s="412">
        <v>44063</v>
      </c>
      <c r="C1229" s="413">
        <v>3297.37</v>
      </c>
      <c r="D1229" s="409"/>
      <c r="E1229" s="409"/>
      <c r="F1229" s="409"/>
    </row>
    <row r="1230" spans="2:6" ht="12.75" customHeight="1" x14ac:dyDescent="0.25">
      <c r="B1230" s="412">
        <v>44064</v>
      </c>
      <c r="C1230" s="413">
        <v>3284.72</v>
      </c>
      <c r="D1230" s="409"/>
      <c r="E1230" s="409"/>
      <c r="F1230" s="409"/>
    </row>
    <row r="1231" spans="2:6" ht="12.75" customHeight="1" x14ac:dyDescent="0.25">
      <c r="B1231" s="412">
        <v>44067</v>
      </c>
      <c r="C1231" s="413">
        <v>3307.46</v>
      </c>
      <c r="D1231" s="409"/>
      <c r="E1231" s="409"/>
      <c r="F1231" s="409"/>
    </row>
    <row r="1232" spans="2:6" ht="12.75" customHeight="1" x14ac:dyDescent="0.25">
      <c r="B1232" s="412">
        <v>44068</v>
      </c>
      <c r="C1232" s="413">
        <v>3346.49</v>
      </c>
      <c r="D1232" s="409"/>
      <c r="E1232" s="409"/>
      <c r="F1232" s="409"/>
    </row>
    <row r="1233" spans="2:6" ht="12.75" customHeight="1" x14ac:dyDescent="0.25">
      <c r="B1233" s="412">
        <v>44069</v>
      </c>
      <c r="C1233" s="413">
        <v>3441.85</v>
      </c>
      <c r="D1233" s="409"/>
      <c r="E1233" s="409"/>
      <c r="F1233" s="409"/>
    </row>
    <row r="1234" spans="2:6" ht="12.75" customHeight="1" x14ac:dyDescent="0.25">
      <c r="B1234" s="412">
        <v>44070</v>
      </c>
      <c r="C1234" s="413">
        <v>3400</v>
      </c>
      <c r="D1234" s="409"/>
      <c r="E1234" s="409"/>
      <c r="F1234" s="409"/>
    </row>
    <row r="1235" spans="2:6" ht="12.75" customHeight="1" x14ac:dyDescent="0.25">
      <c r="B1235" s="412">
        <v>44071</v>
      </c>
      <c r="C1235" s="413">
        <v>3401.8</v>
      </c>
      <c r="D1235" s="409"/>
      <c r="E1235" s="409"/>
      <c r="F1235" s="409"/>
    </row>
    <row r="1236" spans="2:6" ht="12.75" customHeight="1" x14ac:dyDescent="0.25">
      <c r="B1236" s="412">
        <v>44074</v>
      </c>
      <c r="C1236" s="413">
        <v>3450.96</v>
      </c>
      <c r="D1236" s="409"/>
      <c r="E1236" s="409"/>
      <c r="F1236" s="409"/>
    </row>
    <row r="1237" spans="2:6" ht="12.75" customHeight="1" x14ac:dyDescent="0.25">
      <c r="B1237" s="412">
        <v>44075</v>
      </c>
      <c r="C1237" s="413">
        <v>3499.12</v>
      </c>
      <c r="D1237" s="409"/>
      <c r="E1237" s="409"/>
      <c r="F1237" s="409"/>
    </row>
    <row r="1238" spans="2:6" ht="12.75" customHeight="1" x14ac:dyDescent="0.25">
      <c r="B1238" s="412">
        <v>44076</v>
      </c>
      <c r="C1238" s="413">
        <v>3531.45</v>
      </c>
      <c r="D1238" s="409"/>
      <c r="E1238" s="409"/>
      <c r="F1238" s="409"/>
    </row>
    <row r="1239" spans="2:6" ht="12.75" customHeight="1" x14ac:dyDescent="0.25">
      <c r="B1239" s="412">
        <v>44077</v>
      </c>
      <c r="C1239" s="413">
        <v>3368</v>
      </c>
      <c r="D1239" s="409"/>
      <c r="E1239" s="409"/>
      <c r="F1239" s="409"/>
    </row>
    <row r="1240" spans="2:6" ht="12.75" customHeight="1" x14ac:dyDescent="0.25">
      <c r="B1240" s="412">
        <v>44078</v>
      </c>
      <c r="C1240" s="413">
        <v>3294.62</v>
      </c>
      <c r="D1240" s="409"/>
      <c r="E1240" s="409"/>
      <c r="F1240" s="409"/>
    </row>
    <row r="1241" spans="2:6" ht="12.75" customHeight="1" x14ac:dyDescent="0.25">
      <c r="B1241" s="412">
        <v>44082</v>
      </c>
      <c r="C1241" s="413">
        <v>3149.84</v>
      </c>
      <c r="D1241" s="409"/>
      <c r="E1241" s="409"/>
      <c r="F1241" s="409"/>
    </row>
    <row r="1242" spans="2:6" ht="12.75" customHeight="1" x14ac:dyDescent="0.25">
      <c r="B1242" s="412">
        <v>44083</v>
      </c>
      <c r="C1242" s="413">
        <v>3268.61</v>
      </c>
      <c r="D1242" s="409"/>
      <c r="E1242" s="409"/>
      <c r="F1242" s="409"/>
    </row>
    <row r="1243" spans="2:6" ht="12.75" customHeight="1" x14ac:dyDescent="0.25">
      <c r="B1243" s="412">
        <v>44084</v>
      </c>
      <c r="C1243" s="413">
        <v>3175.11</v>
      </c>
      <c r="D1243" s="409"/>
      <c r="E1243" s="409"/>
      <c r="F1243" s="409"/>
    </row>
    <row r="1244" spans="2:6" ht="12.75" customHeight="1" x14ac:dyDescent="0.25">
      <c r="B1244" s="412">
        <v>44085</v>
      </c>
      <c r="C1244" s="413">
        <v>3116.22</v>
      </c>
      <c r="D1244" s="409"/>
      <c r="E1244" s="409"/>
      <c r="F1244" s="409"/>
    </row>
    <row r="1245" spans="2:6" ht="12.75" customHeight="1" x14ac:dyDescent="0.25">
      <c r="B1245" s="412">
        <v>44088</v>
      </c>
      <c r="C1245" s="413">
        <v>3102.97</v>
      </c>
      <c r="D1245" s="409"/>
      <c r="E1245" s="409"/>
      <c r="F1245" s="409"/>
    </row>
    <row r="1246" spans="2:6" ht="12.75" customHeight="1" x14ac:dyDescent="0.25">
      <c r="B1246" s="412">
        <v>44089</v>
      </c>
      <c r="C1246" s="413">
        <v>3156.13</v>
      </c>
      <c r="D1246" s="409"/>
      <c r="E1246" s="409"/>
      <c r="F1246" s="409"/>
    </row>
    <row r="1247" spans="2:6" ht="12.75" customHeight="1" x14ac:dyDescent="0.25">
      <c r="B1247" s="412">
        <v>44090</v>
      </c>
      <c r="C1247" s="413">
        <v>3078.1</v>
      </c>
      <c r="D1247" s="409"/>
      <c r="E1247" s="409"/>
      <c r="F1247" s="409"/>
    </row>
    <row r="1248" spans="2:6" ht="12.75" customHeight="1" x14ac:dyDescent="0.25">
      <c r="B1248" s="412">
        <v>44091</v>
      </c>
      <c r="C1248" s="413">
        <v>3008.73</v>
      </c>
      <c r="D1248" s="409"/>
      <c r="E1248" s="409"/>
      <c r="F1248" s="409"/>
    </row>
    <row r="1249" spans="2:6" ht="12.75" customHeight="1" x14ac:dyDescent="0.25">
      <c r="B1249" s="412">
        <v>44092</v>
      </c>
      <c r="C1249" s="413">
        <v>2954.91</v>
      </c>
      <c r="D1249" s="409"/>
      <c r="E1249" s="409"/>
      <c r="F1249" s="409"/>
    </row>
    <row r="1250" spans="2:6" ht="12.75" customHeight="1" x14ac:dyDescent="0.25">
      <c r="B1250" s="412">
        <v>44095</v>
      </c>
      <c r="C1250" s="413">
        <v>2960.47</v>
      </c>
      <c r="D1250" s="409"/>
      <c r="E1250" s="409"/>
      <c r="F1250" s="409"/>
    </row>
    <row r="1251" spans="2:6" ht="12.75" customHeight="1" x14ac:dyDescent="0.25">
      <c r="B1251" s="412">
        <v>44096</v>
      </c>
      <c r="C1251" s="413">
        <v>3128.99</v>
      </c>
      <c r="D1251" s="409"/>
      <c r="E1251" s="409"/>
      <c r="F1251" s="409"/>
    </row>
    <row r="1252" spans="2:6" ht="12.75" customHeight="1" x14ac:dyDescent="0.25">
      <c r="B1252" s="412">
        <v>44097</v>
      </c>
      <c r="C1252" s="413">
        <v>2999.86</v>
      </c>
      <c r="D1252" s="409"/>
      <c r="E1252" s="409"/>
      <c r="F1252" s="409"/>
    </row>
    <row r="1253" spans="2:6" ht="12.75" customHeight="1" x14ac:dyDescent="0.25">
      <c r="B1253" s="412">
        <v>44098</v>
      </c>
      <c r="C1253" s="413">
        <v>3019.79</v>
      </c>
      <c r="D1253" s="409"/>
      <c r="E1253" s="409"/>
      <c r="F1253" s="409"/>
    </row>
    <row r="1254" spans="2:6" ht="12.75" customHeight="1" x14ac:dyDescent="0.25">
      <c r="B1254" s="412">
        <v>44099</v>
      </c>
      <c r="C1254" s="413">
        <v>3095.13</v>
      </c>
      <c r="D1254" s="409"/>
      <c r="E1254" s="409"/>
      <c r="F1254" s="409"/>
    </row>
    <row r="1255" spans="2:6" ht="12.75" customHeight="1" x14ac:dyDescent="0.25">
      <c r="B1255" s="412">
        <v>44102</v>
      </c>
      <c r="C1255" s="413">
        <v>3174.05</v>
      </c>
      <c r="D1255" s="409"/>
      <c r="E1255" s="409"/>
      <c r="F1255" s="409"/>
    </row>
    <row r="1256" spans="2:6" ht="12.75" customHeight="1" x14ac:dyDescent="0.25">
      <c r="B1256" s="412">
        <v>44103</v>
      </c>
      <c r="C1256" s="413">
        <v>3144.88</v>
      </c>
      <c r="D1256" s="409"/>
      <c r="E1256" s="409"/>
      <c r="F1256" s="409"/>
    </row>
    <row r="1257" spans="2:6" ht="12.75" customHeight="1" x14ac:dyDescent="0.25">
      <c r="B1257" s="412">
        <v>44104</v>
      </c>
      <c r="C1257" s="413">
        <v>3148.73</v>
      </c>
      <c r="D1257" s="409"/>
      <c r="E1257" s="409"/>
      <c r="F1257" s="409"/>
    </row>
    <row r="1258" spans="2:6" ht="12.75" customHeight="1" x14ac:dyDescent="0.25">
      <c r="B1258" s="412">
        <v>44105</v>
      </c>
      <c r="C1258" s="413">
        <v>3221.26</v>
      </c>
      <c r="D1258" s="409"/>
      <c r="E1258" s="409"/>
      <c r="F1258" s="409"/>
    </row>
    <row r="1259" spans="2:6" ht="12.75" customHeight="1" x14ac:dyDescent="0.25">
      <c r="B1259" s="412">
        <v>44106</v>
      </c>
      <c r="C1259" s="413">
        <v>3125</v>
      </c>
      <c r="D1259" s="409"/>
      <c r="E1259" s="409"/>
      <c r="F1259" s="409"/>
    </row>
    <row r="1260" spans="2:6" ht="12.75" customHeight="1" x14ac:dyDescent="0.25">
      <c r="B1260" s="412">
        <v>44109</v>
      </c>
      <c r="C1260" s="413">
        <v>3199.2</v>
      </c>
      <c r="D1260" s="409"/>
      <c r="E1260" s="409"/>
      <c r="F1260" s="409"/>
    </row>
    <row r="1261" spans="2:6" ht="12.75" customHeight="1" x14ac:dyDescent="0.25">
      <c r="B1261" s="412">
        <v>44110</v>
      </c>
      <c r="C1261" s="413">
        <v>3099.96</v>
      </c>
      <c r="D1261" s="409"/>
      <c r="E1261" s="409"/>
      <c r="F1261" s="409"/>
    </row>
    <row r="1262" spans="2:6" ht="12.75" customHeight="1" x14ac:dyDescent="0.25">
      <c r="B1262" s="412">
        <v>44111</v>
      </c>
      <c r="C1262" s="413">
        <v>3195.69</v>
      </c>
      <c r="D1262" s="410"/>
      <c r="E1262" s="410"/>
      <c r="F1262" s="410"/>
    </row>
    <row r="1263" spans="2:6" ht="12.75" customHeight="1" x14ac:dyDescent="0.25">
      <c r="B1263" s="412">
        <v>44112</v>
      </c>
      <c r="C1263" s="413">
        <v>3190.55</v>
      </c>
      <c r="D1263" s="410"/>
      <c r="E1263" s="410"/>
      <c r="F1263" s="410"/>
    </row>
    <row r="1264" spans="2:6" ht="12.75" customHeight="1" x14ac:dyDescent="0.25">
      <c r="B1264" s="412">
        <v>44113</v>
      </c>
      <c r="C1264" s="413">
        <v>3286.65</v>
      </c>
      <c r="D1264" s="410"/>
      <c r="E1264" s="410"/>
      <c r="F1264" s="410"/>
    </row>
    <row r="1265" spans="2:6" ht="12.75" customHeight="1" x14ac:dyDescent="0.25">
      <c r="B1265" s="412">
        <v>44116</v>
      </c>
      <c r="C1265" s="413">
        <v>3442.93</v>
      </c>
      <c r="D1265" s="410"/>
      <c r="E1265" s="410"/>
      <c r="F1265" s="410"/>
    </row>
    <row r="1266" spans="2:6" ht="12.75" customHeight="1" x14ac:dyDescent="0.25">
      <c r="B1266" s="412">
        <v>44117</v>
      </c>
      <c r="C1266" s="413">
        <v>3443.63</v>
      </c>
      <c r="D1266" s="410"/>
      <c r="E1266" s="410"/>
      <c r="F1266" s="410"/>
    </row>
    <row r="1267" spans="2:6" ht="12.75" customHeight="1" x14ac:dyDescent="0.25">
      <c r="B1267" s="412">
        <v>44118</v>
      </c>
      <c r="C1267" s="413">
        <v>3363.71</v>
      </c>
      <c r="D1267" s="410"/>
      <c r="E1267" s="410"/>
      <c r="F1267" s="410"/>
    </row>
    <row r="1268" spans="2:6" ht="12.75" customHeight="1" x14ac:dyDescent="0.25">
      <c r="B1268" s="412">
        <v>44119</v>
      </c>
      <c r="C1268" s="413">
        <v>3338.65</v>
      </c>
      <c r="D1268" s="410"/>
      <c r="E1268" s="410"/>
      <c r="F1268" s="410"/>
    </row>
    <row r="1269" spans="2:6" ht="12.75" customHeight="1" x14ac:dyDescent="0.25">
      <c r="B1269" s="412">
        <v>44120</v>
      </c>
      <c r="C1269" s="413">
        <v>3272.71</v>
      </c>
      <c r="D1269" s="410"/>
      <c r="E1269" s="410"/>
      <c r="F1269" s="410"/>
    </row>
    <row r="1270" spans="2:6" ht="12.75" customHeight="1" x14ac:dyDescent="0.25">
      <c r="B1270" s="412">
        <v>44123</v>
      </c>
      <c r="C1270" s="413">
        <v>3207.21</v>
      </c>
      <c r="D1270" s="410"/>
      <c r="E1270" s="410"/>
      <c r="F1270" s="410"/>
    </row>
    <row r="1271" spans="2:6" ht="12.75" customHeight="1" x14ac:dyDescent="0.25">
      <c r="B1271" s="412">
        <v>44124</v>
      </c>
      <c r="C1271" s="413">
        <v>3217.01</v>
      </c>
      <c r="D1271" s="410"/>
      <c r="E1271" s="410"/>
      <c r="F1271" s="410"/>
    </row>
    <row r="1272" spans="2:6" ht="12.75" customHeight="1" x14ac:dyDescent="0.25">
      <c r="B1272" s="412">
        <v>44125</v>
      </c>
      <c r="C1272" s="413">
        <v>3184.94</v>
      </c>
      <c r="D1272" s="410"/>
      <c r="E1272" s="410"/>
      <c r="F1272" s="410"/>
    </row>
    <row r="1273" spans="2:6" ht="12.75" customHeight="1" x14ac:dyDescent="0.25">
      <c r="B1273" s="412">
        <v>44126</v>
      </c>
      <c r="C1273" s="413">
        <v>3176.4</v>
      </c>
      <c r="D1273" s="410"/>
      <c r="E1273" s="410"/>
      <c r="F1273" s="410"/>
    </row>
    <row r="1274" spans="2:6" ht="12.75" customHeight="1" x14ac:dyDescent="0.25">
      <c r="B1274" s="412">
        <v>44127</v>
      </c>
      <c r="C1274" s="413">
        <v>3204.4</v>
      </c>
      <c r="D1274" s="410"/>
      <c r="E1274" s="410"/>
      <c r="F1274" s="410"/>
    </row>
    <row r="1275" spans="2:6" ht="12.75" customHeight="1" x14ac:dyDescent="0.25">
      <c r="B1275" s="412">
        <v>44130</v>
      </c>
      <c r="C1275" s="413">
        <v>3207.04</v>
      </c>
      <c r="D1275" s="410"/>
      <c r="E1275" s="410"/>
      <c r="F1275" s="410"/>
    </row>
    <row r="1276" spans="2:6" ht="12.75" customHeight="1" x14ac:dyDescent="0.25">
      <c r="B1276" s="412">
        <v>44131</v>
      </c>
      <c r="C1276" s="413">
        <v>3286.33</v>
      </c>
      <c r="D1276" s="410"/>
      <c r="E1276" s="410"/>
      <c r="F1276" s="410"/>
    </row>
    <row r="1277" spans="2:6" ht="12.75" customHeight="1" x14ac:dyDescent="0.25">
      <c r="B1277" s="412">
        <v>44132</v>
      </c>
      <c r="C1277" s="413">
        <v>3162.78</v>
      </c>
      <c r="D1277" s="410"/>
      <c r="E1277" s="410"/>
      <c r="F1277" s="410"/>
    </row>
    <row r="1278" spans="2:6" ht="12.75" customHeight="1" x14ac:dyDescent="0.25">
      <c r="B1278" s="412">
        <v>44133</v>
      </c>
      <c r="C1278" s="413">
        <v>3211.01</v>
      </c>
      <c r="D1278" s="410"/>
      <c r="E1278" s="410"/>
      <c r="F1278" s="410"/>
    </row>
    <row r="1279" spans="2:6" ht="12.75" customHeight="1" x14ac:dyDescent="0.25">
      <c r="B1279" s="412">
        <v>44134</v>
      </c>
      <c r="C1279" s="413">
        <v>3036.15</v>
      </c>
      <c r="D1279" s="410"/>
      <c r="E1279" s="410"/>
      <c r="F1279" s="410"/>
    </row>
    <row r="1280" spans="2:6" ht="12.75" customHeight="1" x14ac:dyDescent="0.25">
      <c r="B1280" s="412">
        <v>44137</v>
      </c>
      <c r="C1280" s="413">
        <v>3004.48</v>
      </c>
      <c r="D1280" s="410"/>
      <c r="E1280" s="410"/>
      <c r="F1280" s="410"/>
    </row>
    <row r="1281" spans="2:6" ht="12.75" customHeight="1" x14ac:dyDescent="0.25">
      <c r="B1281" s="412">
        <v>44138</v>
      </c>
      <c r="C1281" s="413">
        <v>3048.41</v>
      </c>
      <c r="D1281" s="410"/>
      <c r="E1281" s="410"/>
      <c r="F1281" s="410"/>
    </row>
    <row r="1282" spans="2:6" ht="12.75" customHeight="1" x14ac:dyDescent="0.25">
      <c r="B1282" s="412">
        <v>44139</v>
      </c>
      <c r="C1282" s="413">
        <v>3241.16</v>
      </c>
      <c r="D1282" s="410"/>
      <c r="E1282" s="410"/>
      <c r="F1282" s="410"/>
    </row>
    <row r="1283" spans="2:6" ht="12.75" customHeight="1" x14ac:dyDescent="0.25">
      <c r="B1283" s="412">
        <v>44140</v>
      </c>
      <c r="C1283" s="413">
        <v>3322</v>
      </c>
      <c r="D1283" s="411"/>
      <c r="E1283" s="411"/>
      <c r="F1283" s="411"/>
    </row>
    <row r="1284" spans="2:6" ht="12.75" customHeight="1" x14ac:dyDescent="0.25">
      <c r="B1284" s="414">
        <v>44141</v>
      </c>
      <c r="C1284" s="413">
        <v>3311.37</v>
      </c>
    </row>
    <row r="1285" spans="2:6" ht="12.75" customHeight="1" x14ac:dyDescent="0.25">
      <c r="B1285" s="414">
        <v>44144</v>
      </c>
      <c r="C1285" s="413">
        <v>3143.74</v>
      </c>
    </row>
    <row r="1286" spans="2:6" ht="12.75" customHeight="1" x14ac:dyDescent="0.25">
      <c r="B1286" s="414">
        <v>44145</v>
      </c>
      <c r="C1286" s="413">
        <v>3035.02</v>
      </c>
    </row>
    <row r="1287" spans="2:6" ht="12.75" customHeight="1" x14ac:dyDescent="0.25">
      <c r="B1287" s="414">
        <v>44146</v>
      </c>
      <c r="C1287" s="413">
        <v>3137.39</v>
      </c>
    </row>
    <row r="1288" spans="2:6" ht="12.75" customHeight="1" x14ac:dyDescent="0.25">
      <c r="B1288" s="414">
        <v>44147</v>
      </c>
      <c r="C1288" s="413">
        <v>3110.28</v>
      </c>
    </row>
    <row r="1289" spans="2:6" ht="12.75" customHeight="1" x14ac:dyDescent="0.25">
      <c r="B1289" s="414">
        <v>44148</v>
      </c>
      <c r="C1289" s="413">
        <v>3128.81</v>
      </c>
    </row>
    <row r="1290" spans="2:6" ht="12.75" customHeight="1" x14ac:dyDescent="0.25">
      <c r="B1290" s="414">
        <v>44151</v>
      </c>
      <c r="C1290" s="413">
        <v>3131.06</v>
      </c>
    </row>
    <row r="1291" spans="2:6" ht="12.75" customHeight="1" x14ac:dyDescent="0.25">
      <c r="B1291" s="414">
        <v>44152</v>
      </c>
      <c r="C1291" s="413">
        <v>3135.66</v>
      </c>
    </row>
    <row r="1292" spans="2:6" ht="12.75" customHeight="1" x14ac:dyDescent="0.25">
      <c r="B1292" s="414">
        <v>44153</v>
      </c>
      <c r="C1292" s="413">
        <v>3105.46</v>
      </c>
    </row>
    <row r="1293" spans="2:6" ht="12.75" customHeight="1" x14ac:dyDescent="0.25">
      <c r="B1293" s="414">
        <v>44154</v>
      </c>
      <c r="C1293" s="413">
        <v>3117.02</v>
      </c>
    </row>
    <row r="1294" spans="2:6" ht="12.75" customHeight="1" x14ac:dyDescent="0.25">
      <c r="B1294" s="414">
        <v>44155</v>
      </c>
      <c r="C1294" s="413">
        <v>3099.4</v>
      </c>
    </row>
    <row r="1295" spans="2:6" ht="12.75" customHeight="1" x14ac:dyDescent="0.25">
      <c r="B1295" s="414">
        <v>44158</v>
      </c>
      <c r="C1295" s="413">
        <v>3098.39</v>
      </c>
    </row>
    <row r="1296" spans="2:6" ht="12.75" customHeight="1" x14ac:dyDescent="0.25">
      <c r="B1296" s="414">
        <v>44159</v>
      </c>
      <c r="C1296" s="413">
        <v>3118.06</v>
      </c>
    </row>
    <row r="1297" spans="2:3" ht="12.75" customHeight="1" x14ac:dyDescent="0.25">
      <c r="B1297" s="414">
        <v>44160</v>
      </c>
      <c r="C1297" s="413">
        <v>3185.07</v>
      </c>
    </row>
    <row r="1298" spans="2:3" ht="12.75" customHeight="1" x14ac:dyDescent="0.25">
      <c r="B1298" s="414">
        <v>44162</v>
      </c>
      <c r="C1298" s="413">
        <v>3195.34</v>
      </c>
    </row>
    <row r="1299" spans="2:3" ht="12.75" customHeight="1" x14ac:dyDescent="0.25">
      <c r="B1299" s="414">
        <v>44165</v>
      </c>
      <c r="C1299" s="413">
        <v>3168.04</v>
      </c>
    </row>
    <row r="1300" spans="2:3" ht="12.75" customHeight="1" x14ac:dyDescent="0.25">
      <c r="B1300" s="414">
        <v>44166</v>
      </c>
      <c r="C1300" s="413">
        <v>3220.08</v>
      </c>
    </row>
    <row r="1301" spans="2:3" ht="12.75" customHeight="1" x14ac:dyDescent="0.25">
      <c r="B1301" s="414">
        <v>44167</v>
      </c>
      <c r="C1301" s="413">
        <v>3203.53</v>
      </c>
    </row>
    <row r="1302" spans="2:3" ht="12.75" customHeight="1" x14ac:dyDescent="0.25">
      <c r="B1302" s="414">
        <v>44168</v>
      </c>
      <c r="C1302" s="413">
        <v>3186.73</v>
      </c>
    </row>
    <row r="1303" spans="2:3" ht="12.75" customHeight="1" x14ac:dyDescent="0.25">
      <c r="B1303" s="414">
        <v>44169</v>
      </c>
      <c r="C1303" s="413">
        <v>3162.58</v>
      </c>
    </row>
    <row r="1304" spans="2:3" ht="12.75" customHeight="1" x14ac:dyDescent="0.25">
      <c r="B1304" s="414">
        <v>44172</v>
      </c>
      <c r="C1304" s="413">
        <v>3158</v>
      </c>
    </row>
    <row r="1305" spans="2:3" ht="12.75" customHeight="1" x14ac:dyDescent="0.25">
      <c r="B1305" s="414">
        <v>44173</v>
      </c>
      <c r="C1305" s="413">
        <v>3177.29</v>
      </c>
    </row>
    <row r="1306" spans="2:3" ht="12.75" customHeight="1" x14ac:dyDescent="0.25">
      <c r="B1306" s="414">
        <v>44174</v>
      </c>
      <c r="C1306" s="413">
        <v>3104.2</v>
      </c>
    </row>
    <row r="1307" spans="2:3" ht="12.75" customHeight="1" x14ac:dyDescent="0.25">
      <c r="B1307" s="414">
        <v>44175</v>
      </c>
      <c r="C1307" s="413">
        <v>3101.49</v>
      </c>
    </row>
    <row r="1308" spans="2:3" ht="12.75" customHeight="1" x14ac:dyDescent="0.25">
      <c r="B1308" s="414">
        <v>44176</v>
      </c>
      <c r="C1308" s="413">
        <v>3116.42</v>
      </c>
    </row>
    <row r="1309" spans="2:3" ht="12.75" customHeight="1" x14ac:dyDescent="0.25">
      <c r="B1309" s="414">
        <v>44179</v>
      </c>
      <c r="C1309" s="413">
        <v>3156.97</v>
      </c>
    </row>
    <row r="1310" spans="2:3" ht="12.75" customHeight="1" x14ac:dyDescent="0.25">
      <c r="B1310" s="414">
        <v>44180</v>
      </c>
      <c r="C1310" s="413">
        <v>3165.12</v>
      </c>
    </row>
    <row r="1311" spans="2:3" ht="12.75" customHeight="1" x14ac:dyDescent="0.25">
      <c r="B1311" s="414">
        <v>44181</v>
      </c>
      <c r="C1311" s="413">
        <v>3240.96</v>
      </c>
    </row>
    <row r="1312" spans="2:3" ht="12.75" customHeight="1" x14ac:dyDescent="0.25">
      <c r="B1312" s="414">
        <v>44182</v>
      </c>
      <c r="C1312" s="413">
        <v>3236.08</v>
      </c>
    </row>
    <row r="1313" spans="2:3" ht="12.75" customHeight="1" x14ac:dyDescent="0.25">
      <c r="B1313" s="414">
        <v>44183</v>
      </c>
      <c r="C1313" s="413">
        <v>3201.65</v>
      </c>
    </row>
    <row r="1314" spans="2:3" ht="12.75" customHeight="1" x14ac:dyDescent="0.25">
      <c r="B1314" s="414">
        <v>44186</v>
      </c>
      <c r="C1314" s="413">
        <v>3206.18</v>
      </c>
    </row>
    <row r="1315" spans="2:3" ht="12.75" customHeight="1" x14ac:dyDescent="0.25">
      <c r="B1315" s="414">
        <v>44187</v>
      </c>
      <c r="C1315" s="413">
        <v>3206.52</v>
      </c>
    </row>
    <row r="1316" spans="2:3" ht="12.75" customHeight="1" x14ac:dyDescent="0.25">
      <c r="B1316" s="414">
        <v>44188</v>
      </c>
      <c r="C1316" s="413">
        <v>3185.27</v>
      </c>
    </row>
    <row r="1317" spans="2:3" ht="12.75" customHeight="1" x14ac:dyDescent="0.25">
      <c r="B1317" s="414">
        <v>44189</v>
      </c>
      <c r="C1317" s="413">
        <v>3172.69</v>
      </c>
    </row>
    <row r="1318" spans="2:3" ht="12.75" customHeight="1" x14ac:dyDescent="0.25">
      <c r="B1318" s="414">
        <v>44193</v>
      </c>
      <c r="C1318" s="413">
        <v>3283.96</v>
      </c>
    </row>
    <row r="1319" spans="2:3" ht="12.75" customHeight="1" x14ac:dyDescent="0.25">
      <c r="B1319" s="414">
        <v>44194</v>
      </c>
      <c r="C1319" s="413">
        <v>3322</v>
      </c>
    </row>
    <row r="1320" spans="2:3" ht="12.75" customHeight="1" x14ac:dyDescent="0.25">
      <c r="B1320" s="414">
        <v>44195</v>
      </c>
      <c r="C1320" s="413">
        <v>3285.85</v>
      </c>
    </row>
    <row r="1321" spans="2:3" ht="12.75" customHeight="1" x14ac:dyDescent="0.25">
      <c r="B1321" s="414">
        <v>44196</v>
      </c>
      <c r="C1321" s="413">
        <v>3256.93</v>
      </c>
    </row>
    <row r="1322" spans="2:3" ht="12.75" customHeight="1" x14ac:dyDescent="0.25">
      <c r="B1322" s="414">
        <v>44200</v>
      </c>
      <c r="C1322" s="413">
        <v>3186.63</v>
      </c>
    </row>
    <row r="1323" spans="2:3" ht="12.75" customHeight="1" x14ac:dyDescent="0.25">
      <c r="B1323" s="414">
        <v>44201</v>
      </c>
      <c r="C1323" s="413">
        <v>3218.51</v>
      </c>
    </row>
    <row r="1324" spans="2:3" ht="12.75" customHeight="1" x14ac:dyDescent="0.25">
      <c r="B1324" s="414">
        <v>44202</v>
      </c>
      <c r="C1324" s="413">
        <v>3138.38</v>
      </c>
    </row>
    <row r="1325" spans="2:3" ht="12.75" customHeight="1" x14ac:dyDescent="0.25">
      <c r="B1325" s="414">
        <v>44203</v>
      </c>
      <c r="C1325" s="413">
        <v>3162.16</v>
      </c>
    </row>
    <row r="1326" spans="2:3" ht="12.75" customHeight="1" x14ac:dyDescent="0.25">
      <c r="B1326" s="414">
        <v>44204</v>
      </c>
      <c r="C1326" s="413">
        <v>3182.7</v>
      </c>
    </row>
    <row r="1327" spans="2:3" ht="12.75" customHeight="1" x14ac:dyDescent="0.25">
      <c r="B1327" s="414">
        <v>44207</v>
      </c>
      <c r="C1327" s="413">
        <v>3114.21</v>
      </c>
    </row>
    <row r="1328" spans="2:3" ht="12.75" customHeight="1" x14ac:dyDescent="0.25">
      <c r="B1328" s="414">
        <v>44208</v>
      </c>
      <c r="C1328" s="413">
        <v>3120.83</v>
      </c>
    </row>
    <row r="1329" spans="2:3" ht="12.75" customHeight="1" x14ac:dyDescent="0.25">
      <c r="B1329" s="414">
        <v>44209</v>
      </c>
      <c r="C1329" s="413">
        <v>3165.89</v>
      </c>
    </row>
    <row r="1330" spans="2:3" ht="12.75" customHeight="1" x14ac:dyDescent="0.25">
      <c r="B1330" s="414">
        <v>44210</v>
      </c>
      <c r="C1330" s="413">
        <v>3127.47</v>
      </c>
    </row>
    <row r="1331" spans="2:3" ht="12.75" customHeight="1" x14ac:dyDescent="0.25">
      <c r="B1331" s="414">
        <v>44211</v>
      </c>
      <c r="C1331" s="413">
        <v>3104.25</v>
      </c>
    </row>
    <row r="1332" spans="2:3" ht="12.75" customHeight="1" x14ac:dyDescent="0.25">
      <c r="B1332" s="414">
        <v>44215</v>
      </c>
      <c r="C1332" s="413">
        <v>3120.76</v>
      </c>
    </row>
    <row r="1333" spans="2:3" ht="12.75" customHeight="1" x14ac:dyDescent="0.25">
      <c r="B1333" s="414">
        <v>44216</v>
      </c>
      <c r="C1333" s="413">
        <v>3263.38</v>
      </c>
    </row>
    <row r="1334" spans="2:3" ht="12.75" customHeight="1" x14ac:dyDescent="0.25">
      <c r="B1334" s="414">
        <v>44217</v>
      </c>
      <c r="C1334" s="413">
        <v>3306.99</v>
      </c>
    </row>
    <row r="1335" spans="2:3" ht="12.75" customHeight="1" x14ac:dyDescent="0.25">
      <c r="B1335" s="414">
        <v>44218</v>
      </c>
      <c r="C1335" s="413">
        <v>3292.23</v>
      </c>
    </row>
    <row r="1336" spans="2:3" ht="12.75" customHeight="1" x14ac:dyDescent="0.25">
      <c r="B1336" s="414">
        <v>44221</v>
      </c>
      <c r="C1336" s="413">
        <v>3294</v>
      </c>
    </row>
    <row r="1337" spans="2:3" ht="12.75" customHeight="1" x14ac:dyDescent="0.25">
      <c r="B1337" s="414">
        <v>44222</v>
      </c>
      <c r="C1337" s="413">
        <v>3326.13</v>
      </c>
    </row>
    <row r="1338" spans="2:3" ht="12.75" customHeight="1" x14ac:dyDescent="0.25">
      <c r="B1338" s="414">
        <v>44223</v>
      </c>
      <c r="C1338" s="413">
        <v>3232.58</v>
      </c>
    </row>
    <row r="1339" spans="2:3" ht="12.75" customHeight="1" x14ac:dyDescent="0.25">
      <c r="B1339" s="414">
        <v>44224</v>
      </c>
      <c r="C1339" s="413">
        <v>3237.62</v>
      </c>
    </row>
    <row r="1340" spans="2:3" ht="12.75" customHeight="1" x14ac:dyDescent="0.25">
      <c r="B1340" s="414">
        <v>44225</v>
      </c>
      <c r="C1340" s="413">
        <v>3206.2</v>
      </c>
    </row>
    <row r="1341" spans="2:3" ht="12.75" customHeight="1" x14ac:dyDescent="0.25">
      <c r="B1341" s="414">
        <v>44228</v>
      </c>
      <c r="C1341" s="413">
        <v>3342.88</v>
      </c>
    </row>
    <row r="1342" spans="2:3" ht="12.75" customHeight="1" x14ac:dyDescent="0.25">
      <c r="B1342" s="414">
        <v>44229</v>
      </c>
      <c r="C1342" s="413">
        <v>3380</v>
      </c>
    </row>
    <row r="1343" spans="2:3" ht="12.75" customHeight="1" x14ac:dyDescent="0.25">
      <c r="B1343" s="414">
        <v>44230</v>
      </c>
      <c r="C1343" s="413">
        <v>3312.53</v>
      </c>
    </row>
    <row r="1344" spans="2:3" ht="12.75" customHeight="1" x14ac:dyDescent="0.25">
      <c r="B1344" s="414">
        <v>44231</v>
      </c>
      <c r="C1344" s="413">
        <v>3331</v>
      </c>
    </row>
    <row r="1345" spans="2:3" ht="12.75" customHeight="1" x14ac:dyDescent="0.25">
      <c r="B1345" s="414">
        <v>44232</v>
      </c>
      <c r="C1345" s="413">
        <v>3352.15</v>
      </c>
    </row>
    <row r="1346" spans="2:3" ht="12.75" customHeight="1" x14ac:dyDescent="0.25">
      <c r="B1346" s="414">
        <v>44235</v>
      </c>
      <c r="C1346" s="413">
        <v>3322.94</v>
      </c>
    </row>
    <row r="1347" spans="2:3" ht="12.75" customHeight="1" x14ac:dyDescent="0.25">
      <c r="B1347" s="414">
        <v>44236</v>
      </c>
      <c r="C1347" s="413">
        <v>3305</v>
      </c>
    </row>
    <row r="1348" spans="2:3" ht="12.75" customHeight="1" x14ac:dyDescent="0.25">
      <c r="B1348" s="414">
        <v>44237</v>
      </c>
      <c r="C1348" s="413">
        <v>3286.58</v>
      </c>
    </row>
    <row r="1349" spans="2:3" ht="12.75" customHeight="1" x14ac:dyDescent="0.25">
      <c r="B1349" s="414">
        <v>44238</v>
      </c>
      <c r="C1349" s="413">
        <v>3262.13</v>
      </c>
    </row>
    <row r="1350" spans="2:3" ht="12.75" customHeight="1" x14ac:dyDescent="0.25">
      <c r="B1350" s="414">
        <v>44239</v>
      </c>
      <c r="C1350" s="413">
        <v>3277.71</v>
      </c>
    </row>
    <row r="1351" spans="2:3" ht="12.75" customHeight="1" x14ac:dyDescent="0.25">
      <c r="B1351" s="414">
        <v>44243</v>
      </c>
      <c r="C1351" s="413">
        <v>3268.95</v>
      </c>
    </row>
    <row r="1352" spans="2:3" ht="12.75" customHeight="1" x14ac:dyDescent="0.25">
      <c r="B1352" s="414">
        <v>44244</v>
      </c>
      <c r="C1352" s="413">
        <v>3308.64</v>
      </c>
    </row>
    <row r="1353" spans="2:3" ht="12.75" customHeight="1" x14ac:dyDescent="0.25">
      <c r="B1353" s="414">
        <v>44245</v>
      </c>
      <c r="C1353" s="413">
        <v>3328.23</v>
      </c>
    </row>
    <row r="1354" spans="2:3" ht="12.75" customHeight="1" x14ac:dyDescent="0.25">
      <c r="B1354" s="414">
        <v>44246</v>
      </c>
      <c r="C1354" s="413">
        <v>3249.9</v>
      </c>
    </row>
    <row r="1355" spans="2:3" ht="12.75" customHeight="1" x14ac:dyDescent="0.25">
      <c r="B1355" s="414">
        <v>44249</v>
      </c>
      <c r="C1355" s="413">
        <v>3180.74</v>
      </c>
    </row>
    <row r="1356" spans="2:3" ht="12.75" customHeight="1" x14ac:dyDescent="0.25">
      <c r="B1356" s="414">
        <v>44250</v>
      </c>
      <c r="C1356" s="413">
        <v>3194.5</v>
      </c>
    </row>
    <row r="1357" spans="2:3" ht="12.75" customHeight="1" x14ac:dyDescent="0.25">
      <c r="B1357" s="414">
        <v>44251</v>
      </c>
      <c r="C1357" s="413">
        <v>3159.53</v>
      </c>
    </row>
    <row r="1358" spans="2:3" ht="12.75" customHeight="1" x14ac:dyDescent="0.25">
      <c r="B1358" s="414">
        <v>44252</v>
      </c>
      <c r="C1358" s="413">
        <v>3057.16</v>
      </c>
    </row>
    <row r="1359" spans="2:3" ht="12.75" customHeight="1" x14ac:dyDescent="0.25">
      <c r="B1359" s="414">
        <v>44253</v>
      </c>
      <c r="C1359" s="413">
        <v>3092.93</v>
      </c>
    </row>
    <row r="1360" spans="2:3" ht="12.75" customHeight="1" x14ac:dyDescent="0.25">
      <c r="B1360" s="414">
        <v>44256</v>
      </c>
      <c r="C1360" s="413">
        <v>3146.14</v>
      </c>
    </row>
    <row r="1361" spans="2:3" ht="12.75" customHeight="1" x14ac:dyDescent="0.25">
      <c r="B1361" s="414">
        <v>44257</v>
      </c>
      <c r="C1361" s="413">
        <v>3094.53</v>
      </c>
    </row>
    <row r="1362" spans="2:3" ht="12.75" customHeight="1" x14ac:dyDescent="0.25">
      <c r="B1362" s="414">
        <v>44258</v>
      </c>
      <c r="C1362" s="413">
        <v>3005</v>
      </c>
    </row>
    <row r="1363" spans="2:3" ht="12.75" customHeight="1" x14ac:dyDescent="0.25">
      <c r="B1363" s="414">
        <v>44259</v>
      </c>
      <c r="C1363" s="413">
        <v>2977.57</v>
      </c>
    </row>
    <row r="1364" spans="2:3" ht="12.75" customHeight="1" x14ac:dyDescent="0.25">
      <c r="B1364" s="414">
        <v>44260</v>
      </c>
      <c r="C1364" s="413">
        <v>3000.46</v>
      </c>
    </row>
    <row r="1365" spans="2:3" ht="12.75" customHeight="1" x14ac:dyDescent="0.25">
      <c r="B1365" s="414">
        <v>44263</v>
      </c>
      <c r="C1365" s="413">
        <v>2951.95</v>
      </c>
    </row>
    <row r="1366" spans="2:3" ht="12.75" customHeight="1" x14ac:dyDescent="0.25">
      <c r="B1366" s="414">
        <v>44264</v>
      </c>
      <c r="C1366" s="413">
        <v>3062.85</v>
      </c>
    </row>
    <row r="1367" spans="2:3" ht="12.75" customHeight="1" x14ac:dyDescent="0.25">
      <c r="B1367" s="414">
        <v>44265</v>
      </c>
      <c r="C1367" s="413">
        <v>3057.64</v>
      </c>
    </row>
    <row r="1368" spans="2:3" ht="12.75" customHeight="1" x14ac:dyDescent="0.25">
      <c r="B1368" s="414">
        <v>44266</v>
      </c>
      <c r="C1368" s="413">
        <v>3113.59</v>
      </c>
    </row>
    <row r="1369" spans="2:3" ht="12.75" customHeight="1" x14ac:dyDescent="0.25">
      <c r="B1369" s="414">
        <v>44267</v>
      </c>
      <c r="C1369" s="413">
        <v>3089.49</v>
      </c>
    </row>
    <row r="1370" spans="2:3" ht="12.75" customHeight="1" x14ac:dyDescent="0.25">
      <c r="B1370" s="414">
        <v>44270</v>
      </c>
      <c r="C1370" s="413">
        <v>3081.68</v>
      </c>
    </row>
    <row r="1371" spans="2:3" ht="12.75" customHeight="1" x14ac:dyDescent="0.25">
      <c r="B1371" s="414">
        <v>44271</v>
      </c>
      <c r="C1371" s="413">
        <v>3091.86</v>
      </c>
    </row>
    <row r="1372" spans="2:3" ht="12.75" customHeight="1" x14ac:dyDescent="0.25">
      <c r="B1372" s="414">
        <v>44272</v>
      </c>
      <c r="C1372" s="413">
        <v>3135.73</v>
      </c>
    </row>
    <row r="1373" spans="2:3" ht="12.75" customHeight="1" x14ac:dyDescent="0.25">
      <c r="B1373" s="414">
        <v>44273</v>
      </c>
      <c r="C1373" s="413">
        <v>3027.99</v>
      </c>
    </row>
    <row r="1374" spans="2:3" ht="12.75" customHeight="1" x14ac:dyDescent="0.25">
      <c r="B1374" s="414">
        <v>44274</v>
      </c>
      <c r="C1374" s="413">
        <v>3074.96</v>
      </c>
    </row>
    <row r="1381" spans="3:3" ht="12.75" customHeight="1" x14ac:dyDescent="0.25">
      <c r="C1381" s="569"/>
    </row>
    <row r="1382" spans="3:3" ht="12.75" customHeight="1" x14ac:dyDescent="0.25">
      <c r="C1382" s="569"/>
    </row>
  </sheetData>
  <pageMargins left="0.75" right="0.75" top="1" bottom="1" header="0.5" footer="0.5"/>
  <pageSetup paperSize="9" scale="55" orientation="portrait" horizontalDpi="300" verticalDpi="300" r:id="rId1"/>
  <headerFooter alignWithMargins="0"/>
  <rowBreaks count="2" manualBreakCount="2">
    <brk id="101" max="5" man="1"/>
    <brk id="221" max="5" man="1"/>
  </rowBreaks>
  <customProperties>
    <customPr name="Guid" r:id="rId2"/>
  </customProperties>
  <drawing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63EA5B-F1F1-4B13-B166-EE7971B74B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PresentationFormat/>
  <ScaleCrop>false</ScaleCrop>
  <HeadingPairs>
    <vt:vector size="4" baseType="variant">
      <vt:variant>
        <vt:lpstr>Planilhas</vt:lpstr>
      </vt:variant>
      <vt:variant>
        <vt:i4>18</vt:i4>
      </vt:variant>
      <vt:variant>
        <vt:lpstr>Intervalos Nomeados</vt:lpstr>
      </vt:variant>
      <vt:variant>
        <vt:i4>23</vt:i4>
      </vt:variant>
    </vt:vector>
  </HeadingPairs>
  <TitlesOfParts>
    <vt:vector size="41" baseType="lpstr">
      <vt:lpstr>Cover Page</vt:lpstr>
      <vt:lpstr>Dashboard</vt:lpstr>
      <vt:lpstr>Implied Value Summary</vt:lpstr>
      <vt:lpstr>Outputs</vt:lpstr>
      <vt:lpstr>Control Panel</vt:lpstr>
      <vt:lpstr>Financial Statements</vt:lpstr>
      <vt:lpstr>Raw Data</vt:lpstr>
      <vt:lpstr>Scenarios</vt:lpstr>
      <vt:lpstr>DCF</vt:lpstr>
      <vt:lpstr>WACC</vt:lpstr>
      <vt:lpstr>SOTP</vt:lpstr>
      <vt:lpstr>Comps</vt:lpstr>
      <vt:lpstr>PrecedentsVal</vt:lpstr>
      <vt:lpstr>Precedents</vt:lpstr>
      <vt:lpstr>Market Size</vt:lpstr>
      <vt:lpstr>Macro</vt:lpstr>
      <vt:lpstr>Consensus</vt:lpstr>
      <vt:lpstr>Share Price</vt:lpstr>
      <vt:lpstr>_CompanyName</vt:lpstr>
      <vt:lpstr>_LTGrowth</vt:lpstr>
      <vt:lpstr>_RoundBillions</vt:lpstr>
      <vt:lpstr>_TaxRate</vt:lpstr>
      <vt:lpstr>_Vdate</vt:lpstr>
      <vt:lpstr>_WACC</vt:lpstr>
      <vt:lpstr>_YEdate_After</vt:lpstr>
      <vt:lpstr>_YEdate_Before</vt:lpstr>
      <vt:lpstr>Consensus!Area_de_impressao</vt:lpstr>
      <vt:lpstr>'Control Panel'!Area_de_impressao</vt:lpstr>
      <vt:lpstr>Dashboard!Area_de_impressao</vt:lpstr>
      <vt:lpstr>DCF!Area_de_impressao</vt:lpstr>
      <vt:lpstr>'Financial Statements'!Area_de_impressao</vt:lpstr>
      <vt:lpstr>'Implied Value Summary'!Area_de_impressao</vt:lpstr>
      <vt:lpstr>Macro!Area_de_impressao</vt:lpstr>
      <vt:lpstr>Outputs!Area_de_impressao</vt:lpstr>
      <vt:lpstr>Precedents!Area_de_impressao</vt:lpstr>
      <vt:lpstr>PrecedentsVal!Area_de_impressao</vt:lpstr>
      <vt:lpstr>'Raw Data'!Area_de_impressao</vt:lpstr>
      <vt:lpstr>Scenarios!Area_de_impressao</vt:lpstr>
      <vt:lpstr>'Share Price'!Area_de_impressao</vt:lpstr>
      <vt:lpstr>SOTP!Area_de_impressao</vt:lpstr>
      <vt:lpstr>WACC!Area_de_impressao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Patrick Almeida</cp:lastModifiedBy>
  <cp:revision/>
  <cp:lastPrinted>1899-12-30T07:00:00Z</cp:lastPrinted>
  <dcterms:created xsi:type="dcterms:W3CDTF">1899-12-30T07:00:00Z</dcterms:created>
  <dcterms:modified xsi:type="dcterms:W3CDTF">2023-04-06T00:23:29Z</dcterms:modified>
  <cp:category/>
  <cp:contentStatus/>
  <dc:language/>
  <cp:version/>
</cp:coreProperties>
</file>