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ustomProperty2.bin" ContentType="application/vnd.openxmlformats-officedocument.spreadsheetml.customProperty"/>
  <Override PartName="/xl/customProperty3.bin" ContentType="application/vnd.openxmlformats-officedocument.spreadsheetml.customProperty"/>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atri\Downloads\"/>
    </mc:Choice>
  </mc:AlternateContent>
  <xr:revisionPtr revIDLastSave="0" documentId="13_ncr:1_{0C9A9C4E-D95B-4F84-AD43-028E288AC32B}" xr6:coauthVersionLast="47" xr6:coauthVersionMax="47" xr10:uidLastSave="{00000000-0000-0000-0000-000000000000}"/>
  <bookViews>
    <workbookView xWindow="-108" yWindow="-108" windowWidth="23256" windowHeight="12456" tabRatio="590" activeTab="7" xr2:uid="{00000000-000D-0000-FFFF-FFFF00000000}"/>
  </bookViews>
  <sheets>
    <sheet name="DCF &amp; Sensitivity Model" sheetId="2" r:id="rId1"/>
    <sheet name="Synergy" sheetId="7" r:id="rId2"/>
    <sheet name="DCF for ppt" sheetId="6" state="hidden" r:id="rId3"/>
    <sheet name="WACC" sheetId="4" r:id="rId4"/>
    <sheet name="Additional Assumptions" sheetId="3" state="hidden" r:id="rId5"/>
    <sheet name="CCA" sheetId="8" r:id="rId6"/>
    <sheet name="CTA" sheetId="9" r:id="rId7"/>
    <sheet name="Football Field" sheetId="11" r:id="rId8"/>
  </sheets>
  <externalReferences>
    <externalReference r:id="rId9"/>
  </externalReferences>
  <definedNames>
    <definedName name="Case" localSheetId="5">CCA!#REF!</definedName>
    <definedName name="CIQWBGuid" localSheetId="5" hidden="1">"d006afc4-9008-4339-a687-8baa8b893772"</definedName>
    <definedName name="CIQWBGuid" localSheetId="6" hidden="1">"d006afc4-9008-4339-a687-8baa8b893772"</definedName>
    <definedName name="CIQWBGuid" hidden="1">"34f41c34-0a63-4db8-8921-ca339832aa6b"</definedName>
    <definedName name="CIQWBInfo" hidden="1">"{ ""CIQVersion"":""9.48.1616.5174"" }"</definedName>
    <definedName name="Company" localSheetId="5">CCA!$D$7</definedName>
    <definedName name="Company_Name" localSheetId="5">CCA!#REF!</definedName>
    <definedName name="Company_Name">'[1]BackUp, nicht beachten'!#REF!</definedName>
    <definedName name="Conversion_Rate" localSheetId="5">CCA!$D$11</definedName>
    <definedName name="Conversion_Rate" localSheetId="6">CTA!#REF!</definedName>
    <definedName name="Conversion_Rate">#REF!</definedName>
    <definedName name="Currency" localSheetId="5">CCA!$D$10</definedName>
    <definedName name="Currency" localSheetId="6">CTA!#REF!</definedName>
    <definedName name="Currency">#REF!</definedName>
    <definedName name="Date" localSheetId="5">CCA!$D$8</definedName>
    <definedName name="Date" localSheetId="6">CTA!#REF!</definedName>
    <definedName name="Date">#REF!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44686.7763657407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I11" localSheetId="5" hidden="1">CCA!#REF!</definedName>
    <definedName name="IQRI11" hidden="1">'[1]BackUp, nicht beachten'!#REF!</definedName>
    <definedName name="Max_Comps" localSheetId="5">CCA!$N$7</definedName>
    <definedName name="Max_Comps" localSheetId="6">CTA!#REF!</definedName>
    <definedName name="Max_Comps">#REF!</definedName>
    <definedName name="Min_Comps" localSheetId="5">CCA!$N$8</definedName>
    <definedName name="Min_Comps" localSheetId="6">CTA!#REF!</definedName>
    <definedName name="Min_Comps">#REF!</definedName>
    <definedName name="Period" localSheetId="5">CCA!$D$9</definedName>
    <definedName name="Period" localSheetId="6">CTA!#REF!</definedName>
    <definedName name="Period">#REF!</definedName>
  </definedNames>
  <calcPr calcId="191028"/>
  <customWorkbookViews>
    <customWorkbookView name="reuters5 - Personal View" guid="{66FAC9CC-22A3-466B-8EC3-835518DDE015}" mergeInterval="0" personalView="1" maximized="1" xWindow="1912" yWindow="-8" windowWidth="1936" windowHeight="1056" tabRatio="590" activeSheetId="2"/>
  </customWorkbookViews>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81" i="2" l="1"/>
  <c r="J123" i="2"/>
  <c r="K123" i="2"/>
  <c r="L123" i="2"/>
  <c r="M123" i="2"/>
  <c r="N123" i="2"/>
  <c r="O123" i="2"/>
  <c r="I123" i="2"/>
  <c r="J119" i="2"/>
  <c r="K119" i="2"/>
  <c r="L119" i="2"/>
  <c r="M119" i="2"/>
  <c r="N119" i="2"/>
  <c r="O119" i="2"/>
  <c r="I119" i="2"/>
  <c r="J104" i="2"/>
  <c r="K104" i="2"/>
  <c r="L104" i="2"/>
  <c r="M104" i="2" s="1"/>
  <c r="N104" i="2" s="1"/>
  <c r="O104" i="2" s="1"/>
  <c r="J105" i="2"/>
  <c r="K105" i="2"/>
  <c r="L105" i="2" s="1"/>
  <c r="M105" i="2" s="1"/>
  <c r="N105" i="2" s="1"/>
  <c r="O105" i="2" s="1"/>
  <c r="J106" i="2"/>
  <c r="K106" i="2"/>
  <c r="L106" i="2" s="1"/>
  <c r="M106" i="2" s="1"/>
  <c r="N106" i="2" s="1"/>
  <c r="O106" i="2" s="1"/>
  <c r="J107" i="2"/>
  <c r="K107" i="2" s="1"/>
  <c r="L107" i="2" s="1"/>
  <c r="M107" i="2" s="1"/>
  <c r="N107" i="2" s="1"/>
  <c r="O107" i="2" s="1"/>
  <c r="I105" i="2"/>
  <c r="I106" i="2"/>
  <c r="I107" i="2"/>
  <c r="I104" i="2"/>
  <c r="J114" i="2"/>
  <c r="K114" i="2" s="1"/>
  <c r="L114" i="2" s="1"/>
  <c r="M114" i="2" s="1"/>
  <c r="N114" i="2" s="1"/>
  <c r="O114" i="2" s="1"/>
  <c r="J115" i="2"/>
  <c r="K115" i="2"/>
  <c r="L115" i="2" s="1"/>
  <c r="M115" i="2" s="1"/>
  <c r="N115" i="2" s="1"/>
  <c r="O115" i="2" s="1"/>
  <c r="J116" i="2"/>
  <c r="K116" i="2"/>
  <c r="L116" i="2" s="1"/>
  <c r="M116" i="2" s="1"/>
  <c r="N116" i="2" s="1"/>
  <c r="O116" i="2" s="1"/>
  <c r="J117" i="2"/>
  <c r="K117" i="2" s="1"/>
  <c r="L117" i="2" s="1"/>
  <c r="M117" i="2" s="1"/>
  <c r="N117" i="2" s="1"/>
  <c r="O117" i="2" s="1"/>
  <c r="J118" i="2"/>
  <c r="K118" i="2" s="1"/>
  <c r="L118" i="2" s="1"/>
  <c r="M118" i="2" s="1"/>
  <c r="N118" i="2" s="1"/>
  <c r="O118" i="2" s="1"/>
  <c r="J120" i="2"/>
  <c r="K120" i="2"/>
  <c r="L120" i="2" s="1"/>
  <c r="M120" i="2" s="1"/>
  <c r="N120" i="2" s="1"/>
  <c r="O120" i="2" s="1"/>
  <c r="J121" i="2"/>
  <c r="K121" i="2" s="1"/>
  <c r="L121" i="2" s="1"/>
  <c r="M121" i="2" s="1"/>
  <c r="N121" i="2" s="1"/>
  <c r="O121" i="2" s="1"/>
  <c r="J122" i="2"/>
  <c r="K122" i="2" s="1"/>
  <c r="L122" i="2" s="1"/>
  <c r="M122" i="2" s="1"/>
  <c r="N122" i="2" s="1"/>
  <c r="O122" i="2" s="1"/>
  <c r="I121" i="2"/>
  <c r="I122" i="2"/>
  <c r="I120" i="2"/>
  <c r="I118" i="2"/>
  <c r="I114" i="2"/>
  <c r="I115" i="2"/>
  <c r="I116" i="2"/>
  <c r="I117" i="2"/>
  <c r="J113" i="2"/>
  <c r="K113" i="2" s="1"/>
  <c r="L113" i="2" s="1"/>
  <c r="M113" i="2" s="1"/>
  <c r="N113" i="2" s="1"/>
  <c r="O113" i="2" s="1"/>
  <c r="I113" i="2"/>
  <c r="N100" i="2"/>
  <c r="O100" i="2"/>
  <c r="N101" i="2"/>
  <c r="O101" i="2"/>
  <c r="I24" i="11"/>
  <c r="J24" i="11" s="1"/>
  <c r="H25" i="11"/>
  <c r="H22" i="11"/>
  <c r="H23" i="11"/>
  <c r="H33" i="11" s="1"/>
  <c r="H26" i="11"/>
  <c r="H24" i="11"/>
  <c r="Z38" i="8"/>
  <c r="Z39" i="8"/>
  <c r="Z40" i="8"/>
  <c r="Z43" i="8"/>
  <c r="Z42" i="8"/>
  <c r="Z41" i="8"/>
  <c r="G26" i="11"/>
  <c r="G25" i="11"/>
  <c r="G24" i="11"/>
  <c r="G23" i="11"/>
  <c r="G22" i="11"/>
  <c r="F26" i="11"/>
  <c r="F25" i="11"/>
  <c r="F24" i="11"/>
  <c r="F23" i="11"/>
  <c r="F22" i="11"/>
  <c r="E26" i="11"/>
  <c r="E25" i="11"/>
  <c r="E30" i="11" s="1"/>
  <c r="E24" i="11"/>
  <c r="E23" i="11"/>
  <c r="E22" i="11"/>
  <c r="D26" i="11"/>
  <c r="D25" i="11"/>
  <c r="D24" i="11"/>
  <c r="D23" i="11"/>
  <c r="C26" i="11"/>
  <c r="C25" i="11"/>
  <c r="C24" i="11"/>
  <c r="C23" i="11"/>
  <c r="D22" i="11"/>
  <c r="C22" i="11"/>
  <c r="N83" i="2" l="1"/>
  <c r="O83" i="2"/>
  <c r="C32" i="11"/>
  <c r="E33" i="11"/>
  <c r="G31" i="11"/>
  <c r="H30" i="11"/>
  <c r="H32" i="11"/>
  <c r="C33" i="11"/>
  <c r="C30" i="11"/>
  <c r="D30" i="11"/>
  <c r="E31" i="11"/>
  <c r="F32" i="11"/>
  <c r="G33" i="11"/>
  <c r="D33" i="11"/>
  <c r="F31" i="11"/>
  <c r="D31" i="11"/>
  <c r="C31" i="11"/>
  <c r="E32" i="11"/>
  <c r="F33" i="11"/>
  <c r="G30" i="11"/>
  <c r="H31" i="11"/>
  <c r="F30" i="11"/>
  <c r="G32" i="11"/>
  <c r="D32" i="11"/>
  <c r="S193" i="2"/>
  <c r="L201" i="2" s="1"/>
  <c r="X185" i="2"/>
  <c r="X184" i="2" s="1"/>
  <c r="X183" i="2" s="1"/>
  <c r="X182" i="2" s="1"/>
  <c r="G20" i="9"/>
  <c r="H20" i="9"/>
  <c r="I20" i="9"/>
  <c r="K20" i="9"/>
  <c r="L20" i="9"/>
  <c r="G21" i="9"/>
  <c r="H21" i="9"/>
  <c r="I21" i="9"/>
  <c r="K21" i="9"/>
  <c r="L21" i="9"/>
  <c r="G22" i="9"/>
  <c r="H22" i="9"/>
  <c r="I22" i="9"/>
  <c r="K22" i="9"/>
  <c r="L22" i="9"/>
  <c r="G23" i="9"/>
  <c r="H23" i="9"/>
  <c r="I23" i="9"/>
  <c r="K23" i="9"/>
  <c r="L23" i="9"/>
  <c r="G24" i="9"/>
  <c r="H24" i="9"/>
  <c r="I24" i="9"/>
  <c r="K24" i="9"/>
  <c r="L24" i="9"/>
  <c r="G25" i="9"/>
  <c r="H25" i="9"/>
  <c r="I25" i="9"/>
  <c r="K25" i="9"/>
  <c r="L25" i="9"/>
  <c r="G38" i="8"/>
  <c r="H38" i="8"/>
  <c r="I38" i="8"/>
  <c r="J38" i="8"/>
  <c r="L38" i="8"/>
  <c r="M38" i="8"/>
  <c r="N38" i="8"/>
  <c r="O38" i="8"/>
  <c r="R38" i="8"/>
  <c r="S38" i="8"/>
  <c r="T38" i="8"/>
  <c r="U38" i="8"/>
  <c r="V38" i="8"/>
  <c r="W38" i="8"/>
  <c r="X38" i="8"/>
  <c r="Y38" i="8"/>
  <c r="G39" i="8"/>
  <c r="H39" i="8"/>
  <c r="I39" i="8"/>
  <c r="J39" i="8"/>
  <c r="L39" i="8"/>
  <c r="M39" i="8"/>
  <c r="N39" i="8"/>
  <c r="O39" i="8"/>
  <c r="R39" i="8"/>
  <c r="S39" i="8"/>
  <c r="T39" i="8"/>
  <c r="U39" i="8"/>
  <c r="V39" i="8"/>
  <c r="W39" i="8"/>
  <c r="X39" i="8"/>
  <c r="Y39" i="8"/>
  <c r="G40" i="8"/>
  <c r="H40" i="8"/>
  <c r="I40" i="8"/>
  <c r="J40" i="8"/>
  <c r="L40" i="8"/>
  <c r="M40" i="8"/>
  <c r="N40" i="8"/>
  <c r="O40" i="8"/>
  <c r="R40" i="8"/>
  <c r="S40" i="8"/>
  <c r="T40" i="8"/>
  <c r="U40" i="8"/>
  <c r="V40" i="8"/>
  <c r="W40" i="8"/>
  <c r="X40" i="8"/>
  <c r="Y40" i="8"/>
  <c r="AB40" i="8"/>
  <c r="AC40" i="8"/>
  <c r="AD40" i="8"/>
  <c r="AF40" i="8"/>
  <c r="AG40" i="8"/>
  <c r="AH40" i="8"/>
  <c r="G41" i="8"/>
  <c r="H41" i="8"/>
  <c r="I41" i="8"/>
  <c r="J41" i="8"/>
  <c r="L41" i="8"/>
  <c r="M41" i="8"/>
  <c r="N41" i="8"/>
  <c r="O41" i="8"/>
  <c r="R41" i="8"/>
  <c r="S41" i="8"/>
  <c r="T41" i="8"/>
  <c r="U41" i="8"/>
  <c r="V41" i="8"/>
  <c r="W41" i="8"/>
  <c r="X41" i="8"/>
  <c r="Y41" i="8"/>
  <c r="G42" i="8"/>
  <c r="H42" i="8"/>
  <c r="I42" i="8"/>
  <c r="J42" i="8"/>
  <c r="L42" i="8"/>
  <c r="M42" i="8"/>
  <c r="N42" i="8"/>
  <c r="O42" i="8"/>
  <c r="R42" i="8"/>
  <c r="S42" i="8"/>
  <c r="T42" i="8"/>
  <c r="U42" i="8"/>
  <c r="V42" i="8"/>
  <c r="W42" i="8"/>
  <c r="X42" i="8"/>
  <c r="Y42" i="8"/>
  <c r="AB42" i="8"/>
  <c r="AC42" i="8"/>
  <c r="AD42" i="8"/>
  <c r="AF42" i="8"/>
  <c r="AG42" i="8"/>
  <c r="AH42" i="8"/>
  <c r="R43" i="8"/>
  <c r="S43" i="8"/>
  <c r="T43" i="8"/>
  <c r="U43" i="8"/>
  <c r="V43" i="8"/>
  <c r="W43" i="8"/>
  <c r="X43" i="8"/>
  <c r="Y43" i="8"/>
  <c r="AB43" i="8"/>
  <c r="AC43" i="8"/>
  <c r="AD43" i="8"/>
  <c r="AF43" i="8"/>
  <c r="AG43" i="8"/>
  <c r="AH43" i="8"/>
  <c r="I6" i="4"/>
  <c r="E11" i="4" s="1"/>
  <c r="E15" i="4" s="1"/>
  <c r="E8" i="4"/>
  <c r="G4" i="6"/>
  <c r="H4" i="6"/>
  <c r="H5" i="6" s="1"/>
  <c r="I4" i="6"/>
  <c r="I18" i="6" s="1"/>
  <c r="J4" i="6"/>
  <c r="K5" i="6" s="1"/>
  <c r="K4" i="6"/>
  <c r="J11" i="6"/>
  <c r="J12" i="6" s="1"/>
  <c r="K11" i="6"/>
  <c r="J14" i="6"/>
  <c r="J26" i="6" s="1"/>
  <c r="G17" i="6"/>
  <c r="G18" i="6" s="1"/>
  <c r="H17" i="6"/>
  <c r="I17" i="6"/>
  <c r="J17" i="6"/>
  <c r="K17" i="6"/>
  <c r="K18" i="6" s="1"/>
  <c r="H18" i="6"/>
  <c r="J18" i="6"/>
  <c r="G23" i="6"/>
  <c r="G24" i="6"/>
  <c r="J24" i="6"/>
  <c r="J35" i="6"/>
  <c r="D33" i="7"/>
  <c r="E33" i="7"/>
  <c r="B7" i="7"/>
  <c r="B8" i="7"/>
  <c r="B14" i="7"/>
  <c r="D23" i="7"/>
  <c r="E23" i="7" s="1"/>
  <c r="F33" i="7"/>
  <c r="G33" i="7" s="1"/>
  <c r="I2" i="2"/>
  <c r="I1" i="3" s="1"/>
  <c r="J1" i="3" s="1"/>
  <c r="K1" i="3" s="1"/>
  <c r="L1" i="3" s="1"/>
  <c r="M1" i="3" s="1"/>
  <c r="D123" i="2"/>
  <c r="D130" i="2" s="1"/>
  <c r="D132" i="2" s="1"/>
  <c r="D3" i="2" s="1"/>
  <c r="D129" i="2"/>
  <c r="D110" i="2"/>
  <c r="E123" i="2"/>
  <c r="E129" i="2"/>
  <c r="E130" i="2"/>
  <c r="E132" i="2" s="1"/>
  <c r="E110" i="2"/>
  <c r="E3" i="2"/>
  <c r="F123" i="2"/>
  <c r="F130" i="2" s="1"/>
  <c r="F129" i="2"/>
  <c r="F110" i="2"/>
  <c r="F132" i="2"/>
  <c r="F3" i="2" s="1"/>
  <c r="G123" i="2"/>
  <c r="G129" i="2"/>
  <c r="G130" i="2"/>
  <c r="G132" i="2" s="1"/>
  <c r="G3" i="2" s="1"/>
  <c r="G110" i="2"/>
  <c r="H123" i="2"/>
  <c r="H130" i="2" s="1"/>
  <c r="H129" i="2"/>
  <c r="H110" i="2"/>
  <c r="H132" i="2"/>
  <c r="H3" i="2" s="1"/>
  <c r="I64" i="2"/>
  <c r="I125" i="2" s="1"/>
  <c r="S126" i="2"/>
  <c r="I55" i="2"/>
  <c r="I70" i="2"/>
  <c r="I56" i="2"/>
  <c r="I57" i="2"/>
  <c r="I58" i="2"/>
  <c r="I59" i="2"/>
  <c r="I60" i="2"/>
  <c r="H119" i="2"/>
  <c r="I83" i="2" s="1"/>
  <c r="D119" i="2"/>
  <c r="U119" i="2"/>
  <c r="I61" i="2"/>
  <c r="I62" i="2"/>
  <c r="I63" i="2"/>
  <c r="I65" i="2"/>
  <c r="I154" i="2"/>
  <c r="H72" i="2"/>
  <c r="H86" i="2" s="1"/>
  <c r="H91" i="2" s="1"/>
  <c r="H85" i="2"/>
  <c r="H138" i="2"/>
  <c r="H142" i="2" s="1"/>
  <c r="H157" i="2" s="1"/>
  <c r="H139" i="2"/>
  <c r="H145" i="2"/>
  <c r="K23" i="6" s="1"/>
  <c r="K24" i="6" s="1"/>
  <c r="H148" i="2"/>
  <c r="H154" i="2"/>
  <c r="G72" i="2"/>
  <c r="G85" i="2"/>
  <c r="G139" i="2"/>
  <c r="G145" i="2"/>
  <c r="J23" i="6" s="1"/>
  <c r="G154" i="2"/>
  <c r="F72" i="2"/>
  <c r="F85" i="2"/>
  <c r="F86" i="2" s="1"/>
  <c r="F139" i="2"/>
  <c r="F145" i="2"/>
  <c r="I23" i="6" s="1"/>
  <c r="I24" i="6" s="1"/>
  <c r="F154" i="2"/>
  <c r="E72" i="2"/>
  <c r="E86" i="2" s="1"/>
  <c r="E91" i="2" s="1"/>
  <c r="E138" i="2" s="1"/>
  <c r="E142" i="2" s="1"/>
  <c r="E85" i="2"/>
  <c r="E139" i="2"/>
  <c r="E145" i="2"/>
  <c r="E154" i="2"/>
  <c r="D72" i="2"/>
  <c r="D86" i="2" s="1"/>
  <c r="D85" i="2"/>
  <c r="D91" i="2"/>
  <c r="D138" i="2" s="1"/>
  <c r="D142" i="2" s="1"/>
  <c r="D157" i="2" s="1"/>
  <c r="D159" i="2" s="1"/>
  <c r="E158" i="2" s="1"/>
  <c r="D139" i="2"/>
  <c r="D145" i="2"/>
  <c r="D148" i="2"/>
  <c r="D154" i="2"/>
  <c r="J64" i="2"/>
  <c r="J55" i="2"/>
  <c r="J56" i="2"/>
  <c r="J57" i="2"/>
  <c r="J58" i="2"/>
  <c r="J59" i="2"/>
  <c r="J82" i="2"/>
  <c r="J60" i="2"/>
  <c r="J61" i="2"/>
  <c r="J62" i="2"/>
  <c r="J63" i="2"/>
  <c r="J65" i="2"/>
  <c r="J154" i="2"/>
  <c r="K64" i="2"/>
  <c r="K55" i="2"/>
  <c r="K56" i="2"/>
  <c r="K57" i="2"/>
  <c r="K58" i="2"/>
  <c r="K59" i="2"/>
  <c r="K82" i="2"/>
  <c r="K60" i="2"/>
  <c r="K61" i="2"/>
  <c r="K62" i="2"/>
  <c r="K63" i="2"/>
  <c r="K65" i="2"/>
  <c r="K154" i="2"/>
  <c r="L64" i="2"/>
  <c r="L126" i="2"/>
  <c r="L55" i="2"/>
  <c r="L56" i="2"/>
  <c r="L57" i="2"/>
  <c r="L58" i="2"/>
  <c r="L59" i="2"/>
  <c r="L82" i="2"/>
  <c r="L60" i="2"/>
  <c r="L61" i="2"/>
  <c r="L62" i="2"/>
  <c r="L63" i="2"/>
  <c r="L65" i="2"/>
  <c r="L154" i="2"/>
  <c r="M64" i="2"/>
  <c r="M55" i="2"/>
  <c r="M56" i="2"/>
  <c r="M57" i="2"/>
  <c r="M58" i="2"/>
  <c r="M59" i="2"/>
  <c r="M82" i="2"/>
  <c r="N82" i="2" s="1"/>
  <c r="O82" i="2" s="1"/>
  <c r="M60" i="2"/>
  <c r="M61" i="2"/>
  <c r="M62" i="2"/>
  <c r="M63" i="2"/>
  <c r="M65" i="2"/>
  <c r="M154" i="2"/>
  <c r="N64" i="2"/>
  <c r="N55" i="2"/>
  <c r="N56" i="2"/>
  <c r="N57" i="2"/>
  <c r="N58" i="2"/>
  <c r="N59" i="2"/>
  <c r="N60" i="2"/>
  <c r="N61" i="2"/>
  <c r="N62" i="2"/>
  <c r="N63" i="2"/>
  <c r="N65" i="2"/>
  <c r="N154" i="2"/>
  <c r="O64" i="2"/>
  <c r="O55" i="2"/>
  <c r="O56" i="2"/>
  <c r="O57" i="2"/>
  <c r="O58" i="2"/>
  <c r="O59" i="2"/>
  <c r="O60" i="2"/>
  <c r="O61" i="2"/>
  <c r="O62" i="2"/>
  <c r="O63" i="2"/>
  <c r="O65" i="2"/>
  <c r="O154" i="2"/>
  <c r="D212" i="2"/>
  <c r="D213" i="2"/>
  <c r="E9" i="2"/>
  <c r="F9" i="2"/>
  <c r="G9" i="2"/>
  <c r="H9" i="2"/>
  <c r="D10" i="2"/>
  <c r="E10" i="2"/>
  <c r="S10" i="2" s="1"/>
  <c r="F10" i="2"/>
  <c r="G10" i="2"/>
  <c r="H10" i="2"/>
  <c r="D11" i="2"/>
  <c r="E11" i="2"/>
  <c r="F11" i="2"/>
  <c r="G11" i="2"/>
  <c r="H11" i="2"/>
  <c r="D12" i="2"/>
  <c r="E12" i="2"/>
  <c r="F12" i="2"/>
  <c r="S12" i="2" s="1"/>
  <c r="G12" i="2"/>
  <c r="H12" i="2"/>
  <c r="D13" i="2"/>
  <c r="S13" i="2" s="1"/>
  <c r="E13" i="2"/>
  <c r="F13" i="2"/>
  <c r="G13" i="2"/>
  <c r="H13" i="2"/>
  <c r="D14" i="2"/>
  <c r="E119" i="2"/>
  <c r="E60" i="2" s="1"/>
  <c r="E14" i="2"/>
  <c r="S14" i="2" s="1"/>
  <c r="F119" i="2"/>
  <c r="F14" i="2"/>
  <c r="G119" i="2"/>
  <c r="G14" i="2"/>
  <c r="H14" i="2"/>
  <c r="D15" i="2"/>
  <c r="E15" i="2"/>
  <c r="H15" i="2"/>
  <c r="D166" i="2"/>
  <c r="D16" i="2" s="1"/>
  <c r="E166" i="2"/>
  <c r="E16" i="2"/>
  <c r="F166" i="2"/>
  <c r="G166" i="2"/>
  <c r="G16" i="2"/>
  <c r="H166" i="2"/>
  <c r="H48" i="2" s="1"/>
  <c r="D170" i="2"/>
  <c r="D63" i="2" s="1"/>
  <c r="D17" i="2"/>
  <c r="S17" i="2" s="1"/>
  <c r="E170" i="2"/>
  <c r="E17" i="2"/>
  <c r="F170" i="2"/>
  <c r="F17" i="2"/>
  <c r="G170" i="2"/>
  <c r="G17" i="2"/>
  <c r="H170" i="2"/>
  <c r="H35" i="2" s="1"/>
  <c r="H17" i="2"/>
  <c r="D18" i="2"/>
  <c r="E18" i="2"/>
  <c r="F18" i="2"/>
  <c r="G18" i="2"/>
  <c r="H18" i="2"/>
  <c r="E19" i="2"/>
  <c r="F19" i="2"/>
  <c r="G19" i="2"/>
  <c r="H19" i="2"/>
  <c r="D20" i="2"/>
  <c r="E20" i="2"/>
  <c r="F20" i="2"/>
  <c r="G20" i="2"/>
  <c r="H20" i="2"/>
  <c r="D21" i="2"/>
  <c r="S21" i="2" s="1"/>
  <c r="E21" i="2"/>
  <c r="F21" i="2"/>
  <c r="G21" i="2"/>
  <c r="H21" i="2"/>
  <c r="D22" i="2"/>
  <c r="E22" i="2"/>
  <c r="F22" i="2"/>
  <c r="G22" i="2"/>
  <c r="H22" i="2"/>
  <c r="D23" i="2"/>
  <c r="E23" i="2"/>
  <c r="F23" i="2"/>
  <c r="G23" i="2"/>
  <c r="H23" i="2"/>
  <c r="D24" i="2"/>
  <c r="E24" i="2"/>
  <c r="F24" i="2"/>
  <c r="G24" i="2"/>
  <c r="H24" i="2"/>
  <c r="E27" i="2"/>
  <c r="F27" i="2"/>
  <c r="G27" i="2"/>
  <c r="H27" i="2"/>
  <c r="D28" i="2"/>
  <c r="E28" i="2"/>
  <c r="F28" i="2"/>
  <c r="G28" i="2"/>
  <c r="H28" i="2"/>
  <c r="D29" i="2"/>
  <c r="E29" i="2"/>
  <c r="F29" i="2"/>
  <c r="G29" i="2"/>
  <c r="H29" i="2"/>
  <c r="D30" i="2"/>
  <c r="E30" i="2"/>
  <c r="F30" i="2"/>
  <c r="G30" i="2"/>
  <c r="H30" i="2"/>
  <c r="D31" i="2"/>
  <c r="E31" i="2"/>
  <c r="F31" i="2"/>
  <c r="G31" i="2"/>
  <c r="H31" i="2"/>
  <c r="D32" i="2"/>
  <c r="E32" i="2"/>
  <c r="F32" i="2"/>
  <c r="G32" i="2"/>
  <c r="H32" i="2"/>
  <c r="D33" i="2"/>
  <c r="E33" i="2"/>
  <c r="H33" i="2"/>
  <c r="D34" i="2"/>
  <c r="E34" i="2"/>
  <c r="G34" i="2"/>
  <c r="H34" i="2"/>
  <c r="E35" i="2"/>
  <c r="F35" i="2"/>
  <c r="G35" i="2"/>
  <c r="D36" i="2"/>
  <c r="E36" i="2"/>
  <c r="F36" i="2"/>
  <c r="G36" i="2"/>
  <c r="H36" i="2"/>
  <c r="D37" i="2"/>
  <c r="E37" i="2"/>
  <c r="F37" i="2"/>
  <c r="G37" i="2"/>
  <c r="H37" i="2"/>
  <c r="E41" i="2"/>
  <c r="F41" i="2"/>
  <c r="G41" i="2"/>
  <c r="H41" i="2"/>
  <c r="D42" i="2"/>
  <c r="E42" i="2"/>
  <c r="F42" i="2"/>
  <c r="G42" i="2"/>
  <c r="H42" i="2"/>
  <c r="D43" i="2"/>
  <c r="E43" i="2"/>
  <c r="F43" i="2"/>
  <c r="G43" i="2"/>
  <c r="H43" i="2"/>
  <c r="D44" i="2"/>
  <c r="E44" i="2"/>
  <c r="F44" i="2"/>
  <c r="G44" i="2"/>
  <c r="H44" i="2"/>
  <c r="D45" i="2"/>
  <c r="E45" i="2"/>
  <c r="F45" i="2"/>
  <c r="G45" i="2"/>
  <c r="H45" i="2"/>
  <c r="D46" i="2"/>
  <c r="F46" i="2"/>
  <c r="G46" i="2"/>
  <c r="H46" i="2"/>
  <c r="D47" i="2"/>
  <c r="H47" i="2"/>
  <c r="E48" i="2"/>
  <c r="F48" i="2"/>
  <c r="G48" i="2"/>
  <c r="E49" i="2"/>
  <c r="F49" i="2"/>
  <c r="G49" i="2"/>
  <c r="H49" i="2"/>
  <c r="D50" i="2"/>
  <c r="E50" i="2"/>
  <c r="F50" i="2"/>
  <c r="G50" i="2"/>
  <c r="H50" i="2"/>
  <c r="D51" i="2"/>
  <c r="E51" i="2"/>
  <c r="F51" i="2"/>
  <c r="G51" i="2"/>
  <c r="H51" i="2"/>
  <c r="E55" i="2"/>
  <c r="F55" i="2"/>
  <c r="G55" i="2"/>
  <c r="H55" i="2"/>
  <c r="D56" i="2"/>
  <c r="E56" i="2"/>
  <c r="F56" i="2"/>
  <c r="G56" i="2"/>
  <c r="H56" i="2"/>
  <c r="D57" i="2"/>
  <c r="E57" i="2"/>
  <c r="F57" i="2"/>
  <c r="G57" i="2"/>
  <c r="H57" i="2"/>
  <c r="D58" i="2"/>
  <c r="E58" i="2"/>
  <c r="F58" i="2"/>
  <c r="G58" i="2"/>
  <c r="H58" i="2"/>
  <c r="D59" i="2"/>
  <c r="E59" i="2"/>
  <c r="F59" i="2"/>
  <c r="G59" i="2"/>
  <c r="H59" i="2"/>
  <c r="D60" i="2"/>
  <c r="F60" i="2"/>
  <c r="G60" i="2"/>
  <c r="H60" i="2"/>
  <c r="D61" i="2"/>
  <c r="E61" i="2"/>
  <c r="H61" i="2"/>
  <c r="D62" i="2"/>
  <c r="E62" i="2"/>
  <c r="G62" i="2"/>
  <c r="H62" i="2"/>
  <c r="E63" i="2"/>
  <c r="F63" i="2"/>
  <c r="G63" i="2"/>
  <c r="D64" i="2"/>
  <c r="E64" i="2"/>
  <c r="F64" i="2"/>
  <c r="G64" i="2"/>
  <c r="H64" i="2"/>
  <c r="D65" i="2"/>
  <c r="E65" i="2"/>
  <c r="F65" i="2"/>
  <c r="G65" i="2"/>
  <c r="H65" i="2"/>
  <c r="S70" i="2"/>
  <c r="S71" i="2"/>
  <c r="S72" i="2"/>
  <c r="D73" i="2"/>
  <c r="E73" i="2"/>
  <c r="F73" i="2"/>
  <c r="G73" i="2"/>
  <c r="H73" i="2"/>
  <c r="S75" i="2"/>
  <c r="S76" i="2"/>
  <c r="H77" i="2"/>
  <c r="K7" i="6" s="1"/>
  <c r="K8" i="6" s="1"/>
  <c r="D77" i="2"/>
  <c r="G7" i="6" s="1"/>
  <c r="G8" i="6" s="1"/>
  <c r="E77" i="2"/>
  <c r="F77" i="2"/>
  <c r="G77" i="2"/>
  <c r="J7" i="6" s="1"/>
  <c r="S77" i="2"/>
  <c r="D78" i="2"/>
  <c r="F78" i="2"/>
  <c r="G78" i="2"/>
  <c r="H78" i="2"/>
  <c r="S79" i="2"/>
  <c r="S80" i="2"/>
  <c r="D81" i="2"/>
  <c r="G11" i="6" s="1"/>
  <c r="F81" i="2"/>
  <c r="I11" i="6" s="1"/>
  <c r="G81" i="2"/>
  <c r="H81" i="2"/>
  <c r="S81" i="2" s="1"/>
  <c r="S82" i="2"/>
  <c r="U82" i="2"/>
  <c r="S83" i="2"/>
  <c r="S84" i="2"/>
  <c r="U84" i="2"/>
  <c r="S90" i="2"/>
  <c r="V90" i="2"/>
  <c r="S97" i="2"/>
  <c r="U97" i="2"/>
  <c r="S98" i="2"/>
  <c r="U98" i="2"/>
  <c r="S99" i="2"/>
  <c r="U99" i="2"/>
  <c r="S100" i="2"/>
  <c r="U100" i="2"/>
  <c r="S101" i="2"/>
  <c r="U101" i="2"/>
  <c r="S102" i="2"/>
  <c r="U102" i="2"/>
  <c r="S103" i="2"/>
  <c r="U103" i="2"/>
  <c r="S104" i="2"/>
  <c r="U104" i="2"/>
  <c r="S105" i="2"/>
  <c r="U105" i="2"/>
  <c r="S106" i="2"/>
  <c r="U106" i="2"/>
  <c r="S107" i="2"/>
  <c r="U107" i="2"/>
  <c r="S108" i="2"/>
  <c r="U108" i="2"/>
  <c r="S109" i="2"/>
  <c r="U109" i="2"/>
  <c r="S110" i="2"/>
  <c r="U110" i="2"/>
  <c r="S113" i="2"/>
  <c r="U113" i="2"/>
  <c r="S114" i="2"/>
  <c r="U114" i="2"/>
  <c r="S115" i="2"/>
  <c r="U115" i="2"/>
  <c r="S116" i="2"/>
  <c r="U116" i="2"/>
  <c r="S117" i="2"/>
  <c r="U117" i="2"/>
  <c r="S118" i="2"/>
  <c r="U118" i="2"/>
  <c r="S120" i="2"/>
  <c r="U120" i="2"/>
  <c r="S121" i="2"/>
  <c r="U121" i="2"/>
  <c r="S122" i="2"/>
  <c r="U122" i="2"/>
  <c r="S125" i="2"/>
  <c r="U125" i="2"/>
  <c r="U126" i="2"/>
  <c r="S141" i="2"/>
  <c r="S147" i="2"/>
  <c r="S151" i="2"/>
  <c r="S152" i="2"/>
  <c r="S153" i="2"/>
  <c r="S156" i="2"/>
  <c r="D173" i="2"/>
  <c r="G20" i="6" s="1"/>
  <c r="G21" i="6" s="1"/>
  <c r="E173" i="2"/>
  <c r="H20" i="6" s="1"/>
  <c r="H21" i="6" s="1"/>
  <c r="G173" i="2"/>
  <c r="J20" i="6" s="1"/>
  <c r="J21" i="6" s="1"/>
  <c r="L193" i="2"/>
  <c r="I211" i="2"/>
  <c r="I212" i="2"/>
  <c r="I215" i="2" s="1"/>
  <c r="D201" i="2" s="1"/>
  <c r="I213" i="2"/>
  <c r="I217" i="2"/>
  <c r="S216" i="2"/>
  <c r="X186" i="2" l="1"/>
  <c r="X187" i="2" s="1"/>
  <c r="X188" i="2" s="1"/>
  <c r="AB181" i="2"/>
  <c r="AC181" i="2" s="1"/>
  <c r="AD181" i="2" s="1"/>
  <c r="AE181" i="2" s="1"/>
  <c r="B11" i="7"/>
  <c r="B17" i="7" s="1"/>
  <c r="E49" i="7" s="1"/>
  <c r="E203" i="2"/>
  <c r="L31" i="6" s="1"/>
  <c r="K203" i="2"/>
  <c r="I203" i="2"/>
  <c r="F91" i="2"/>
  <c r="F138" i="2" s="1"/>
  <c r="F142" i="2" s="1"/>
  <c r="F15" i="2"/>
  <c r="F61" i="2"/>
  <c r="F47" i="2"/>
  <c r="F33" i="2"/>
  <c r="S22" i="2"/>
  <c r="J8" i="6"/>
  <c r="F23" i="7"/>
  <c r="S11" i="2"/>
  <c r="S78" i="2" a="1"/>
  <c r="S78" i="2" s="1"/>
  <c r="K14" i="6"/>
  <c r="K26" i="6" s="1"/>
  <c r="K27" i="6" s="1"/>
  <c r="E157" i="2"/>
  <c r="E159" i="2" s="1"/>
  <c r="F158" i="2" s="1"/>
  <c r="G12" i="6"/>
  <c r="G14" i="6"/>
  <c r="G26" i="6" s="1"/>
  <c r="F16" i="2"/>
  <c r="S16" i="2" s="1"/>
  <c r="F173" i="2"/>
  <c r="I20" i="6" s="1"/>
  <c r="I21" i="6" s="1"/>
  <c r="F34" i="2"/>
  <c r="F62" i="2"/>
  <c r="I71" i="2"/>
  <c r="I141" i="2"/>
  <c r="I72" i="2"/>
  <c r="I100" i="2"/>
  <c r="I76" i="2"/>
  <c r="I170" i="2"/>
  <c r="D48" i="2"/>
  <c r="J83" i="2"/>
  <c r="I79" i="2"/>
  <c r="J126" i="2"/>
  <c r="M126" i="2"/>
  <c r="I126" i="2"/>
  <c r="K126" i="2"/>
  <c r="O126" i="2"/>
  <c r="N126" i="2"/>
  <c r="J5" i="6"/>
  <c r="N30" i="6"/>
  <c r="G203" i="2"/>
  <c r="O30" i="6"/>
  <c r="P30" i="6"/>
  <c r="R30" i="6"/>
  <c r="F203" i="2"/>
  <c r="J70" i="2"/>
  <c r="I145" i="2"/>
  <c r="U123" i="2"/>
  <c r="S119" i="2"/>
  <c r="I7" i="6"/>
  <c r="I35" i="6"/>
  <c r="I36" i="6" s="1"/>
  <c r="H63" i="2"/>
  <c r="E46" i="2"/>
  <c r="D35" i="2"/>
  <c r="H16" i="2"/>
  <c r="J125" i="2"/>
  <c r="K35" i="6"/>
  <c r="K36" i="6" s="1"/>
  <c r="Q30" i="6"/>
  <c r="I5" i="6"/>
  <c r="M30" i="6"/>
  <c r="K12" i="6"/>
  <c r="H173" i="2"/>
  <c r="K20" i="6" s="1"/>
  <c r="K21" i="6" s="1"/>
  <c r="D49" i="2"/>
  <c r="H203" i="2"/>
  <c r="I75" i="2"/>
  <c r="I85" i="2" s="1"/>
  <c r="G35" i="6"/>
  <c r="L30" i="6"/>
  <c r="K9" i="6"/>
  <c r="S123" i="2"/>
  <c r="H7" i="6"/>
  <c r="H35" i="6"/>
  <c r="I12" i="6"/>
  <c r="I14" i="6"/>
  <c r="I26" i="6" s="1"/>
  <c r="V76" i="2"/>
  <c r="E47" i="2"/>
  <c r="I166" i="2"/>
  <c r="F49" i="7"/>
  <c r="G49" i="7"/>
  <c r="H49" i="7"/>
  <c r="L4" i="6"/>
  <c r="L5" i="6" s="1"/>
  <c r="J27" i="6"/>
  <c r="H23" i="6"/>
  <c r="H24" i="6" s="1"/>
  <c r="E148" i="2"/>
  <c r="E81" i="2"/>
  <c r="H11" i="6" s="1"/>
  <c r="E78" i="2"/>
  <c r="J203" i="2"/>
  <c r="G86" i="2"/>
  <c r="F148" i="2"/>
  <c r="J2" i="2"/>
  <c r="K2" i="2" s="1"/>
  <c r="L2" i="2" s="1"/>
  <c r="M2" i="2" s="1"/>
  <c r="N2" i="2" s="1"/>
  <c r="O2" i="2" s="1"/>
  <c r="G148" i="2"/>
  <c r="AA181" i="2" l="1"/>
  <c r="Z181" i="2" s="1"/>
  <c r="Y181" i="2" s="1"/>
  <c r="C49" i="7"/>
  <c r="D49" i="7"/>
  <c r="B49" i="7"/>
  <c r="B50" i="7" s="1"/>
  <c r="M31" i="6"/>
  <c r="N31" i="6" s="1"/>
  <c r="O31" i="6" s="1"/>
  <c r="P31" i="6" s="1"/>
  <c r="Q31" i="6" s="1"/>
  <c r="R31" i="6" s="1"/>
  <c r="E204" i="2"/>
  <c r="F204" i="2" s="1"/>
  <c r="G204" i="2" s="1"/>
  <c r="H204" i="2" s="1"/>
  <c r="I204" i="2" s="1"/>
  <c r="J204" i="2" s="1"/>
  <c r="K204" i="2" s="1"/>
  <c r="K83" i="2"/>
  <c r="I9" i="6"/>
  <c r="I8" i="6"/>
  <c r="C50" i="7"/>
  <c r="D50" i="7" s="1"/>
  <c r="E50" i="7" s="1"/>
  <c r="F50" i="7" s="1"/>
  <c r="G50" i="7" s="1"/>
  <c r="H50" i="7" s="1"/>
  <c r="H12" i="6"/>
  <c r="H14" i="6"/>
  <c r="H26" i="6" s="1"/>
  <c r="H27" i="6" s="1"/>
  <c r="H36" i="6"/>
  <c r="K125" i="2"/>
  <c r="J36" i="6"/>
  <c r="H9" i="6"/>
  <c r="H8" i="6"/>
  <c r="I77" i="2"/>
  <c r="I86" i="2"/>
  <c r="I73" i="2"/>
  <c r="G23" i="7"/>
  <c r="F157" i="2"/>
  <c r="F159" i="2" s="1"/>
  <c r="G158" i="2" s="1"/>
  <c r="L23" i="6"/>
  <c r="L24" i="6" s="1"/>
  <c r="I148" i="2"/>
  <c r="E199" i="2"/>
  <c r="G91" i="2"/>
  <c r="G138" i="2" s="1"/>
  <c r="G142" i="2" s="1"/>
  <c r="G157" i="2" s="1"/>
  <c r="G159" i="2" s="1"/>
  <c r="H158" i="2" s="1"/>
  <c r="H159" i="2" s="1"/>
  <c r="I158" i="2" s="1"/>
  <c r="G15" i="2"/>
  <c r="G61" i="2"/>
  <c r="G47" i="2"/>
  <c r="G33" i="2"/>
  <c r="I173" i="2"/>
  <c r="J75" i="2"/>
  <c r="J170" i="2"/>
  <c r="C35" i="7"/>
  <c r="C25" i="7"/>
  <c r="J76" i="2"/>
  <c r="C36" i="7" s="1"/>
  <c r="J79" i="2"/>
  <c r="J71" i="2"/>
  <c r="J100" i="2"/>
  <c r="J145" i="2"/>
  <c r="K70" i="2"/>
  <c r="M4" i="6"/>
  <c r="M5" i="6" s="1"/>
  <c r="J166" i="2"/>
  <c r="J173" i="2" s="1"/>
  <c r="J141" i="2"/>
  <c r="I139" i="2"/>
  <c r="L17" i="6"/>
  <c r="L18" i="6" s="1"/>
  <c r="E198" i="2"/>
  <c r="I101" i="2"/>
  <c r="J9" i="6"/>
  <c r="J101" i="2" l="1"/>
  <c r="J139" i="2"/>
  <c r="M17" i="6"/>
  <c r="M18" i="6" s="1"/>
  <c r="F198" i="2"/>
  <c r="J140" i="2"/>
  <c r="M20" i="6"/>
  <c r="M21" i="6" s="1"/>
  <c r="F200" i="2"/>
  <c r="C27" i="7"/>
  <c r="C26" i="7"/>
  <c r="C28" i="7" s="1"/>
  <c r="M23" i="6"/>
  <c r="M24" i="6" s="1"/>
  <c r="J148" i="2"/>
  <c r="F199" i="2"/>
  <c r="L125" i="2"/>
  <c r="I27" i="6"/>
  <c r="N4" i="6"/>
  <c r="N5" i="6" s="1"/>
  <c r="K71" i="2"/>
  <c r="K100" i="2"/>
  <c r="K72" i="2"/>
  <c r="K166" i="2"/>
  <c r="K173" i="2" s="1"/>
  <c r="K145" i="2"/>
  <c r="L70" i="2"/>
  <c r="D35" i="7"/>
  <c r="K76" i="2"/>
  <c r="D36" i="7" s="1"/>
  <c r="K141" i="2"/>
  <c r="K79" i="2"/>
  <c r="K170" i="2"/>
  <c r="K75" i="2"/>
  <c r="D25" i="7"/>
  <c r="J72" i="2"/>
  <c r="J85" i="2"/>
  <c r="C37" i="7"/>
  <c r="I90" i="2"/>
  <c r="I91" i="2" s="1"/>
  <c r="M83" i="2"/>
  <c r="L83" i="2"/>
  <c r="L20" i="6"/>
  <c r="L21" i="6" s="1"/>
  <c r="I140" i="2"/>
  <c r="E200" i="2"/>
  <c r="L35" i="6"/>
  <c r="L36" i="6" s="1"/>
  <c r="L7" i="6"/>
  <c r="I81" i="2"/>
  <c r="I78" i="2"/>
  <c r="L11" i="6" l="1"/>
  <c r="E196" i="2"/>
  <c r="D37" i="7"/>
  <c r="D38" i="7" s="1"/>
  <c r="K85" i="2"/>
  <c r="K86" i="2" s="1"/>
  <c r="K77" i="2"/>
  <c r="K73" i="2"/>
  <c r="N17" i="6"/>
  <c r="N18" i="6" s="1"/>
  <c r="G198" i="2"/>
  <c r="K139" i="2"/>
  <c r="L8" i="6"/>
  <c r="L9" i="6"/>
  <c r="I138" i="2"/>
  <c r="I142" i="2" s="1"/>
  <c r="I157" i="2" s="1"/>
  <c r="I159" i="2" s="1"/>
  <c r="I127" i="2"/>
  <c r="K101" i="2"/>
  <c r="K140" i="2"/>
  <c r="N20" i="6"/>
  <c r="N21" i="6" s="1"/>
  <c r="G200" i="2"/>
  <c r="J86" i="2"/>
  <c r="J77" i="2"/>
  <c r="J73" i="2"/>
  <c r="L76" i="2"/>
  <c r="E36" i="7" s="1"/>
  <c r="O4" i="6"/>
  <c r="O5" i="6" s="1"/>
  <c r="L141" i="2"/>
  <c r="L79" i="2"/>
  <c r="E35" i="7"/>
  <c r="L166" i="2"/>
  <c r="L173" i="2" s="1"/>
  <c r="L145" i="2"/>
  <c r="M70" i="2"/>
  <c r="L75" i="2"/>
  <c r="L71" i="2"/>
  <c r="L100" i="2"/>
  <c r="L170" i="2"/>
  <c r="E25" i="7"/>
  <c r="M125" i="2"/>
  <c r="C38" i="7"/>
  <c r="D26" i="7"/>
  <c r="D27" i="7"/>
  <c r="D28" i="7" s="1"/>
  <c r="K148" i="2"/>
  <c r="G199" i="2"/>
  <c r="N23" i="6"/>
  <c r="N24" i="6" s="1"/>
  <c r="K90" i="2" l="1"/>
  <c r="K91" i="2" s="1"/>
  <c r="K138" i="2" s="1"/>
  <c r="K142" i="2" s="1"/>
  <c r="K157" i="2" s="1"/>
  <c r="N35" i="6"/>
  <c r="N36" i="6" s="1"/>
  <c r="N7" i="6"/>
  <c r="K81" i="2"/>
  <c r="K78" i="2"/>
  <c r="M75" i="2"/>
  <c r="M170" i="2"/>
  <c r="P4" i="6"/>
  <c r="P5" i="6" s="1"/>
  <c r="M141" i="2"/>
  <c r="M79" i="2"/>
  <c r="M145" i="2"/>
  <c r="M166" i="2"/>
  <c r="M71" i="2"/>
  <c r="M72" i="2"/>
  <c r="N70" i="2"/>
  <c r="F35" i="7"/>
  <c r="M100" i="2"/>
  <c r="M76" i="2"/>
  <c r="F36" i="7" s="1"/>
  <c r="F25" i="7"/>
  <c r="E207" i="2"/>
  <c r="E197" i="2"/>
  <c r="E201" i="2" s="1"/>
  <c r="L85" i="2"/>
  <c r="E37" i="7"/>
  <c r="L148" i="2"/>
  <c r="O23" i="6"/>
  <c r="O24" i="6" s="1"/>
  <c r="H199" i="2"/>
  <c r="L14" i="6"/>
  <c r="L26" i="6" s="1"/>
  <c r="L12" i="6"/>
  <c r="L101" i="2"/>
  <c r="I97" i="2"/>
  <c r="I110" i="2" s="1"/>
  <c r="J158" i="2"/>
  <c r="N125" i="2"/>
  <c r="M35" i="6"/>
  <c r="M36" i="6" s="1"/>
  <c r="M7" i="6"/>
  <c r="J81" i="2"/>
  <c r="J78" i="2"/>
  <c r="E26" i="7"/>
  <c r="E28" i="7" s="1"/>
  <c r="E27" i="7"/>
  <c r="L72" i="2"/>
  <c r="J90" i="2"/>
  <c r="J91" i="2" s="1"/>
  <c r="L139" i="2"/>
  <c r="O17" i="6"/>
  <c r="O18" i="6" s="1"/>
  <c r="H198" i="2"/>
  <c r="L140" i="2"/>
  <c r="H200" i="2"/>
  <c r="O20" i="6"/>
  <c r="O21" i="6" s="1"/>
  <c r="E38" i="7"/>
  <c r="B4" i="7" s="1"/>
  <c r="I129" i="2"/>
  <c r="I130" i="2" s="1"/>
  <c r="I132" i="2" l="1"/>
  <c r="I3" i="2" s="1"/>
  <c r="E205" i="2"/>
  <c r="J138" i="2"/>
  <c r="J142" i="2" s="1"/>
  <c r="J157" i="2" s="1"/>
  <c r="J159" i="2" s="1"/>
  <c r="J127" i="2"/>
  <c r="O125" i="2"/>
  <c r="P23" i="6"/>
  <c r="P24" i="6" s="1"/>
  <c r="M148" i="2"/>
  <c r="I199" i="2"/>
  <c r="N9" i="6"/>
  <c r="N8" i="6"/>
  <c r="P17" i="6"/>
  <c r="P18" i="6" s="1"/>
  <c r="M139" i="2"/>
  <c r="I198" i="2"/>
  <c r="F26" i="7"/>
  <c r="F28" i="7"/>
  <c r="F27" i="7"/>
  <c r="M11" i="6"/>
  <c r="F196" i="2"/>
  <c r="M73" i="2"/>
  <c r="M77" i="2"/>
  <c r="M85" i="2"/>
  <c r="M86" i="2" s="1"/>
  <c r="F37" i="7"/>
  <c r="F38" i="7" s="1"/>
  <c r="L86" i="2"/>
  <c r="L77" i="2"/>
  <c r="L73" i="2"/>
  <c r="M8" i="6"/>
  <c r="M9" i="6"/>
  <c r="M101" i="2"/>
  <c r="N79" i="2"/>
  <c r="N166" i="2"/>
  <c r="N145" i="2"/>
  <c r="N71" i="2"/>
  <c r="N72" i="2" s="1"/>
  <c r="N170" i="2"/>
  <c r="G35" i="7"/>
  <c r="N75" i="2"/>
  <c r="N141" i="2"/>
  <c r="Q4" i="6"/>
  <c r="Q5" i="6" s="1"/>
  <c r="O70" i="2"/>
  <c r="N76" i="2"/>
  <c r="G36" i="7" s="1"/>
  <c r="J36" i="7" s="1"/>
  <c r="G25" i="7"/>
  <c r="G40" i="7"/>
  <c r="C40" i="7"/>
  <c r="C45" i="7" s="1"/>
  <c r="C46" i="7" s="1"/>
  <c r="C52" i="7" s="1"/>
  <c r="D40" i="7"/>
  <c r="D45" i="7" s="1"/>
  <c r="D46" i="7" s="1"/>
  <c r="D52" i="7" s="1"/>
  <c r="E40" i="7"/>
  <c r="E45" i="7" s="1"/>
  <c r="E46" i="7" s="1"/>
  <c r="E52" i="7" s="1"/>
  <c r="F40" i="7"/>
  <c r="L33" i="6"/>
  <c r="L27" i="6"/>
  <c r="M173" i="2"/>
  <c r="N11" i="6"/>
  <c r="G196" i="2"/>
  <c r="N77" i="2" l="1"/>
  <c r="N73" i="2"/>
  <c r="F197" i="2"/>
  <c r="F201" i="2" s="1"/>
  <c r="F207" i="2"/>
  <c r="F208" i="2" s="1"/>
  <c r="O71" i="2"/>
  <c r="O72" i="2"/>
  <c r="R4" i="6"/>
  <c r="R5" i="6" s="1"/>
  <c r="O141" i="2"/>
  <c r="O76" i="2"/>
  <c r="O79" i="2"/>
  <c r="O145" i="2"/>
  <c r="O166" i="2"/>
  <c r="O75" i="2"/>
  <c r="O85" i="2" s="1"/>
  <c r="O170" i="2"/>
  <c r="N173" i="2"/>
  <c r="L90" i="2"/>
  <c r="L91" i="2" s="1"/>
  <c r="L138" i="2" s="1"/>
  <c r="L142" i="2" s="1"/>
  <c r="L157" i="2" s="1"/>
  <c r="K127" i="2"/>
  <c r="J129" i="2"/>
  <c r="J130" i="2" s="1"/>
  <c r="Q23" i="6"/>
  <c r="Q24" i="6" s="1"/>
  <c r="N148" i="2"/>
  <c r="J199" i="2"/>
  <c r="Q17" i="6"/>
  <c r="Q18" i="6" s="1"/>
  <c r="J198" i="2"/>
  <c r="N139" i="2"/>
  <c r="F45" i="7"/>
  <c r="F46" i="7" s="1"/>
  <c r="F52" i="7" s="1"/>
  <c r="J97" i="2"/>
  <c r="J110" i="2" s="1"/>
  <c r="K158" i="2"/>
  <c r="K159" i="2" s="1"/>
  <c r="O7" i="6"/>
  <c r="L81" i="2"/>
  <c r="O35" i="6"/>
  <c r="O36" i="6" s="1"/>
  <c r="L78" i="2"/>
  <c r="M12" i="6"/>
  <c r="M14" i="6" s="1"/>
  <c r="M26" i="6" s="1"/>
  <c r="N85" i="2"/>
  <c r="N86" i="2" s="1"/>
  <c r="G37" i="7"/>
  <c r="J37" i="7" s="1"/>
  <c r="G207" i="2"/>
  <c r="G208" i="2" s="1"/>
  <c r="G197" i="2"/>
  <c r="G201" i="2" s="1"/>
  <c r="G38" i="7"/>
  <c r="J35" i="7"/>
  <c r="P7" i="6"/>
  <c r="P35" i="6"/>
  <c r="P36" i="6" s="1"/>
  <c r="M78" i="2"/>
  <c r="M81" i="2"/>
  <c r="N12" i="6"/>
  <c r="N14" i="6" s="1"/>
  <c r="N26" i="6" s="1"/>
  <c r="M90" i="2"/>
  <c r="M91" i="2" s="1"/>
  <c r="M138" i="2" s="1"/>
  <c r="M142" i="2" s="1"/>
  <c r="M157" i="2" s="1"/>
  <c r="P20" i="6"/>
  <c r="P21" i="6" s="1"/>
  <c r="M140" i="2"/>
  <c r="I200" i="2"/>
  <c r="G27" i="7"/>
  <c r="G26" i="7"/>
  <c r="G28" i="7" s="1"/>
  <c r="G202" i="2" l="1"/>
  <c r="G205" i="2"/>
  <c r="N27" i="6"/>
  <c r="N33" i="6"/>
  <c r="G45" i="7"/>
  <c r="G46" i="7" s="1"/>
  <c r="J28" i="7"/>
  <c r="N90" i="2"/>
  <c r="N91" i="2" s="1"/>
  <c r="N138" i="2" s="1"/>
  <c r="N142" i="2" s="1"/>
  <c r="N157" i="2" s="1"/>
  <c r="F205" i="2"/>
  <c r="F202" i="2"/>
  <c r="M27" i="6"/>
  <c r="M33" i="6"/>
  <c r="L158" i="2"/>
  <c r="L159" i="2" s="1"/>
  <c r="K97" i="2"/>
  <c r="K110" i="2" s="1"/>
  <c r="O173" i="2"/>
  <c r="O8" i="6"/>
  <c r="O9" i="6"/>
  <c r="P9" i="6"/>
  <c r="P8" i="6"/>
  <c r="J132" i="2"/>
  <c r="J3" i="2" s="1"/>
  <c r="O148" i="2"/>
  <c r="R23" i="6"/>
  <c r="R24" i="6" s="1"/>
  <c r="K199" i="2"/>
  <c r="L127" i="2"/>
  <c r="K129" i="2"/>
  <c r="K130" i="2" s="1"/>
  <c r="O86" i="2"/>
  <c r="O77" i="2"/>
  <c r="O73" i="2"/>
  <c r="Q7" i="6"/>
  <c r="Q35" i="6"/>
  <c r="Q36" i="6" s="1"/>
  <c r="N81" i="2"/>
  <c r="N78" i="2"/>
  <c r="O11" i="6"/>
  <c r="H196" i="2"/>
  <c r="R17" i="6"/>
  <c r="R18" i="6" s="1"/>
  <c r="O139" i="2"/>
  <c r="K198" i="2"/>
  <c r="P11" i="6"/>
  <c r="I196" i="2"/>
  <c r="Q20" i="6"/>
  <c r="Q21" i="6" s="1"/>
  <c r="N140" i="2"/>
  <c r="J200" i="2"/>
  <c r="K132" i="2" l="1"/>
  <c r="K3" i="2" s="1"/>
  <c r="L97" i="2"/>
  <c r="L110" i="2" s="1"/>
  <c r="M158" i="2"/>
  <c r="M159" i="2" s="1"/>
  <c r="H201" i="2"/>
  <c r="H207" i="2"/>
  <c r="H208" i="2" s="1"/>
  <c r="H197" i="2"/>
  <c r="O90" i="2"/>
  <c r="O91" i="2" s="1"/>
  <c r="O138" i="2" s="1"/>
  <c r="O142" i="2" s="1"/>
  <c r="O157" i="2" s="1"/>
  <c r="G52" i="7"/>
  <c r="H46" i="7"/>
  <c r="O78" i="2"/>
  <c r="R7" i="6"/>
  <c r="O81" i="2"/>
  <c r="R35" i="6"/>
  <c r="R36" i="6" s="1"/>
  <c r="O12" i="6"/>
  <c r="O14" i="6" s="1"/>
  <c r="O26" i="6" s="1"/>
  <c r="I197" i="2"/>
  <c r="I201" i="2"/>
  <c r="I207" i="2"/>
  <c r="M127" i="2"/>
  <c r="L129" i="2"/>
  <c r="L130" i="2" s="1"/>
  <c r="P12" i="6"/>
  <c r="P14" i="6"/>
  <c r="P26" i="6" s="1"/>
  <c r="R20" i="6"/>
  <c r="R21" i="6" s="1"/>
  <c r="K200" i="2"/>
  <c r="O140" i="2"/>
  <c r="Q11" i="6"/>
  <c r="J196" i="2"/>
  <c r="Q9" i="6"/>
  <c r="Q8" i="6"/>
  <c r="L132" i="2" l="1"/>
  <c r="L3" i="2" s="1"/>
  <c r="O27" i="6"/>
  <c r="O33" i="6"/>
  <c r="J197" i="2"/>
  <c r="J207" i="2"/>
  <c r="J208" i="2" s="1"/>
  <c r="J201" i="2"/>
  <c r="R11" i="6"/>
  <c r="K196" i="2"/>
  <c r="I208" i="2"/>
  <c r="R9" i="6"/>
  <c r="R8" i="6"/>
  <c r="I202" i="2"/>
  <c r="I205" i="2"/>
  <c r="N158" i="2"/>
  <c r="N159" i="2" s="1"/>
  <c r="N97" i="2" s="1"/>
  <c r="M97" i="2"/>
  <c r="M110" i="2" s="1"/>
  <c r="P33" i="6"/>
  <c r="P27" i="6"/>
  <c r="Q12" i="6"/>
  <c r="Q14" i="6"/>
  <c r="Q26" i="6" s="1"/>
  <c r="N127" i="2"/>
  <c r="M129" i="2"/>
  <c r="M130" i="2" s="1"/>
  <c r="H205" i="2"/>
  <c r="H202" i="2"/>
  <c r="H55" i="7"/>
  <c r="I52" i="7" s="1"/>
  <c r="H52" i="7"/>
  <c r="B58" i="7" l="1"/>
  <c r="O158" i="2"/>
  <c r="O159" i="2" s="1"/>
  <c r="N110" i="2"/>
  <c r="M132" i="2"/>
  <c r="M3" i="2" s="1"/>
  <c r="K201" i="2"/>
  <c r="K197" i="2"/>
  <c r="K207" i="2"/>
  <c r="K208" i="2" s="1"/>
  <c r="S194" i="2"/>
  <c r="J205" i="2"/>
  <c r="J202" i="2"/>
  <c r="O127" i="2"/>
  <c r="O129" i="2" s="1"/>
  <c r="O130" i="2" s="1"/>
  <c r="N129" i="2"/>
  <c r="N130" i="2" s="1"/>
  <c r="R12" i="6"/>
  <c r="R14" i="6"/>
  <c r="R26" i="6" s="1"/>
  <c r="Q33" i="6"/>
  <c r="Q27" i="6"/>
  <c r="O97" i="2" l="1"/>
  <c r="O110" i="2" s="1"/>
  <c r="O132" i="2" s="1"/>
  <c r="O3" i="2" s="1"/>
  <c r="N132" i="2"/>
  <c r="N3" i="2" s="1"/>
  <c r="R33" i="6"/>
  <c r="R27" i="6"/>
  <c r="K205" i="2"/>
  <c r="S195" i="2"/>
  <c r="K202" i="2"/>
  <c r="S198" i="2" l="1"/>
  <c r="L205" i="2" l="1"/>
  <c r="D211" i="2" s="1"/>
  <c r="D215" i="2" s="1"/>
  <c r="D217" i="2" s="1"/>
  <c r="S212" i="2"/>
  <c r="X181" i="2" l="1"/>
  <c r="B59" i="7"/>
  <c r="L4" i="2" l="1"/>
  <c r="S217" i="2"/>
  <c r="S218" i="2" s="1"/>
  <c r="C224" i="2"/>
  <c r="S2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Florian Simnacher</author>
  </authors>
  <commentList>
    <comment ref="D9" authorId="0" shapeId="0" xr:uid="{00000000-0006-0000-0200-000001000000}">
      <text>
        <r>
          <rPr>
            <b/>
            <sz val="9"/>
            <color rgb="FF000000"/>
            <rFont val="Tahoma"/>
            <family val="2"/>
          </rPr>
          <t>Florian Simnacher:</t>
        </r>
        <r>
          <rPr>
            <sz val="9"/>
            <color rgb="FF000000"/>
            <rFont val="Tahoma"/>
            <family val="2"/>
          </rPr>
          <t xml:space="preserve">
</t>
        </r>
        <r>
          <rPr>
            <sz val="9"/>
            <color rgb="FF000000"/>
            <rFont val="Tahoma"/>
            <family val="2"/>
          </rPr>
          <t xml:space="preserve">IQ_FY = Fiscal Year
</t>
        </r>
        <r>
          <rPr>
            <sz val="9"/>
            <color rgb="FF000000"/>
            <rFont val="Tahoma"/>
            <family val="2"/>
          </rPr>
          <t xml:space="preserve">IQ_LTM = LTM Period
</t>
        </r>
        <r>
          <rPr>
            <sz val="9"/>
            <color rgb="FF000000"/>
            <rFont val="Tahoma"/>
            <family val="2"/>
          </rPr>
          <t>IQ_FQ = MRQ</t>
        </r>
      </text>
    </comment>
    <comment ref="D11" authorId="0" shapeId="0" xr:uid="{00000000-0006-0000-0200-000002000000}">
      <text>
        <r>
          <rPr>
            <b/>
            <sz val="9"/>
            <color indexed="81"/>
            <rFont val="Tahoma"/>
            <family val="2"/>
          </rPr>
          <t>Florian Simnacher:</t>
        </r>
        <r>
          <rPr>
            <sz val="9"/>
            <color indexed="81"/>
            <rFont val="Tahoma"/>
            <family val="2"/>
          </rPr>
          <t xml:space="preserve">
H = Historical spot rate
C = Current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<sst xmlns="http://schemas.openxmlformats.org/spreadsheetml/2006/main" count="948" uniqueCount="445">
  <si>
    <t>Historical Results</t>
  </si>
  <si>
    <t xml:space="preserve"> Forecast Period</t>
  </si>
  <si>
    <t>FINANCIAL STATEMENTS</t>
  </si>
  <si>
    <t>Balance Sheet Check</t>
  </si>
  <si>
    <t>Live Case</t>
  </si>
  <si>
    <t>Share Price</t>
  </si>
  <si>
    <t>Assumptions</t>
  </si>
  <si>
    <t>Supporting Assumptions</t>
  </si>
  <si>
    <t>Base Case</t>
  </si>
  <si>
    <t>Revenue Growth (% Change)</t>
  </si>
  <si>
    <t>Cost of Goods Sold (% of Revenue)</t>
  </si>
  <si>
    <t xml:space="preserve">Average </t>
  </si>
  <si>
    <t>SG&amp;A (% of Revenue)</t>
  </si>
  <si>
    <t>R&amp;D (% of Revenue)</t>
  </si>
  <si>
    <t>Depreciation &amp; Amortization (% of Revenue)</t>
  </si>
  <si>
    <t>Interest (% of Debt)</t>
  </si>
  <si>
    <t>Tax Rate (% of Earnings Before Tax)</t>
  </si>
  <si>
    <t>Change NWC: Assets (% of Revenue)</t>
  </si>
  <si>
    <t>Change NWC: Liabilities (% of Revenue)</t>
  </si>
  <si>
    <t>Accounts Receivable (Days)</t>
  </si>
  <si>
    <t>Inventory (Days)</t>
  </si>
  <si>
    <t>Accounts Payable (Days)</t>
  </si>
  <si>
    <t>Non-Cash Items (% of Revenue)</t>
  </si>
  <si>
    <t>Capital Expenditures (% of Revenue)</t>
  </si>
  <si>
    <t>Debt Issuance (Repayment) ($000's)</t>
  </si>
  <si>
    <t>Equity Issued (Repaid) ($000's)</t>
  </si>
  <si>
    <t>Downside Case</t>
  </si>
  <si>
    <t>Depreciation &amp; Amortization (% of Sales)</t>
  </si>
  <si>
    <t>Upside Case</t>
  </si>
  <si>
    <t>Income Statement</t>
  </si>
  <si>
    <t>Reveneue</t>
  </si>
  <si>
    <t xml:space="preserve">CAGR </t>
  </si>
  <si>
    <t>Cost of Goods Sold (COGS)</t>
  </si>
  <si>
    <t>Gross Profit</t>
  </si>
  <si>
    <t>Gross-Margin</t>
  </si>
  <si>
    <t>Expenses</t>
  </si>
  <si>
    <t>SG&amp;A</t>
  </si>
  <si>
    <t>R&amp;D</t>
  </si>
  <si>
    <t>EBITDA</t>
  </si>
  <si>
    <t>EBITDA-Margin</t>
  </si>
  <si>
    <t>Depreciation &amp; Amortization</t>
  </si>
  <si>
    <t xml:space="preserve"> </t>
  </si>
  <si>
    <t>Depreciation</t>
  </si>
  <si>
    <t>EBIT</t>
  </si>
  <si>
    <t>Unusual Expenses</t>
  </si>
  <si>
    <t>Average</t>
  </si>
  <si>
    <t>Interest Expense, Net</t>
  </si>
  <si>
    <t>Only goes to debt investor, so we should exclude it</t>
  </si>
  <si>
    <t>Other</t>
  </si>
  <si>
    <t>Total Expenses</t>
  </si>
  <si>
    <t>Earnings Before Tax</t>
  </si>
  <si>
    <t>Minority Interest</t>
  </si>
  <si>
    <t>Equity in Affiliates</t>
  </si>
  <si>
    <t>Taxes</t>
  </si>
  <si>
    <t>CAGR</t>
  </si>
  <si>
    <t>Net Earnings</t>
  </si>
  <si>
    <t>Balance Sheet</t>
  </si>
  <si>
    <t>Assets</t>
  </si>
  <si>
    <t>Cash</t>
  </si>
  <si>
    <t>Cash &amp; Equivalents</t>
  </si>
  <si>
    <t>Short-term Investments</t>
  </si>
  <si>
    <t>Accounts Receivable</t>
  </si>
  <si>
    <t>Inventory</t>
  </si>
  <si>
    <t>Prepaid Expenses</t>
  </si>
  <si>
    <t>Other Current Assets</t>
  </si>
  <si>
    <t>Property, Plant &amp; Equipment, Net</t>
  </si>
  <si>
    <t>Goodwill, Net</t>
  </si>
  <si>
    <t>Intangibles, Net</t>
  </si>
  <si>
    <t>Long-term Investments</t>
  </si>
  <si>
    <t>Note Receivable, Long-term</t>
  </si>
  <si>
    <t>Other Long-term Assets</t>
  </si>
  <si>
    <t>Total Assets</t>
  </si>
  <si>
    <t>Liabilities</t>
  </si>
  <si>
    <t>Accounts Payable</t>
  </si>
  <si>
    <t>Accrued Expenses</t>
  </si>
  <si>
    <t>Notes Payable/Short-term Debt</t>
  </si>
  <si>
    <t>Current Portion of LT Debt/Capital Leases</t>
  </si>
  <si>
    <t>Other Current Liabilities</t>
  </si>
  <si>
    <t>Long-term Debt</t>
  </si>
  <si>
    <t>Total Debt</t>
  </si>
  <si>
    <t>Deferred Income Tax</t>
  </si>
  <si>
    <t>Other Liabilities</t>
  </si>
  <si>
    <t>Total Liabilities</t>
  </si>
  <si>
    <t>Shareholder's Equity</t>
  </si>
  <si>
    <t>Common Stock</t>
  </si>
  <si>
    <t>APIC</t>
  </si>
  <si>
    <t>Retained Earnings</t>
  </si>
  <si>
    <t>Other Equity</t>
  </si>
  <si>
    <t>Total Liabilities &amp; Shareholder's Equity</t>
  </si>
  <si>
    <t>Check</t>
  </si>
  <si>
    <t>Cash Flow Statement</t>
  </si>
  <si>
    <t>Operating Cash Flow</t>
  </si>
  <si>
    <t>Plus: Depreciation &amp; Amortization</t>
  </si>
  <si>
    <t>Less: Changes in Working Capital</t>
  </si>
  <si>
    <t>Plus: Non-Cash Items</t>
  </si>
  <si>
    <t>Cash from Operations</t>
  </si>
  <si>
    <t>Investing Cash Flow</t>
  </si>
  <si>
    <t>CAPEX:</t>
  </si>
  <si>
    <t>Investments in Property &amp; Equipment</t>
  </si>
  <si>
    <t>Other Investing Cash Flow Items</t>
  </si>
  <si>
    <t>Cash from Investing</t>
  </si>
  <si>
    <t>Financing Cash Flow</t>
  </si>
  <si>
    <t>Financing Cash Flow Items</t>
  </si>
  <si>
    <t>Issuance (repayment) of debt</t>
  </si>
  <si>
    <t>Issuance (repayment) of equity</t>
  </si>
  <si>
    <t>Cash from Financing</t>
  </si>
  <si>
    <t>Foreign Exchange Effects</t>
  </si>
  <si>
    <t>Net Increase (decrease) in Cash</t>
  </si>
  <si>
    <t>Opening Cash Balance</t>
  </si>
  <si>
    <t>Closing Cash Balance</t>
  </si>
  <si>
    <t>Supporting Schedules</t>
  </si>
  <si>
    <t>Working Capital Schedule</t>
  </si>
  <si>
    <t>Current Asstes:</t>
  </si>
  <si>
    <t>Other Assets</t>
  </si>
  <si>
    <t>Current Liabilites:</t>
  </si>
  <si>
    <t>Change in NWC</t>
  </si>
  <si>
    <t>DCF Analysis</t>
  </si>
  <si>
    <t>Tax Rate</t>
  </si>
  <si>
    <t>Discount Rate</t>
  </si>
  <si>
    <t>Perpetural Growth Rate</t>
  </si>
  <si>
    <t>EV/EBITDA Mulltiple</t>
  </si>
  <si>
    <t>Transaction Date</t>
  </si>
  <si>
    <t>Fiscal Year End</t>
  </si>
  <si>
    <t>Current Price</t>
  </si>
  <si>
    <t>Closing date</t>
  </si>
  <si>
    <t>Shares Outstanding</t>
  </si>
  <si>
    <t>Debt</t>
  </si>
  <si>
    <t>Capex</t>
  </si>
  <si>
    <t>Discounted Cash Flow</t>
  </si>
  <si>
    <t>Entry</t>
  </si>
  <si>
    <t>2022E</t>
  </si>
  <si>
    <t>2023E</t>
  </si>
  <si>
    <t>2024E</t>
  </si>
  <si>
    <t>2025E</t>
  </si>
  <si>
    <t>2026E</t>
  </si>
  <si>
    <t>2027E</t>
  </si>
  <si>
    <t>2028E</t>
  </si>
  <si>
    <t>Exit</t>
  </si>
  <si>
    <t>Terminal Value</t>
  </si>
  <si>
    <t>Date</t>
  </si>
  <si>
    <t>Perpetural Growth</t>
  </si>
  <si>
    <t>Time Periods</t>
  </si>
  <si>
    <t>Less: Cash Taxes</t>
  </si>
  <si>
    <t>Implied Terminal FCF</t>
  </si>
  <si>
    <t>Plus: D&amp;A</t>
  </si>
  <si>
    <t>Growth Rate</t>
  </si>
  <si>
    <t>Less: Capex</t>
  </si>
  <si>
    <t>Less: Changes in NWC</t>
  </si>
  <si>
    <t>Unlevered FCF</t>
  </si>
  <si>
    <t>Implied TV</t>
  </si>
  <si>
    <t>WACC</t>
  </si>
  <si>
    <t>Cumulative Discount Factor</t>
  </si>
  <si>
    <t>PV of Unlevered FCF</t>
  </si>
  <si>
    <t>Intrinsic Value</t>
  </si>
  <si>
    <t>Market Value</t>
  </si>
  <si>
    <t>Rate of Return</t>
  </si>
  <si>
    <t>Enterprise Value</t>
  </si>
  <si>
    <t>Market Cap</t>
  </si>
  <si>
    <t>Upside</t>
  </si>
  <si>
    <t>Plus: Cash</t>
  </si>
  <si>
    <t>Plus: Debt</t>
  </si>
  <si>
    <t>IRR</t>
  </si>
  <si>
    <t>Less: Debt</t>
  </si>
  <si>
    <t>Less: Cash</t>
  </si>
  <si>
    <t>Less: Minority Interest</t>
  </si>
  <si>
    <t>Plus: Minorty Interest</t>
  </si>
  <si>
    <t>Equity Value</t>
  </si>
  <si>
    <t>Market Value vs Intrinsic Value</t>
  </si>
  <si>
    <t>Equity Value/Share</t>
  </si>
  <si>
    <t>Sensitivity Analysis</t>
  </si>
  <si>
    <t>Weighted Average Cost of Capital (WACC):</t>
  </si>
  <si>
    <t>Terminal EV / EBITDA Multiple</t>
  </si>
  <si>
    <t>Discount Rate (WACC):</t>
  </si>
  <si>
    <t>Historical</t>
  </si>
  <si>
    <t>Projected</t>
  </si>
  <si>
    <t>Units:</t>
  </si>
  <si>
    <t>FY17</t>
  </si>
  <si>
    <t>FY18</t>
  </si>
  <si>
    <t>FY19</t>
  </si>
  <si>
    <t>FY20</t>
  </si>
  <si>
    <t>FY21</t>
  </si>
  <si>
    <t>%</t>
  </si>
  <si>
    <t>Ubisoft Entertainment SA - FCF Projections:</t>
  </si>
  <si>
    <t>FY23E</t>
  </si>
  <si>
    <t>FY24E</t>
  </si>
  <si>
    <t>FY25E</t>
  </si>
  <si>
    <t>FY26E</t>
  </si>
  <si>
    <t>FY27E</t>
  </si>
  <si>
    <t>FY28E</t>
  </si>
  <si>
    <t>Revenue:</t>
  </si>
  <si>
    <t>€ M</t>
  </si>
  <si>
    <t>Revenue Growth Rate:</t>
  </si>
  <si>
    <t>EBITDA Margin:</t>
  </si>
  <si>
    <t>EBITDA Growth Rate:</t>
  </si>
  <si>
    <t>Operating Income (EBIT):</t>
  </si>
  <si>
    <t>(-) Taxes, Excluding Effect of Interest:</t>
  </si>
  <si>
    <t>Net Operating Profit After Taxes (NOPAT):</t>
  </si>
  <si>
    <t>Adjustments for Non-Cash Charges:</t>
  </si>
  <si>
    <t>(+) Depreciation &amp; Amortization:</t>
  </si>
  <si>
    <t>% Revenue:</t>
  </si>
  <si>
    <t>(-) Net Change in Working Capital:</t>
  </si>
  <si>
    <t>(-) Capital Expenditures:</t>
  </si>
  <si>
    <t>Unlevered Free Cash Flow:</t>
  </si>
  <si>
    <t>Growth Rate:</t>
  </si>
  <si>
    <t>Discount Period:</t>
  </si>
  <si>
    <t>#</t>
  </si>
  <si>
    <t>Cumulative Discount Factor:</t>
  </si>
  <si>
    <t>PV of Unlevered FCF:</t>
  </si>
  <si>
    <t>EBITDA:</t>
  </si>
  <si>
    <t>WACC Analysis - Ubisoft Entertainement SA</t>
  </si>
  <si>
    <t>Assumptions for CAPM:</t>
  </si>
  <si>
    <t> </t>
  </si>
  <si>
    <t xml:space="preserve">Equity cost </t>
  </si>
  <si>
    <t>Risk-Free Rate:</t>
  </si>
  <si>
    <t>Expected market return</t>
  </si>
  <si>
    <t>Beta</t>
  </si>
  <si>
    <t>CAPM</t>
  </si>
  <si>
    <t>Assumptions for WACC:</t>
  </si>
  <si>
    <t>Equity Cost</t>
  </si>
  <si>
    <t>Equity weighted</t>
  </si>
  <si>
    <t>Post-tax debt cost</t>
  </si>
  <si>
    <t>Debt weighted</t>
  </si>
  <si>
    <t>Cases</t>
  </si>
  <si>
    <t>Salaries and Benefits (% of Revenue)</t>
  </si>
  <si>
    <t>Rent and Overhead ($000's)</t>
  </si>
  <si>
    <t>Depreciation &amp; Amortization (% of PP&amp;E)</t>
  </si>
  <si>
    <t>Capital Expenditures ($000's)</t>
  </si>
  <si>
    <t xml:space="preserve">Trading Comps -- Ubisoft SA </t>
  </si>
  <si>
    <t>g</t>
  </si>
  <si>
    <t>General Assumptions</t>
  </si>
  <si>
    <t>Filter Criteria EV Comps</t>
  </si>
  <si>
    <t>Company</t>
  </si>
  <si>
    <t xml:space="preserve">Ubisoft SA </t>
  </si>
  <si>
    <t>Max Comp Range</t>
  </si>
  <si>
    <t>Valuation Date</t>
  </si>
  <si>
    <t>Min Comp Range</t>
  </si>
  <si>
    <t>Period</t>
  </si>
  <si>
    <t>IQ_FY</t>
  </si>
  <si>
    <t>Currency</t>
  </si>
  <si>
    <t>EUR</t>
  </si>
  <si>
    <t>Bedingung: 5%-50%</t>
  </si>
  <si>
    <t>10%-30%</t>
  </si>
  <si>
    <t>Conversion Rate</t>
  </si>
  <si>
    <t>H</t>
  </si>
  <si>
    <t>Ubisoft Entertainment SA</t>
  </si>
  <si>
    <t>ENXTPA:UBI</t>
  </si>
  <si>
    <t>FR</t>
  </si>
  <si>
    <t>Interactive Home Entertainment</t>
  </si>
  <si>
    <t>Ubisoft Entertainment SA produce, publishes, and distributes video games for consoles, PC, smartphones, and tablets in both physical and digital formats worldwide. The company designs and develops software, including scenarios, animation, gameplay, layouts, and game rules, as well as develops design tools and game engines. It is also involved in the development in the area of online and mobile gaming; and film business. The company distributes Ubisoft products to retailers and independent wholesalers. Ubisoft Entertainment SA has a strategic partnership with Tencent and Playcrab; and collaboration with Disney and Lucasfilm Games. The company was incorporated in 1986 and is headquartered in Saint-Mandé, France.</t>
  </si>
  <si>
    <t>[ ]</t>
  </si>
  <si>
    <t xml:space="preserve">Comparable Peer Group </t>
  </si>
  <si>
    <t>Market Data</t>
  </si>
  <si>
    <t>Financials</t>
  </si>
  <si>
    <t>Valuation</t>
  </si>
  <si>
    <t>Revenue Growth</t>
  </si>
  <si>
    <t>EBITDA Margin</t>
  </si>
  <si>
    <t>General Information</t>
  </si>
  <si>
    <t xml:space="preserve">Price </t>
  </si>
  <si>
    <t>DSO</t>
  </si>
  <si>
    <t>TEV</t>
  </si>
  <si>
    <t>Revenue</t>
  </si>
  <si>
    <t>Earnings</t>
  </si>
  <si>
    <t>EV / Revenue</t>
  </si>
  <si>
    <t xml:space="preserve">EV / Revenue </t>
  </si>
  <si>
    <t xml:space="preserve">EV/ LTM Revenue </t>
  </si>
  <si>
    <t>EV / EBITDA</t>
  </si>
  <si>
    <t xml:space="preserve">EV / EBITDA </t>
  </si>
  <si>
    <t>EV / EBIT</t>
  </si>
  <si>
    <t>Price / Earnings</t>
  </si>
  <si>
    <t>LFY-2</t>
  </si>
  <si>
    <t>LFY-1</t>
  </si>
  <si>
    <t>LFY</t>
  </si>
  <si>
    <t xml:space="preserve">Primary </t>
  </si>
  <si>
    <t>Short Business</t>
  </si>
  <si>
    <t>Company Name</t>
  </si>
  <si>
    <t>Ticker</t>
  </si>
  <si>
    <t>HQ</t>
  </si>
  <si>
    <t>(EUR / share)</t>
  </si>
  <si>
    <t>(M shares)</t>
  </si>
  <si>
    <t xml:space="preserve">in m </t>
  </si>
  <si>
    <t>(EUR M)</t>
  </si>
  <si>
    <t>FY21A</t>
  </si>
  <si>
    <t>FY22E</t>
  </si>
  <si>
    <t>LTM</t>
  </si>
  <si>
    <t>(x)</t>
  </si>
  <si>
    <t>(%)</t>
  </si>
  <si>
    <t>Industry</t>
  </si>
  <si>
    <t>Description</t>
  </si>
  <si>
    <t>NasdaqGS:EA</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</si>
  <si>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Plants vs. Zombies brands; and license games from others, including FIFA, Madden NFL, UFC, NHL, Formula 1, and Star Wars brands. The company also provides advertising services; and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</si>
  <si>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NasdaqGS:ATVI</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</si>
  <si>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</si>
  <si>
    <t>ENXTPA:ATA</t>
  </si>
  <si>
    <t>n.m.</t>
  </si>
  <si>
    <t>NM</t>
  </si>
  <si>
    <t>Atari SA operates as a multi-platform, interactive entertainment, and licensing products company worldwide. The company offers video games; monetization of video games through multiple channels, multimedia production, and licensing activities; regulated online casino games; Atari VCS Videogame Computer System; and Atari Blockchain, which develops and markets non-fungible tokens (NFTs) and develops ecosystem around the Atari Token. It owns and manages a portfolio of approximately 200 games and franchises under the Asteroids, Centipede, Missile Command, Pong, and RollerCoaster Tycoon brands. The company was formerly known as Infogrames Entertainment SA and changed its name to Atari SA in May 2009. Atari SA was founded in 1972 and is based in Paris, France.</t>
  </si>
  <si>
    <t>NasdaqGS:TTWO</t>
  </si>
  <si>
    <t>WSE:CDR</t>
  </si>
  <si>
    <t>PL</t>
  </si>
  <si>
    <t>CD Projekt S.A., together its subsidiaries, engages in the development, publishing, and digital distribution of videogames for personal computers and video game consoles worldwide. It operates through two segments, CD PROJEKT RED and GOG.com. The company’s product portfolio comprises The Witcher; The Witcher 2: Assassins of Kings; The Witcher 3: Wild Hunt; Thronebreaker: The Witcher Tales; Gwent: The Witcher Card game; and Cyberpunk 2077. It also distributes videogames through GOG.com distribution platform and the GOG GALAXY application. The company exports its products in Europe, North America, South America, Asia, Australia, and Africa. CD Projekt S.A. was incorporated in 2001 and is headquartered in Warsaw, Poland.</t>
  </si>
  <si>
    <t>NasdaqGS:ZNGA</t>
  </si>
  <si>
    <t>Zynga Inc. develops, markets, and operates social game services in the United States and internationally. The company provides social games as live services played on mobile platforms, such as Apple iOS and Google’s Android operating systems; social networking platforms, such as Facebook and Snapchat; and personal computers consoles, such as Nintendo’s Switch game console, and other platforms and consoles. It also provides advertising services comprising mobile advertisements, engagement advertisements and offers, and branded virtual items and sponsorships for marketers and advertisers; and licenses its own brands. In addition, the company operates mobile programmatic advertising and monetization platform. Zynga Inc. was founded in 2007 and is headquartered in San Francisco, California.</t>
  </si>
  <si>
    <t>Maximum</t>
  </si>
  <si>
    <t>75th Percentile</t>
  </si>
  <si>
    <t>Median</t>
  </si>
  <si>
    <t>25th Percentile</t>
  </si>
  <si>
    <t>Minimum</t>
  </si>
  <si>
    <t>[END]</t>
  </si>
  <si>
    <t>Cost Synergies</t>
  </si>
  <si>
    <t>Cross border acquisitions show a 35% premium</t>
  </si>
  <si>
    <t>migration to one single IT platform</t>
  </si>
  <si>
    <t>improved productivity in IT operations</t>
  </si>
  <si>
    <t>Revenue synergies</t>
  </si>
  <si>
    <t>market share</t>
  </si>
  <si>
    <t>geographic expansion</t>
  </si>
  <si>
    <t>access to new end markets</t>
  </si>
  <si>
    <t>more pricing power</t>
  </si>
  <si>
    <t>cross selling</t>
  </si>
  <si>
    <t xml:space="preserve">product bundling </t>
  </si>
  <si>
    <t>Brand &amp; Marketing</t>
  </si>
  <si>
    <t>shared departments (IT, R&amp;D. etc.)</t>
  </si>
  <si>
    <t>Reduce Headcount</t>
  </si>
  <si>
    <t>(-) Operating Expenses</t>
  </si>
  <si>
    <t>Additional Operating Income</t>
  </si>
  <si>
    <t>Synergy Assumption</t>
  </si>
  <si>
    <t>Integration Costs % Year 3 Cost Synergies</t>
  </si>
  <si>
    <t>Total Merger &amp; Integration Costs</t>
  </si>
  <si>
    <t>Annual Redognition %</t>
  </si>
  <si>
    <t xml:space="preserve">Risk-Free Rate </t>
  </si>
  <si>
    <t>Equity Risk Premium</t>
  </si>
  <si>
    <t>Historical Levered Beta</t>
  </si>
  <si>
    <t>Sony - Cost of Equity</t>
  </si>
  <si>
    <t>Sony - Pre-Tax Cost of Debt</t>
  </si>
  <si>
    <t>Sony - % Equity</t>
  </si>
  <si>
    <t>Sony - % Debt</t>
  </si>
  <si>
    <t>Sony - WACC</t>
  </si>
  <si>
    <t>After-Tax Synergy Long-Term Growth</t>
  </si>
  <si>
    <t>Ubisoft - Revenue Synergy based on % increased</t>
  </si>
  <si>
    <t>(+) Additional Revenue:</t>
  </si>
  <si>
    <t>(-) Additional Cost of Sales</t>
  </si>
  <si>
    <t>Ubisoft - Cost Synergies and Merger &amp; Integration Costs</t>
  </si>
  <si>
    <t>Cost of Good Sold</t>
  </si>
  <si>
    <t>Research and Development</t>
  </si>
  <si>
    <t>Selling, general and administrative expenses</t>
  </si>
  <si>
    <t>Total Cost Savings</t>
  </si>
  <si>
    <t>Cost Savings</t>
  </si>
  <si>
    <t>Merger &amp; Integration Costs</t>
  </si>
  <si>
    <t>Value of Synergies</t>
  </si>
  <si>
    <t>Pre-Tax Cash Flow from Synergies</t>
  </si>
  <si>
    <t>After-Tax Cash Flow from Synergies</t>
  </si>
  <si>
    <t>Terminal Value of Synergies</t>
  </si>
  <si>
    <t>Present Value of Synergies</t>
  </si>
  <si>
    <t>Discount Rate (WACC)</t>
  </si>
  <si>
    <t>Discount Period</t>
  </si>
  <si>
    <t>Present Value of Unlevered FCF</t>
  </si>
  <si>
    <t>Premium</t>
  </si>
  <si>
    <t>EV/EBIT</t>
  </si>
  <si>
    <t>Total</t>
  </si>
  <si>
    <t>US</t>
  </si>
  <si>
    <t>Zynga Inc.</t>
  </si>
  <si>
    <t>Frontier Developments plc develops and publishes video games for personal computers and videogame consoles in the United Kingdom. The company develops games across various platforms using its cross-platform technology, Cobra. It also publishes games developed by selected partner studios under its Frontier Foundry games label. The company was incorporated in 1994 and is headquartered in Cambridge, the United Kingdom.</t>
  </si>
  <si>
    <t>GB</t>
  </si>
  <si>
    <t>AIM:FDEV</t>
  </si>
  <si>
    <t>Frontier Developments plc</t>
  </si>
  <si>
    <t>NEXON Co., Ltd. produces, develops, and services PC online and mobile games. It operates through five segments: Japan, Korea, China, North America, and Others. The company’s PC online game titles include MapleStory, Dungeon &amp; Fighter, and EA SPORTS FIFA ONLINE 4. It offers approximately 60 online games in 190 countries. The company was formerly known as NEXON Japan Co., Ltd. and changed its name to NEXON Co., Ltd. in April 2009. The company was founded in 1994 and is headquartered in Tokyo, Japan.</t>
  </si>
  <si>
    <t>JP</t>
  </si>
  <si>
    <t>TSE:3659</t>
  </si>
  <si>
    <t>NEXON Co., Ltd.</t>
  </si>
  <si>
    <t>37 Interactive Entertainment Network Technology Group Co., Ltd. engages in the development and publication of mobile, browser, and html5 games. The company was formerly known as Wuhu 37 Interactive Entertainment Network Technology Group Co.,Ltd. The company was founded in 1995 and is based in Wuhu, China.</t>
  </si>
  <si>
    <t>CN</t>
  </si>
  <si>
    <t>SZSE:002555</t>
  </si>
  <si>
    <t>37 Interactive Entertainment Network Technology Group Co., Ltd.</t>
  </si>
  <si>
    <t>Roblox Corporation develops and operates an online entertainment platform. The company offers Roblox Studio, a free toolset that allows developers and creators to build, publish, and operate 3D experiences, and other content; Roblox Client, an application that allows users to explore 3D digital world; Roblox Education for learning experiences; and Roblox Cloud, which provides services and infrastructure that power the human co-experience platform. It serves customers in the United States, the United Kingdom, Canada, Europe, China, the Asia-Pacific, and internationally. The company was incorporated in 2004 and is headquartered in San Mateo, California.</t>
  </si>
  <si>
    <t>NYSE:RBLX</t>
  </si>
  <si>
    <t>Roblox Corporation</t>
  </si>
  <si>
    <t>CD Projekt S.A.</t>
  </si>
  <si>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</si>
  <si>
    <t>NA</t>
  </si>
  <si>
    <t>Take-Two Interactive Software, Inc.</t>
  </si>
  <si>
    <t>Atari SA</t>
  </si>
  <si>
    <t>Activision Blizzard, Inc.</t>
  </si>
  <si>
    <t>Electronic Arts Inc.</t>
  </si>
  <si>
    <t>EV / (EBITDA-Capex)</t>
  </si>
  <si>
    <t>Time Matching</t>
  </si>
  <si>
    <t>IQ_BUSINESS_DESCRIPTION</t>
  </si>
  <si>
    <t>IQ_PRIMARY_INDUSTRY</t>
  </si>
  <si>
    <t>IQ_EBITDA</t>
  </si>
  <si>
    <t>IQ_TOTAL_REV</t>
  </si>
  <si>
    <t>IQ_CAPEX</t>
  </si>
  <si>
    <t>IQ_NI</t>
  </si>
  <si>
    <t>IQ_EBIT</t>
  </si>
  <si>
    <t>IQ_TEV</t>
  </si>
  <si>
    <t>IQ_MARKETCAP</t>
  </si>
  <si>
    <t>IQ_LASTSALEPRICE</t>
  </si>
  <si>
    <t>IQ_PERIODDATE_BS</t>
  </si>
  <si>
    <t xml:space="preserve"> IQ_COUNTRY_ISO_CODE</t>
  </si>
  <si>
    <t>IQ_COMPANY_NAME</t>
  </si>
  <si>
    <t>CIQ Formula Input</t>
  </si>
  <si>
    <t xml:space="preserve">Announced Date </t>
  </si>
  <si>
    <t>Target Company</t>
  </si>
  <si>
    <t>Bidder Company</t>
  </si>
  <si>
    <t>Y1</t>
  </si>
  <si>
    <t>13/04/2021</t>
  </si>
  <si>
    <t>Gamesys Group plc</t>
  </si>
  <si>
    <t>UK</t>
  </si>
  <si>
    <t xml:space="preserve">Bally's Corporation </t>
  </si>
  <si>
    <t>01/02/2021</t>
  </si>
  <si>
    <t>Nexters Global Limited</t>
  </si>
  <si>
    <t>CP</t>
  </si>
  <si>
    <t>Nexters Inc</t>
  </si>
  <si>
    <t>14/12/2020</t>
  </si>
  <si>
    <t>Codemasters Group Holdings PLC</t>
  </si>
  <si>
    <t>11/12/2020</t>
  </si>
  <si>
    <t>Sendas Distribuidora SA</t>
  </si>
  <si>
    <t>BR</t>
  </si>
  <si>
    <t>Companhia Brasileira de Distribuicao (Shareholders)</t>
  </si>
  <si>
    <t>10/11/2020</t>
  </si>
  <si>
    <t>13/06/2019</t>
  </si>
  <si>
    <t>Gamesys Limited</t>
  </si>
  <si>
    <t xml:space="preserve">Transaction Comps -- Ubisoft SA </t>
  </si>
  <si>
    <t>FY 21</t>
  </si>
  <si>
    <t xml:space="preserve">Source: MergerMarket - May 2022 </t>
  </si>
  <si>
    <t xml:space="preserve">Football Field </t>
  </si>
  <si>
    <t xml:space="preserve">Ubisoft Financials </t>
  </si>
  <si>
    <t>EV / Revenue FY22</t>
  </si>
  <si>
    <t xml:space="preserve">EV / EBITDA FY 22 </t>
  </si>
  <si>
    <t>DCF</t>
  </si>
  <si>
    <t>EV / EBIT FY 21</t>
  </si>
  <si>
    <t>CCA</t>
  </si>
  <si>
    <t>CTA</t>
  </si>
  <si>
    <t xml:space="preserve">Revenue </t>
  </si>
  <si>
    <t xml:space="preserve">EBITDA </t>
  </si>
  <si>
    <t xml:space="preserve">Earnings </t>
  </si>
  <si>
    <t>Minimum to 25th Percentile</t>
  </si>
  <si>
    <t xml:space="preserve">25th Percentile to Median </t>
  </si>
  <si>
    <t xml:space="preserve">Median to 75th Percentile </t>
  </si>
  <si>
    <t xml:space="preserve">75th Percentile to Maximum </t>
  </si>
  <si>
    <t xml:space="preserve">Shares Outstanding </t>
  </si>
  <si>
    <t xml:space="preserve">Debt </t>
  </si>
  <si>
    <t xml:space="preserve">Cash </t>
  </si>
  <si>
    <t>Shareprice</t>
  </si>
  <si>
    <t xml:space="preserve">                                                  </t>
  </si>
  <si>
    <t>TOTAL MEDIAN</t>
  </si>
  <si>
    <t xml:space="preserve">Average SP </t>
  </si>
  <si>
    <t xml:space="preserve">Multiples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</si>
</sst>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 #,##0.00_-;_-* &quot;-&quot;??_-;_-@_-"/>
    <numFmt numFmtId="164" formatCode="_(* #,##0.00_);_(* \(#,##0.00\);_(* &quot;-&quot;??_);_(@_)"/>
    <numFmt numFmtId="165" formatCode="_-* #,##0_-;\(#,##0\)_-;_-* &quot;-&quot;_-;_-@_-"/>
    <numFmt numFmtId="166" formatCode="0.0000_ ;\-0.0000\ "/>
    <numFmt numFmtId="167" formatCode="0.0%"/>
    <numFmt numFmtId="168" formatCode="_-* #,##0_-;\-* #,##0_-;_-* &quot;-&quot;??_-;_-@_-"/>
    <numFmt numFmtId="169" formatCode="_-* #,##0.00_-;\(#,##0.00\)_-;_-* &quot;-&quot;_-;_-@_-"/>
    <numFmt numFmtId="170" formatCode="_-* #,##0.0_-;\(#,##0.0\)_-;_-* &quot;-&quot;_-;_-@_-"/>
    <numFmt numFmtId="171" formatCode="#,##0.0"/>
    <numFmt numFmtId="172" formatCode="0.0"/>
    <numFmt numFmtId="173" formatCode="&quot;€&quot;#,##0.00_);\(&quot;€&quot;#,##0.00\)"/>
    <numFmt numFmtId="174" formatCode="_(0.0\ \x_);\(0.0\ \x\);_(&quot;-&quot;_);_(@_)"/>
    <numFmt numFmtId="175" formatCode="#,##0.0\ &quot;€&quot;"/>
    <numFmt numFmtId="176" formatCode="#,##0.00\ &quot;€&quot;"/>
    <numFmt numFmtId="177" formatCode="#,##0.00\ _€"/>
    <numFmt numFmtId="178" formatCode="_(* #,##0.0_);_(* \(#,##0.0\);_(* &quot;-&quot;?_);_(@_)"/>
    <numFmt numFmtId="179" formatCode="#,##0.0%_);\(#,##0.0%\);\-\-_)_%"/>
    <numFmt numFmtId="180" formatCode="0.0\ \x;\ \(0.0\ \x\);&quot;-&quot;;@"/>
    <numFmt numFmtId="181" formatCode="#,##0_);\(#,##0\);\-\-_)"/>
    <numFmt numFmtId="182" formatCode="mm\/dd\/yyyy;@"/>
    <numFmt numFmtId="183" formatCode="[$$-409]#,##0.0_);\([$$-409]#,##0.0\);[$$-409]#,##0.0_);@_)"/>
    <numFmt numFmtId="184" formatCode="mm\/d\/yyyy;@"/>
    <numFmt numFmtId="185" formatCode="_-* #,##0.0\ _€_-;\-* #,##0.0\ _€_-;_-* &quot;-&quot;?\ _€_-;_-@_-"/>
  </numFmts>
  <fonts count="78" x14ac:knownFonts="1">
    <font>
      <sz val="11"/>
      <color theme="1"/>
      <name val="Calibri"/>
      <family val="2"/>
      <scheme val="minor"/>
    </font>
    <font>
      <sz val="11"/>
      <color theme="1"/>
      <name val="Arial Narrow"/>
      <family val="2"/>
    </font>
    <font>
      <sz val="11"/>
      <color theme="1"/>
      <name val="Calibri"/>
      <family val="2"/>
      <scheme val="minor"/>
    </font>
    <font>
      <sz val="12"/>
      <color theme="1"/>
      <name val="Arial Narrow"/>
      <family val="2"/>
    </font>
    <font>
      <sz val="14"/>
      <color theme="1"/>
      <name val="Arial Narrow"/>
      <family val="2"/>
    </font>
    <font>
      <b/>
      <sz val="14"/>
      <color theme="0"/>
      <name val="Arial Narrow"/>
      <family val="2"/>
    </font>
    <font>
      <b/>
      <sz val="12"/>
      <color theme="1"/>
      <name val="Arial Narrow"/>
      <family val="2"/>
    </font>
    <font>
      <i/>
      <sz val="12"/>
      <color theme="1"/>
      <name val="Arial Narrow"/>
      <family val="2"/>
    </font>
    <font>
      <b/>
      <sz val="12"/>
      <name val="Arial Narrow"/>
      <family val="2"/>
    </font>
    <font>
      <b/>
      <sz val="12"/>
      <color rgb="FF0000FF"/>
      <name val="Arial Narrow"/>
      <family val="2"/>
    </font>
    <font>
      <sz val="12"/>
      <color rgb="FF0000FF"/>
      <name val="Arial Narrow"/>
      <family val="2"/>
    </font>
    <font>
      <sz val="12"/>
      <name val="Arial Narrow"/>
      <family val="2"/>
    </font>
    <font>
      <sz val="12"/>
      <color theme="0"/>
      <name val="Arial Narrow"/>
      <family val="2"/>
    </font>
    <font>
      <sz val="8"/>
      <color theme="0"/>
      <name val="Arial Narrow"/>
      <family val="2"/>
    </font>
    <font>
      <b/>
      <sz val="12"/>
      <color theme="0"/>
      <name val="Arial Narrow"/>
      <family val="2"/>
    </font>
    <font>
      <b/>
      <sz val="16"/>
      <color theme="0"/>
      <name val="Arial Narrow"/>
      <family val="2"/>
    </font>
    <font>
      <u/>
      <sz val="10"/>
      <color theme="10"/>
      <name val="Arial"/>
      <family val="2"/>
    </font>
    <font>
      <b/>
      <sz val="11"/>
      <color theme="1"/>
      <name val="Calibri"/>
      <family val="2"/>
      <scheme val="minor"/>
    </font>
    <font>
      <sz val="12"/>
      <color rgb="FF000000"/>
      <name val="Calibri"/>
      <family val="2"/>
    </font>
    <font>
      <b/>
      <sz val="14"/>
      <color rgb="FF000000"/>
      <name val="Calibri"/>
      <family val="2"/>
    </font>
    <font>
      <sz val="12"/>
      <name val="Calibri"/>
      <family val="2"/>
    </font>
    <font>
      <b/>
      <sz val="12"/>
      <color rgb="FFFFFFFF"/>
      <name val="Calibri"/>
      <family val="2"/>
    </font>
    <font>
      <sz val="12"/>
      <color rgb="FFFFFFFF"/>
      <name val="Calibri"/>
      <family val="2"/>
    </font>
    <font>
      <sz val="12"/>
      <color theme="1"/>
      <name val="Arial Narrow"/>
      <family val="2"/>
    </font>
    <font>
      <sz val="12"/>
      <color rgb="FF0000FF"/>
      <name val="Arial Narrow"/>
      <family val="2"/>
    </font>
    <font>
      <sz val="12"/>
      <name val="Arial Narrow"/>
      <family val="2"/>
    </font>
    <font>
      <b/>
      <sz val="12"/>
      <color rgb="FF000000"/>
      <name val="Calibri"/>
      <family val="2"/>
    </font>
    <font>
      <b/>
      <sz val="20"/>
      <name val="Calibri"/>
      <family val="2"/>
      <scheme val="minor"/>
    </font>
    <font>
      <sz val="10"/>
      <name val="Calibri"/>
      <family val="2"/>
      <scheme val="minor"/>
    </font>
    <font>
      <b/>
      <sz val="12"/>
      <color rgb="FF0000FF"/>
      <name val="Calibri"/>
      <family val="2"/>
      <scheme val="minor"/>
    </font>
    <font>
      <sz val="5"/>
      <name val="Webdings"/>
      <family val="1"/>
      <charset val="2"/>
    </font>
    <font>
      <sz val="11"/>
      <color rgb="FF000000"/>
      <name val="Calibri"/>
      <family val="2"/>
      <scheme val="minor"/>
    </font>
    <font>
      <sz val="11"/>
      <name val="Calibri"/>
      <family val="2"/>
      <scheme val="minor"/>
    </font>
    <font>
      <sz val="11"/>
      <color rgb="FF0000FF"/>
      <name val="Calibri"/>
      <family val="2"/>
      <scheme val="minor"/>
    </font>
    <font>
      <sz val="10"/>
      <color rgb="FF000000"/>
      <name val="Open Sans"/>
      <family val="2"/>
    </font>
    <font>
      <sz val="10"/>
      <color rgb="FF0000FF"/>
      <name val="Open Sans"/>
      <family val="2"/>
    </font>
    <font>
      <b/>
      <sz val="10"/>
      <name val="Open Sans"/>
      <family val="2"/>
    </font>
    <font>
      <sz val="10"/>
      <name val="Open Sans"/>
      <family val="2"/>
    </font>
    <font>
      <sz val="12"/>
      <color rgb="FF000000"/>
      <name val="Arial Narrow"/>
      <family val="2"/>
    </font>
    <font>
      <b/>
      <sz val="10"/>
      <color rgb="FF000000"/>
      <name val="Open Sans"/>
      <family val="2"/>
    </font>
    <font>
      <i/>
      <sz val="10"/>
      <color rgb="FF000000"/>
      <name val="Open Sans"/>
      <family val="2"/>
    </font>
    <font>
      <i/>
      <sz val="10"/>
      <name val="Open Sans"/>
      <family val="2"/>
    </font>
    <font>
      <i/>
      <sz val="10"/>
      <color rgb="FF000000"/>
      <name val="Open Sans"/>
      <family val="2"/>
    </font>
    <font>
      <b/>
      <sz val="10"/>
      <color rgb="FF000000"/>
      <name val="Open Sans"/>
      <family val="2"/>
    </font>
    <font>
      <b/>
      <sz val="9"/>
      <color rgb="FF000000"/>
      <name val="Open Sans"/>
      <family val="2"/>
    </font>
    <font>
      <sz val="12"/>
      <name val="Calibri"/>
      <family val="2"/>
      <scheme val="minor"/>
    </font>
    <font>
      <b/>
      <sz val="12"/>
      <name val="Calibri"/>
      <family val="2"/>
      <scheme val="minor"/>
    </font>
    <font>
      <sz val="12"/>
      <color theme="5" tint="-0.499984740745262"/>
      <name val="Arial Narrow"/>
      <family val="2"/>
    </font>
    <font>
      <b/>
      <i/>
      <sz val="12"/>
      <color theme="1"/>
      <name val="Arial Narrow"/>
      <family val="2"/>
    </font>
    <font>
      <i/>
      <sz val="12"/>
      <color rgb="FF000000"/>
      <name val="Calibri"/>
      <family val="2"/>
      <scheme val="minor"/>
    </font>
    <font>
      <b/>
      <sz val="12"/>
      <color rgb="FF000000"/>
      <name val="Calibri"/>
      <family val="2"/>
      <scheme val="minor"/>
    </font>
    <font>
      <i/>
      <sz val="12"/>
      <name val="Calibri"/>
      <family val="2"/>
      <scheme val="minor"/>
    </font>
    <font>
      <sz val="12"/>
      <color rgb="FF0000FF"/>
      <name val="Calibri"/>
      <family val="2"/>
      <scheme val="minor"/>
    </font>
    <font>
      <sz val="12"/>
      <color rgb="FF4F81BD"/>
      <name val="Calibri"/>
      <family val="2"/>
      <scheme val="minor"/>
    </font>
    <font>
      <sz val="12"/>
      <color rgb="FF000000"/>
      <name val="Calibri"/>
      <family val="2"/>
      <scheme val="minor"/>
    </font>
    <font>
      <b/>
      <sz val="12"/>
      <color rgb="FF000000"/>
      <name val="Arial Narrow"/>
      <family val="2"/>
    </font>
    <font>
      <sz val="12"/>
      <color theme="1"/>
      <name val="Calibri"/>
      <family val="2"/>
      <scheme val="minor"/>
    </font>
    <font>
      <b/>
      <sz val="12"/>
      <color theme="1"/>
      <name val="Calibri"/>
      <family val="2"/>
      <scheme val="minor"/>
    </font>
    <font>
      <b/>
      <i/>
      <sz val="12"/>
      <name val="Calibri"/>
      <family val="2"/>
      <scheme val="minor"/>
    </font>
    <font>
      <sz val="12"/>
      <color rgb="FFEAEAEA"/>
      <name val="Calibri"/>
      <family val="2"/>
      <scheme val="minor"/>
    </font>
    <font>
      <b/>
      <sz val="12"/>
      <color theme="0"/>
      <name val="Calibri"/>
      <family val="2"/>
      <scheme val="minor"/>
    </font>
    <font>
      <b/>
      <sz val="11"/>
      <name val="Calibri"/>
      <family val="2"/>
      <scheme val="minor"/>
    </font>
    <font>
      <b/>
      <sz val="2"/>
      <color theme="3" tint="-0.249977111117893"/>
      <name val="Calibri"/>
      <family val="2"/>
      <scheme val="minor"/>
    </font>
    <font>
      <b/>
      <sz val="11"/>
      <color theme="0"/>
      <name val="Calibri"/>
      <family val="2"/>
      <scheme val="minor"/>
    </font>
    <font>
      <i/>
      <sz val="11"/>
      <color theme="1"/>
      <name val="Calibri"/>
      <family val="2"/>
      <scheme val="minor"/>
    </font>
    <font>
      <b/>
      <sz val="10"/>
      <color theme="0"/>
      <name val="Calibri"/>
      <family val="2"/>
      <scheme val="minor"/>
    </font>
    <font>
      <sz val="10"/>
      <color theme="0"/>
      <name val="Calibri"/>
      <family val="2"/>
      <scheme val="minor"/>
    </font>
    <font>
      <i/>
      <sz val="11"/>
      <color rgb="FF0000FF"/>
      <name val="Calibri"/>
      <family val="2"/>
      <scheme val="minor"/>
    </font>
    <font>
      <i/>
      <sz val="11"/>
      <name val="Calibri"/>
      <family val="2"/>
      <scheme val="minor"/>
    </font>
    <font>
      <b/>
      <u/>
      <sz val="11"/>
      <name val="Calibri"/>
      <family val="2"/>
      <scheme val="minor"/>
    </font>
    <font>
      <sz val="11"/>
      <color theme="0"/>
      <name val="Calibri"/>
      <family val="2"/>
      <scheme val="minor"/>
    </font>
    <font>
      <b/>
      <i/>
      <sz val="10"/>
      <name val="Calibri"/>
      <family val="2"/>
      <scheme val="minor"/>
    </font>
    <font>
      <b/>
      <sz val="9"/>
      <color indexed="81"/>
      <name val="Tahoma"/>
      <family val="2"/>
    </font>
    <font>
      <sz val="9"/>
      <color indexed="81"/>
      <name val="Tahoma"/>
      <family val="2"/>
    </font>
    <font>
      <b/>
      <sz val="9"/>
      <color rgb="FF000000"/>
      <name val="Tahoma"/>
      <family val="2"/>
    </font>
    <font>
      <sz val="9"/>
      <color rgb="FF000000"/>
      <name val="Tahoma"/>
      <family val="2"/>
    </font>
    <font>
      <sz val="10"/>
      <name val="Arial"/>
      <family val="2"/>
    </font>
    <font>
      <b/>
      <u/>
      <sz val="11"/>
      <color theme="1"/>
      <name val="Calibri"/>
      <family val="2"/>
      <scheme val="minor"/>
    </font>
  </fonts>
  <fills count="26">
    <fill>
      <patternFill patternType="none"/>
    </fill>
    <fill>
      <patternFill patternType="gray125"/>
    </fill>
    <fill>
      <patternFill patternType="solid">
        <fgColor theme="0" tint="-4.9989318521683403E-2"/>
        <bgColor indexed="64"/>
      </patternFill>
    </fill>
    <fill>
      <patternFill patternType="solid">
        <fgColor rgb="FF132E57"/>
        <bgColor indexed="64"/>
      </patternFill>
    </fill>
    <fill>
      <patternFill patternType="solid">
        <fgColor rgb="FF1E8496"/>
        <bgColor indexed="64"/>
      </patternFill>
    </fill>
    <fill>
      <patternFill patternType="solid">
        <fgColor rgb="FFED942D"/>
        <bgColor indexed="64"/>
      </patternFill>
    </fill>
    <fill>
      <patternFill patternType="solid">
        <fgColor theme="7" tint="0.79998168889431442"/>
        <bgColor indexed="64"/>
      </patternFill>
    </fill>
    <fill>
      <patternFill patternType="solid">
        <fgColor rgb="FFFFFF00"/>
        <bgColor indexed="64"/>
      </patternFill>
    </fill>
    <fill>
      <patternFill patternType="solid">
        <fgColor rgb="FF1F497D"/>
        <bgColor rgb="FF000000"/>
      </patternFill>
    </fill>
    <fill>
      <patternFill patternType="solid">
        <fgColor rgb="FFE7E6E6"/>
        <bgColor indexed="64"/>
      </patternFill>
    </fill>
    <fill>
      <patternFill patternType="solid">
        <fgColor rgb="FF305496"/>
        <bgColor indexed="64"/>
      </patternFill>
    </fill>
    <fill>
      <patternFill patternType="solid">
        <fgColor rgb="FFF2F2F2"/>
        <bgColor rgb="FF000000"/>
      </patternFill>
    </fill>
    <fill>
      <patternFill patternType="solid">
        <fgColor rgb="FFED942D"/>
        <bgColor rgb="FF000000"/>
      </patternFill>
    </fill>
    <fill>
      <patternFill patternType="solid">
        <fgColor theme="8"/>
        <bgColor indexed="64"/>
      </patternFill>
    </fill>
    <fill>
      <patternFill patternType="solid">
        <fgColor theme="8"/>
        <bgColor rgb="FF000000"/>
      </patternFill>
    </fill>
    <fill>
      <patternFill patternType="solid">
        <fgColor rgb="FF8DB4E2"/>
        <bgColor rgb="FF000000"/>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bgColor rgb="FF000000"/>
      </patternFill>
    </fill>
    <fill>
      <patternFill patternType="solid">
        <fgColor theme="3" tint="-0.249977111117893"/>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rgb="FFFFF5D2"/>
        <bgColor indexed="64"/>
      </patternFill>
    </fill>
    <fill>
      <patternFill patternType="solid">
        <fgColor rgb="FF16365C"/>
        <bgColor indexed="64"/>
      </patternFill>
    </fill>
    <fill>
      <patternFill patternType="solid">
        <fgColor theme="4"/>
        <bgColor indexed="64"/>
      </patternFill>
    </fill>
    <fill>
      <patternFill patternType="solid">
        <fgColor theme="0" tint="-0.14999847407452621"/>
        <bgColor indexed="64"/>
      </patternFill>
    </fill>
  </fills>
  <borders count="3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
      <left/>
      <right style="thin">
        <color indexed="64"/>
      </right>
      <top/>
      <bottom/>
      <diagonal/>
    </border>
    <border>
      <left style="dotted">
        <color auto="1"/>
      </left>
      <right style="dotted">
        <color auto="1"/>
      </right>
      <top style="dotted">
        <color auto="1"/>
      </top>
      <bottom style="dotted">
        <color auto="1"/>
      </bottom>
      <diagonal/>
    </border>
    <border>
      <left/>
      <right/>
      <top/>
      <bottom style="thick">
        <color indexed="64"/>
      </bottom>
      <diagonal/>
    </border>
    <border>
      <left/>
      <right/>
      <top style="thin">
        <color rgb="FFBFBFBF"/>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double">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theme="0" tint="-0.24994659260841701"/>
      </top>
      <bottom style="thin">
        <color indexed="64"/>
      </bottom>
      <diagonal/>
    </border>
    <border>
      <left/>
      <right/>
      <top style="thin">
        <color theme="0" tint="-0.24994659260841701"/>
      </top>
      <bottom style="thin">
        <color indexed="64"/>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style="thin">
        <color indexed="64"/>
      </left>
      <right/>
      <top style="thin">
        <color theme="0" tint="-0.24994659260841701"/>
      </top>
      <bottom/>
      <diagonal/>
    </border>
    <border>
      <left/>
      <right style="thin">
        <color rgb="FF000000"/>
      </right>
      <top style="thin">
        <color theme="0" tint="-0.24994659260841701"/>
      </top>
      <bottom style="thin">
        <color theme="0" tint="-0.24994659260841701"/>
      </bottom>
      <diagonal/>
    </border>
    <border>
      <left/>
      <right style="thin">
        <color indexed="64"/>
      </right>
      <top style="thin">
        <color indexed="64"/>
      </top>
      <bottom style="thin">
        <color theme="0" tint="-0.24994659260841701"/>
      </bottom>
      <diagonal/>
    </border>
    <border>
      <left/>
      <right/>
      <top style="thin">
        <color auto="1"/>
      </top>
      <bottom style="thin">
        <color theme="0" tint="-0.24994659260841701"/>
      </bottom>
      <diagonal/>
    </border>
    <border>
      <left style="thin">
        <color indexed="64"/>
      </left>
      <right/>
      <top style="thin">
        <color auto="1"/>
      </top>
      <bottom style="thin">
        <color theme="0" tint="-0.24994659260841701"/>
      </bottom>
      <diagonal/>
    </border>
    <border>
      <left/>
      <right/>
      <top/>
      <bottom style="thin">
        <color theme="0" tint="-0.24994659260841701"/>
      </bottom>
      <diagonal/>
    </border>
    <border>
      <left/>
      <right/>
      <top style="thin">
        <color theme="0"/>
      </top>
      <bottom/>
      <diagonal/>
    </border>
    <border>
      <left style="thin">
        <color theme="0" tint="-0.24994659260841701"/>
      </left>
      <right/>
      <top/>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s>
  <cellStyleXfs count="9">
    <xf numFmtId="0" fontId="0" fillId="0" borderId="0"/>
    <xf numFmtId="43" fontId="2" fillId="0" borderId="0" applyFont="0" applyFill="0" applyBorder="0" applyAlignment="0" applyProtection="0"/>
    <xf numFmtId="9" fontId="2" fillId="0" borderId="0" applyFont="0" applyFill="0" applyBorder="0" applyAlignment="0" applyProtection="0"/>
    <xf numFmtId="164" fontId="1" fillId="0" borderId="0" applyFont="0" applyFill="0" applyBorder="0" applyAlignment="0" applyProtection="0"/>
    <xf numFmtId="0" fontId="2" fillId="0" borderId="0"/>
    <xf numFmtId="0" fontId="16" fillId="0" borderId="0" applyNumberFormat="0" applyFill="0" applyBorder="0" applyAlignment="0" applyProtection="0"/>
    <xf numFmtId="0" fontId="2" fillId="0" borderId="0"/>
    <xf numFmtId="0" fontId="16" fillId="0" borderId="0" applyNumberFormat="0" applyFill="0" applyBorder="0" applyAlignment="0" applyProtection="0"/>
    <xf numFmtId="0" fontId="76" fillId="0" borderId="0"/>
  </cellStyleXfs>
  <cellXfs count="470">
    <xf numFmtId="0" fontId="0" fillId="0" borderId="0" xfId="0"/>
    <xf numFmtId="167" fontId="10" fillId="0" borderId="2" xfId="2" applyNumberFormat="1" applyFont="1" applyFill="1" applyBorder="1" applyProtection="1">
      <protection locked="0"/>
    </xf>
    <xf numFmtId="167" fontId="11" fillId="0" borderId="2" xfId="2" applyNumberFormat="1" applyFont="1" applyFill="1" applyBorder="1" applyProtection="1">
      <protection locked="0"/>
    </xf>
    <xf numFmtId="165" fontId="3" fillId="0" borderId="2" xfId="1" applyNumberFormat="1" applyFont="1" applyBorder="1" applyProtection="1">
      <protection locked="0"/>
    </xf>
    <xf numFmtId="165" fontId="3" fillId="0" borderId="0" xfId="1" applyNumberFormat="1" applyFont="1" applyFill="1" applyProtection="1">
      <protection locked="0"/>
    </xf>
    <xf numFmtId="165" fontId="3" fillId="0" borderId="0" xfId="1" applyNumberFormat="1" applyFont="1" applyBorder="1" applyProtection="1">
      <protection locked="0"/>
    </xf>
    <xf numFmtId="165" fontId="3" fillId="0" borderId="0" xfId="1" applyNumberFormat="1" applyFont="1" applyProtection="1">
      <protection locked="0"/>
    </xf>
    <xf numFmtId="165" fontId="6" fillId="0" borderId="0" xfId="1" applyNumberFormat="1" applyFont="1" applyProtection="1">
      <protection locked="0"/>
    </xf>
    <xf numFmtId="165" fontId="3" fillId="0" borderId="0" xfId="1" applyNumberFormat="1" applyFont="1" applyAlignment="1" applyProtection="1">
      <alignment horizontal="center"/>
      <protection locked="0"/>
    </xf>
    <xf numFmtId="165" fontId="10" fillId="0" borderId="0" xfId="1" applyNumberFormat="1" applyFont="1" applyProtection="1">
      <protection locked="0"/>
    </xf>
    <xf numFmtId="165" fontId="6" fillId="0" borderId="0" xfId="1" applyNumberFormat="1" applyFont="1" applyBorder="1" applyAlignment="1" applyProtection="1">
      <alignment horizontal="center"/>
      <protection locked="0"/>
    </xf>
    <xf numFmtId="165" fontId="11" fillId="0" borderId="0" xfId="1" applyNumberFormat="1" applyFont="1" applyProtection="1">
      <protection locked="0"/>
    </xf>
    <xf numFmtId="165" fontId="4" fillId="0" borderId="0" xfId="1" applyNumberFormat="1" applyFont="1" applyAlignment="1" applyProtection="1">
      <protection locked="0"/>
    </xf>
    <xf numFmtId="165" fontId="7" fillId="0" borderId="0" xfId="1" applyNumberFormat="1" applyFont="1" applyAlignment="1" applyProtection="1">
      <alignment horizontal="right"/>
      <protection locked="0"/>
    </xf>
    <xf numFmtId="165" fontId="11" fillId="0" borderId="0" xfId="1" applyNumberFormat="1" applyFont="1" applyFill="1" applyProtection="1">
      <protection locked="0"/>
    </xf>
    <xf numFmtId="165" fontId="10" fillId="0" borderId="0" xfId="1" applyNumberFormat="1" applyFont="1" applyFill="1" applyProtection="1">
      <protection locked="0"/>
    </xf>
    <xf numFmtId="165" fontId="3" fillId="0" borderId="0" xfId="1" applyNumberFormat="1" applyFont="1" applyFill="1" applyBorder="1" applyProtection="1">
      <protection locked="0"/>
    </xf>
    <xf numFmtId="165" fontId="3" fillId="0" borderId="0" xfId="1" applyNumberFormat="1" applyFont="1" applyFill="1" applyBorder="1" applyAlignment="1" applyProtection="1">
      <alignment horizontal="center"/>
      <protection locked="0"/>
    </xf>
    <xf numFmtId="9" fontId="6" fillId="0" borderId="0" xfId="2" applyFont="1" applyFill="1" applyBorder="1" applyProtection="1">
      <protection locked="0"/>
    </xf>
    <xf numFmtId="10" fontId="3" fillId="0" borderId="0" xfId="2" applyNumberFormat="1" applyFont="1" applyFill="1" applyBorder="1" applyProtection="1">
      <protection locked="0"/>
    </xf>
    <xf numFmtId="165" fontId="6" fillId="0" borderId="2" xfId="1" applyNumberFormat="1" applyFont="1" applyBorder="1" applyProtection="1">
      <protection locked="0"/>
    </xf>
    <xf numFmtId="165" fontId="6" fillId="0" borderId="2" xfId="1" applyNumberFormat="1" applyFont="1" applyBorder="1" applyAlignment="1" applyProtection="1">
      <alignment horizontal="center"/>
      <protection locked="0"/>
    </xf>
    <xf numFmtId="165" fontId="8" fillId="0" borderId="2" xfId="1" applyNumberFormat="1" applyFont="1" applyFill="1" applyBorder="1" applyProtection="1">
      <protection locked="0"/>
    </xf>
    <xf numFmtId="165" fontId="3" fillId="0" borderId="0" xfId="1" applyNumberFormat="1" applyFont="1" applyBorder="1" applyAlignment="1" applyProtection="1">
      <alignment horizontal="center"/>
      <protection locked="0"/>
    </xf>
    <xf numFmtId="167" fontId="11" fillId="0" borderId="0" xfId="2" applyNumberFormat="1" applyFont="1" applyFill="1" applyBorder="1" applyProtection="1">
      <protection locked="0"/>
    </xf>
    <xf numFmtId="167" fontId="10" fillId="0" borderId="0" xfId="2" applyNumberFormat="1" applyFont="1" applyFill="1" applyBorder="1" applyProtection="1">
      <protection locked="0"/>
    </xf>
    <xf numFmtId="165" fontId="11" fillId="0" borderId="0" xfId="1" applyNumberFormat="1" applyFont="1" applyFill="1" applyBorder="1" applyProtection="1">
      <protection locked="0"/>
    </xf>
    <xf numFmtId="165" fontId="10" fillId="0" borderId="0" xfId="1" applyNumberFormat="1" applyFont="1" applyFill="1" applyBorder="1" applyProtection="1">
      <protection locked="0"/>
    </xf>
    <xf numFmtId="165" fontId="7" fillId="0" borderId="0" xfId="1" applyNumberFormat="1" applyFont="1" applyBorder="1" applyProtection="1">
      <protection locked="0"/>
    </xf>
    <xf numFmtId="165" fontId="7" fillId="0" borderId="0" xfId="1" applyNumberFormat="1" applyFont="1" applyBorder="1" applyAlignment="1" applyProtection="1">
      <alignment horizontal="center"/>
      <protection locked="0"/>
    </xf>
    <xf numFmtId="9" fontId="10" fillId="0" borderId="0" xfId="2" applyFont="1" applyFill="1" applyAlignment="1" applyProtection="1">
      <alignment horizontal="center"/>
      <protection locked="0"/>
    </xf>
    <xf numFmtId="165" fontId="6" fillId="0" borderId="0" xfId="1" applyNumberFormat="1" applyFont="1" applyBorder="1" applyProtection="1">
      <protection locked="0"/>
    </xf>
    <xf numFmtId="165" fontId="9" fillId="0" borderId="0" xfId="1" applyNumberFormat="1" applyFont="1" applyBorder="1" applyProtection="1">
      <protection locked="0"/>
    </xf>
    <xf numFmtId="165" fontId="8" fillId="0" borderId="0" xfId="1" applyNumberFormat="1" applyFont="1" applyBorder="1" applyProtection="1">
      <protection locked="0"/>
    </xf>
    <xf numFmtId="165" fontId="6" fillId="0" borderId="0" xfId="1" applyNumberFormat="1" applyFont="1" applyAlignment="1" applyProtection="1">
      <alignment horizontal="center"/>
      <protection locked="0"/>
    </xf>
    <xf numFmtId="165" fontId="8" fillId="0" borderId="2" xfId="1" applyNumberFormat="1" applyFont="1" applyBorder="1" applyProtection="1">
      <protection locked="0"/>
    </xf>
    <xf numFmtId="165" fontId="3" fillId="0" borderId="1" xfId="1" applyNumberFormat="1" applyFont="1" applyBorder="1" applyProtection="1">
      <protection locked="0"/>
    </xf>
    <xf numFmtId="165" fontId="3" fillId="0" borderId="1" xfId="1" applyNumberFormat="1" applyFont="1" applyBorder="1" applyAlignment="1" applyProtection="1">
      <alignment horizontal="center"/>
      <protection locked="0"/>
    </xf>
    <xf numFmtId="165" fontId="6" fillId="0" borderId="4" xfId="1" applyNumberFormat="1" applyFont="1" applyBorder="1" applyProtection="1">
      <protection locked="0"/>
    </xf>
    <xf numFmtId="165" fontId="6" fillId="0" borderId="4" xfId="1" applyNumberFormat="1" applyFont="1" applyBorder="1" applyAlignment="1" applyProtection="1">
      <alignment horizontal="center"/>
      <protection locked="0"/>
    </xf>
    <xf numFmtId="0" fontId="0" fillId="0" borderId="0" xfId="0" applyProtection="1">
      <protection locked="0"/>
    </xf>
    <xf numFmtId="165" fontId="6" fillId="0" borderId="3" xfId="1" applyNumberFormat="1" applyFont="1" applyBorder="1" applyProtection="1">
      <protection locked="0"/>
    </xf>
    <xf numFmtId="165" fontId="6" fillId="0" borderId="3" xfId="1" applyNumberFormat="1" applyFont="1" applyBorder="1" applyAlignment="1" applyProtection="1">
      <alignment horizontal="center"/>
      <protection locked="0"/>
    </xf>
    <xf numFmtId="165" fontId="7" fillId="0" borderId="0" xfId="1" applyNumberFormat="1" applyFont="1" applyProtection="1">
      <protection locked="0"/>
    </xf>
    <xf numFmtId="166" fontId="7" fillId="0" borderId="0" xfId="1" applyNumberFormat="1" applyFont="1" applyProtection="1">
      <protection locked="0"/>
    </xf>
    <xf numFmtId="166" fontId="7" fillId="0" borderId="0" xfId="1" applyNumberFormat="1" applyFont="1" applyAlignment="1" applyProtection="1">
      <alignment horizontal="center"/>
      <protection locked="0"/>
    </xf>
    <xf numFmtId="165" fontId="3" fillId="0" borderId="2" xfId="1" applyNumberFormat="1" applyFont="1" applyBorder="1" applyAlignment="1" applyProtection="1">
      <alignment horizontal="center"/>
      <protection locked="0"/>
    </xf>
    <xf numFmtId="165" fontId="11" fillId="0" borderId="0" xfId="1" applyNumberFormat="1" applyFont="1" applyBorder="1" applyProtection="1">
      <protection locked="0"/>
    </xf>
    <xf numFmtId="165" fontId="13" fillId="3" borderId="0" xfId="1" applyNumberFormat="1" applyFont="1" applyFill="1" applyProtection="1">
      <protection locked="0"/>
    </xf>
    <xf numFmtId="165" fontId="3" fillId="3" borderId="0" xfId="1" applyNumberFormat="1" applyFont="1" applyFill="1" applyProtection="1">
      <protection locked="0"/>
    </xf>
    <xf numFmtId="165" fontId="3" fillId="3" borderId="0" xfId="1" applyNumberFormat="1" applyFont="1" applyFill="1" applyAlignment="1" applyProtection="1">
      <alignment horizontal="center"/>
      <protection locked="0"/>
    </xf>
    <xf numFmtId="165" fontId="15" fillId="3" borderId="0" xfId="1" applyNumberFormat="1" applyFont="1" applyFill="1" applyAlignment="1" applyProtection="1">
      <protection locked="0"/>
    </xf>
    <xf numFmtId="165" fontId="5" fillId="3" borderId="0" xfId="1" applyNumberFormat="1" applyFont="1" applyFill="1" applyAlignment="1" applyProtection="1">
      <protection locked="0"/>
    </xf>
    <xf numFmtId="165" fontId="5" fillId="3" borderId="0" xfId="1" applyNumberFormat="1" applyFont="1" applyFill="1" applyAlignment="1" applyProtection="1">
      <alignment horizontal="center"/>
      <protection locked="0"/>
    </xf>
    <xf numFmtId="165" fontId="14" fillId="3" borderId="0" xfId="1" applyNumberFormat="1" applyFont="1" applyFill="1" applyAlignment="1" applyProtection="1">
      <alignment horizontal="centerContinuous"/>
      <protection locked="0"/>
    </xf>
    <xf numFmtId="165" fontId="12" fillId="3" borderId="0" xfId="1" applyNumberFormat="1" applyFont="1" applyFill="1" applyAlignment="1" applyProtection="1">
      <alignment horizontal="centerContinuous"/>
      <protection locked="0"/>
    </xf>
    <xf numFmtId="0" fontId="5" fillId="3" borderId="0" xfId="1" applyNumberFormat="1" applyFont="1" applyFill="1" applyAlignment="1" applyProtection="1">
      <protection locked="0"/>
    </xf>
    <xf numFmtId="165" fontId="14" fillId="4" borderId="0" xfId="1" applyNumberFormat="1" applyFont="1" applyFill="1" applyAlignment="1" applyProtection="1">
      <alignment horizontal="centerContinuous"/>
      <protection locked="0"/>
    </xf>
    <xf numFmtId="165" fontId="12" fillId="4" borderId="0" xfId="1" applyNumberFormat="1" applyFont="1" applyFill="1" applyAlignment="1" applyProtection="1">
      <alignment horizontal="centerContinuous"/>
      <protection locked="0"/>
    </xf>
    <xf numFmtId="0" fontId="5" fillId="4" borderId="0" xfId="1" applyNumberFormat="1" applyFont="1" applyFill="1" applyAlignment="1" applyProtection="1">
      <protection locked="0"/>
    </xf>
    <xf numFmtId="165" fontId="15" fillId="5" borderId="0" xfId="3" applyNumberFormat="1" applyFont="1" applyFill="1" applyBorder="1" applyProtection="1">
      <protection locked="0"/>
    </xf>
    <xf numFmtId="168" fontId="10" fillId="0" borderId="0" xfId="1" applyNumberFormat="1" applyFont="1" applyFill="1" applyBorder="1" applyProtection="1">
      <protection locked="0"/>
    </xf>
    <xf numFmtId="0" fontId="17" fillId="0" borderId="0" xfId="0" applyFont="1"/>
    <xf numFmtId="168" fontId="10" fillId="0" borderId="2" xfId="1" applyNumberFormat="1" applyFont="1" applyFill="1" applyBorder="1" applyProtection="1">
      <protection locked="0"/>
    </xf>
    <xf numFmtId="165" fontId="7" fillId="2" borderId="6" xfId="1" applyNumberFormat="1" applyFont="1" applyFill="1" applyBorder="1" applyAlignment="1" applyProtection="1">
      <alignment horizontal="right"/>
      <protection locked="0"/>
    </xf>
    <xf numFmtId="170" fontId="9" fillId="0" borderId="0" xfId="1" applyNumberFormat="1" applyFont="1" applyProtection="1">
      <protection locked="0"/>
    </xf>
    <xf numFmtId="170" fontId="6" fillId="0" borderId="0" xfId="1" applyNumberFormat="1" applyFont="1" applyFill="1" applyProtection="1">
      <protection locked="0"/>
    </xf>
    <xf numFmtId="170" fontId="10" fillId="0" borderId="0" xfId="1" applyNumberFormat="1" applyFont="1" applyBorder="1" applyProtection="1">
      <protection locked="0"/>
    </xf>
    <xf numFmtId="170" fontId="3" fillId="0" borderId="0" xfId="1" applyNumberFormat="1" applyFont="1" applyFill="1" applyBorder="1" applyProtection="1">
      <protection locked="0"/>
    </xf>
    <xf numFmtId="170" fontId="8" fillId="0" borderId="2" xfId="1" applyNumberFormat="1" applyFont="1" applyBorder="1" applyProtection="1">
      <protection locked="0"/>
    </xf>
    <xf numFmtId="170" fontId="9" fillId="0" borderId="0" xfId="2" applyNumberFormat="1" applyFont="1" applyBorder="1" applyProtection="1">
      <protection locked="0"/>
    </xf>
    <xf numFmtId="170" fontId="8" fillId="0" borderId="0" xfId="1" applyNumberFormat="1" applyFont="1" applyBorder="1" applyProtection="1">
      <protection locked="0"/>
    </xf>
    <xf numFmtId="170" fontId="10" fillId="0" borderId="0" xfId="1" applyNumberFormat="1" applyFont="1" applyProtection="1">
      <protection locked="0"/>
    </xf>
    <xf numFmtId="170" fontId="3" fillId="0" borderId="0" xfId="1" applyNumberFormat="1" applyFont="1" applyFill="1" applyProtection="1">
      <protection locked="0"/>
    </xf>
    <xf numFmtId="170" fontId="10" fillId="0" borderId="1" xfId="1" applyNumberFormat="1" applyFont="1" applyBorder="1" applyProtection="1">
      <protection locked="0"/>
    </xf>
    <xf numFmtId="170" fontId="9" fillId="0" borderId="0" xfId="1" applyNumberFormat="1" applyFont="1" applyBorder="1" applyProtection="1">
      <protection locked="0"/>
    </xf>
    <xf numFmtId="170" fontId="8" fillId="0" borderId="4" xfId="1" applyNumberFormat="1" applyFont="1" applyBorder="1" applyProtection="1">
      <protection locked="0"/>
    </xf>
    <xf numFmtId="170" fontId="3" fillId="0" borderId="0" xfId="1" applyNumberFormat="1" applyFont="1" applyProtection="1">
      <protection locked="0"/>
    </xf>
    <xf numFmtId="170" fontId="6" fillId="0" borderId="4" xfId="1" applyNumberFormat="1" applyFont="1" applyBorder="1" applyProtection="1">
      <protection locked="0"/>
    </xf>
    <xf numFmtId="170" fontId="6" fillId="0" borderId="0" xfId="1" applyNumberFormat="1" applyFont="1" applyBorder="1" applyProtection="1">
      <protection locked="0"/>
    </xf>
    <xf numFmtId="170" fontId="6" fillId="0" borderId="2" xfId="1" applyNumberFormat="1" applyFont="1" applyBorder="1" applyProtection="1">
      <protection locked="0"/>
    </xf>
    <xf numFmtId="170" fontId="8" fillId="0" borderId="3" xfId="1" applyNumberFormat="1" applyFont="1" applyBorder="1" applyProtection="1">
      <protection locked="0"/>
    </xf>
    <xf numFmtId="170" fontId="6" fillId="0" borderId="3" xfId="1" applyNumberFormat="1" applyFont="1" applyBorder="1" applyProtection="1">
      <protection locked="0"/>
    </xf>
    <xf numFmtId="171" fontId="8" fillId="0" borderId="2" xfId="1" applyNumberFormat="1" applyFont="1" applyBorder="1" applyProtection="1">
      <protection locked="0"/>
    </xf>
    <xf numFmtId="171" fontId="9" fillId="0" borderId="0" xfId="1" applyNumberFormat="1" applyFont="1" applyBorder="1" applyProtection="1">
      <protection locked="0"/>
    </xf>
    <xf numFmtId="171" fontId="10" fillId="0" borderId="0" xfId="1" applyNumberFormat="1" applyFont="1" applyBorder="1" applyProtection="1">
      <protection locked="0"/>
    </xf>
    <xf numFmtId="171" fontId="11" fillId="0" borderId="0" xfId="1" applyNumberFormat="1" applyFont="1" applyFill="1" applyBorder="1" applyProtection="1">
      <protection locked="0"/>
    </xf>
    <xf numFmtId="171" fontId="10" fillId="0" borderId="0" xfId="1" applyNumberFormat="1" applyFont="1" applyFill="1" applyBorder="1" applyProtection="1">
      <protection locked="0"/>
    </xf>
    <xf numFmtId="167" fontId="11" fillId="0" borderId="0" xfId="1" applyNumberFormat="1" applyFont="1" applyProtection="1">
      <protection locked="0"/>
    </xf>
    <xf numFmtId="167" fontId="11" fillId="0" borderId="0" xfId="1" applyNumberFormat="1" applyFont="1" applyBorder="1" applyProtection="1">
      <protection locked="0"/>
    </xf>
    <xf numFmtId="165" fontId="3" fillId="7" borderId="0" xfId="1" applyNumberFormat="1" applyFont="1" applyFill="1" applyProtection="1">
      <protection locked="0"/>
    </xf>
    <xf numFmtId="0" fontId="18" fillId="0" borderId="0" xfId="0" applyFont="1"/>
    <xf numFmtId="0" fontId="19" fillId="0" borderId="0" xfId="0" applyFont="1"/>
    <xf numFmtId="0" fontId="20" fillId="0" borderId="0" xfId="0" applyFont="1"/>
    <xf numFmtId="0" fontId="21" fillId="8" borderId="1" xfId="0" applyFont="1" applyFill="1" applyBorder="1"/>
    <xf numFmtId="0" fontId="21" fillId="8" borderId="0" xfId="0" applyFont="1" applyFill="1"/>
    <xf numFmtId="165" fontId="23" fillId="0" borderId="0" xfId="1" applyNumberFormat="1" applyFont="1" applyProtection="1">
      <protection locked="0"/>
    </xf>
    <xf numFmtId="170" fontId="24" fillId="0" borderId="0" xfId="1" applyNumberFormat="1" applyFont="1" applyProtection="1">
      <protection locked="0"/>
    </xf>
    <xf numFmtId="0" fontId="22" fillId="8" borderId="0" xfId="0" applyFont="1" applyFill="1"/>
    <xf numFmtId="10" fontId="18" fillId="0" borderId="0" xfId="0" applyNumberFormat="1" applyFont="1"/>
    <xf numFmtId="0" fontId="18" fillId="8" borderId="0" xfId="0" applyFont="1" applyFill="1"/>
    <xf numFmtId="167" fontId="25" fillId="0" borderId="0" xfId="1" applyNumberFormat="1" applyFont="1" applyProtection="1">
      <protection locked="0"/>
    </xf>
    <xf numFmtId="0" fontId="17" fillId="9" borderId="0" xfId="0" applyFont="1" applyFill="1"/>
    <xf numFmtId="10" fontId="17" fillId="9" borderId="0" xfId="0" applyNumberFormat="1" applyFont="1" applyFill="1"/>
    <xf numFmtId="0" fontId="26" fillId="9" borderId="0" xfId="0" applyFont="1" applyFill="1"/>
    <xf numFmtId="10" fontId="26" fillId="9" borderId="0" xfId="0" applyNumberFormat="1" applyFont="1" applyFill="1"/>
    <xf numFmtId="167" fontId="24" fillId="0" borderId="0" xfId="2" applyNumberFormat="1" applyFont="1" applyProtection="1">
      <protection locked="0"/>
    </xf>
    <xf numFmtId="0" fontId="21" fillId="10" borderId="0" xfId="0" applyFont="1" applyFill="1"/>
    <xf numFmtId="10" fontId="0" fillId="0" borderId="0" xfId="0" applyNumberFormat="1"/>
    <xf numFmtId="170" fontId="8" fillId="0" borderId="0" xfId="1" applyNumberFormat="1" applyFont="1" applyFill="1" applyBorder="1" applyProtection="1">
      <protection locked="0"/>
    </xf>
    <xf numFmtId="170" fontId="11" fillId="0" borderId="1" xfId="1" applyNumberFormat="1" applyFont="1" applyFill="1" applyBorder="1" applyProtection="1">
      <protection locked="0"/>
    </xf>
    <xf numFmtId="170" fontId="8" fillId="0" borderId="0" xfId="2" applyNumberFormat="1" applyFont="1" applyFill="1" applyBorder="1" applyProtection="1">
      <protection locked="0"/>
    </xf>
    <xf numFmtId="170" fontId="11" fillId="0" borderId="0" xfId="1" applyNumberFormat="1" applyFont="1" applyFill="1" applyProtection="1">
      <protection locked="0"/>
    </xf>
    <xf numFmtId="172" fontId="11" fillId="0" borderId="0" xfId="1" applyNumberFormat="1" applyFont="1" applyFill="1" applyProtection="1">
      <protection locked="0"/>
    </xf>
    <xf numFmtId="2" fontId="8" fillId="0" borderId="0" xfId="1" applyNumberFormat="1" applyFont="1" applyFill="1" applyProtection="1">
      <protection locked="0"/>
    </xf>
    <xf numFmtId="167" fontId="11" fillId="0" borderId="0" xfId="1" applyNumberFormat="1" applyFont="1" applyFill="1" applyProtection="1">
      <protection locked="0"/>
    </xf>
    <xf numFmtId="170" fontId="11" fillId="7" borderId="0" xfId="1" applyNumberFormat="1" applyFont="1" applyFill="1" applyProtection="1">
      <protection locked="0"/>
    </xf>
    <xf numFmtId="165" fontId="11" fillId="7" borderId="0" xfId="1" applyNumberFormat="1" applyFont="1" applyFill="1" applyProtection="1">
      <protection locked="0"/>
    </xf>
    <xf numFmtId="170" fontId="8" fillId="0" borderId="0" xfId="1" applyNumberFormat="1" applyFont="1" applyProtection="1">
      <protection locked="0"/>
    </xf>
    <xf numFmtId="170" fontId="8" fillId="0" borderId="2" xfId="1" applyNumberFormat="1" applyFont="1" applyFill="1" applyBorder="1" applyProtection="1">
      <protection locked="0"/>
    </xf>
    <xf numFmtId="170" fontId="9" fillId="0" borderId="0" xfId="1" applyNumberFormat="1" applyFont="1" applyFill="1" applyBorder="1" applyProtection="1">
      <protection locked="0"/>
    </xf>
    <xf numFmtId="170" fontId="10" fillId="0" borderId="0" xfId="1" applyNumberFormat="1" applyFont="1" applyFill="1" applyBorder="1" applyProtection="1">
      <protection locked="0"/>
    </xf>
    <xf numFmtId="170" fontId="10" fillId="0" borderId="0" xfId="1" applyNumberFormat="1" applyFont="1" applyFill="1" applyProtection="1">
      <protection locked="0"/>
    </xf>
    <xf numFmtId="167" fontId="11" fillId="0" borderId="0" xfId="1" applyNumberFormat="1" applyFont="1" applyFill="1" applyBorder="1" applyProtection="1">
      <protection locked="0"/>
    </xf>
    <xf numFmtId="170" fontId="9" fillId="0" borderId="0" xfId="2" applyNumberFormat="1" applyFont="1" applyFill="1" applyBorder="1" applyProtection="1">
      <protection locked="0"/>
    </xf>
    <xf numFmtId="170" fontId="9" fillId="0" borderId="0" xfId="1" applyNumberFormat="1" applyFont="1" applyFill="1" applyProtection="1">
      <protection locked="0"/>
    </xf>
    <xf numFmtId="170" fontId="24" fillId="0" borderId="0" xfId="1" applyNumberFormat="1" applyFont="1" applyFill="1" applyProtection="1">
      <protection locked="0"/>
    </xf>
    <xf numFmtId="170" fontId="10" fillId="0" borderId="1" xfId="1" applyNumberFormat="1" applyFont="1" applyFill="1" applyBorder="1" applyProtection="1">
      <protection locked="0"/>
    </xf>
    <xf numFmtId="170" fontId="11" fillId="0" borderId="0" xfId="1" applyNumberFormat="1" applyFont="1" applyBorder="1" applyProtection="1">
      <protection locked="0"/>
    </xf>
    <xf numFmtId="172" fontId="10" fillId="0" borderId="0" xfId="1" applyNumberFormat="1" applyFont="1" applyProtection="1">
      <protection locked="0"/>
    </xf>
    <xf numFmtId="172" fontId="24" fillId="0" borderId="0" xfId="1" applyNumberFormat="1" applyFont="1" applyProtection="1">
      <protection locked="0"/>
    </xf>
    <xf numFmtId="172" fontId="3" fillId="0" borderId="0" xfId="1" applyNumberFormat="1" applyFont="1" applyProtection="1">
      <protection locked="0"/>
    </xf>
    <xf numFmtId="172" fontId="3" fillId="0" borderId="0" xfId="1" applyNumberFormat="1" applyFont="1" applyProtection="1"/>
    <xf numFmtId="172" fontId="11" fillId="0" borderId="2" xfId="1" applyNumberFormat="1" applyFont="1" applyBorder="1" applyProtection="1">
      <protection locked="0"/>
    </xf>
    <xf numFmtId="172" fontId="11" fillId="0" borderId="0" xfId="1" applyNumberFormat="1" applyFont="1" applyProtection="1">
      <protection locked="0"/>
    </xf>
    <xf numFmtId="0" fontId="28" fillId="0" borderId="0" xfId="0" applyFont="1"/>
    <xf numFmtId="0" fontId="28" fillId="0" borderId="7" xfId="0" applyFont="1" applyBorder="1"/>
    <xf numFmtId="0" fontId="28" fillId="0" borderId="7" xfId="0" applyFont="1" applyBorder="1" applyAlignment="1">
      <alignment wrapText="1"/>
    </xf>
    <xf numFmtId="0" fontId="28" fillId="0" borderId="0" xfId="0" applyFont="1" applyAlignment="1">
      <alignment wrapText="1"/>
    </xf>
    <xf numFmtId="0" fontId="30" fillId="0" borderId="0" xfId="0" applyFont="1" applyAlignment="1">
      <alignment horizontal="center" vertical="center" wrapText="1"/>
    </xf>
    <xf numFmtId="0" fontId="32" fillId="0" borderId="0" xfId="0" applyFont="1"/>
    <xf numFmtId="165" fontId="7" fillId="0" borderId="1" xfId="1" applyNumberFormat="1" applyFont="1" applyBorder="1" applyProtection="1">
      <protection locked="0"/>
    </xf>
    <xf numFmtId="172" fontId="10" fillId="0" borderId="1" xfId="1" applyNumberFormat="1" applyFont="1" applyBorder="1" applyProtection="1">
      <protection locked="0"/>
    </xf>
    <xf numFmtId="172" fontId="3" fillId="0" borderId="1" xfId="1" applyNumberFormat="1" applyFont="1" applyBorder="1" applyProtection="1"/>
    <xf numFmtId="165" fontId="7" fillId="0" borderId="0" xfId="1" applyNumberFormat="1" applyFont="1" applyFill="1" applyBorder="1" applyProtection="1">
      <protection locked="0"/>
    </xf>
    <xf numFmtId="165" fontId="7" fillId="0" borderId="0" xfId="1" applyNumberFormat="1" applyFont="1" applyFill="1" applyBorder="1" applyAlignment="1" applyProtection="1">
      <alignment horizontal="center"/>
      <protection locked="0"/>
    </xf>
    <xf numFmtId="172" fontId="3" fillId="7" borderId="0" xfId="1" applyNumberFormat="1" applyFont="1" applyFill="1" applyProtection="1">
      <protection locked="0"/>
    </xf>
    <xf numFmtId="165" fontId="3" fillId="7" borderId="0" xfId="1" applyNumberFormat="1" applyFont="1" applyFill="1" applyBorder="1" applyProtection="1">
      <protection locked="0"/>
    </xf>
    <xf numFmtId="167" fontId="10" fillId="0" borderId="0" xfId="1" applyNumberFormat="1" applyFont="1" applyFill="1" applyProtection="1">
      <protection locked="0"/>
    </xf>
    <xf numFmtId="167" fontId="10" fillId="0" borderId="0" xfId="2" applyNumberFormat="1" applyFont="1" applyProtection="1">
      <protection locked="0"/>
    </xf>
    <xf numFmtId="0" fontId="34" fillId="0" borderId="0" xfId="0" applyFont="1"/>
    <xf numFmtId="0" fontId="34" fillId="0" borderId="0" xfId="0" applyFont="1" applyAlignment="1">
      <alignment horizontal="center"/>
    </xf>
    <xf numFmtId="0" fontId="35" fillId="0" borderId="0" xfId="0" applyFont="1"/>
    <xf numFmtId="0" fontId="36" fillId="12" borderId="0" xfId="0" applyFont="1" applyFill="1"/>
    <xf numFmtId="0" fontId="35" fillId="12" borderId="0" xfId="0" applyFont="1" applyFill="1"/>
    <xf numFmtId="0" fontId="37" fillId="0" borderId="0" xfId="0" applyFont="1"/>
    <xf numFmtId="9" fontId="35" fillId="0" borderId="0" xfId="0" applyNumberFormat="1" applyFont="1" applyAlignment="1">
      <alignment horizontal="right"/>
    </xf>
    <xf numFmtId="0" fontId="35" fillId="0" borderId="0" xfId="0" applyFont="1" applyAlignment="1">
      <alignment horizontal="right"/>
    </xf>
    <xf numFmtId="14" fontId="35" fillId="0" borderId="0" xfId="0" applyNumberFormat="1" applyFont="1"/>
    <xf numFmtId="3" fontId="35" fillId="0" borderId="0" xfId="0" applyNumberFormat="1" applyFont="1"/>
    <xf numFmtId="0" fontId="38" fillId="0" borderId="0" xfId="0" applyFont="1"/>
    <xf numFmtId="0" fontId="39" fillId="12" borderId="0" xfId="0" applyFont="1" applyFill="1"/>
    <xf numFmtId="0" fontId="34" fillId="12" borderId="0" xfId="0" applyFont="1" applyFill="1"/>
    <xf numFmtId="0" fontId="39" fillId="12" borderId="0" xfId="0" applyFont="1" applyFill="1" applyAlignment="1">
      <alignment horizontal="right"/>
    </xf>
    <xf numFmtId="14" fontId="40" fillId="0" borderId="0" xfId="0" applyNumberFormat="1" applyFont="1"/>
    <xf numFmtId="3" fontId="34" fillId="0" borderId="0" xfId="0" applyNumberFormat="1" applyFont="1"/>
    <xf numFmtId="0" fontId="40" fillId="0" borderId="0" xfId="0" applyFont="1"/>
    <xf numFmtId="3" fontId="34" fillId="0" borderId="2" xfId="0" applyNumberFormat="1" applyFont="1" applyBorder="1"/>
    <xf numFmtId="3" fontId="37" fillId="0" borderId="0" xfId="0" applyNumberFormat="1" applyFont="1"/>
    <xf numFmtId="0" fontId="39" fillId="0" borderId="0" xfId="0" applyFont="1"/>
    <xf numFmtId="171" fontId="35" fillId="0" borderId="0" xfId="0" applyNumberFormat="1" applyFont="1" applyAlignment="1">
      <alignment horizontal="right"/>
    </xf>
    <xf numFmtId="0" fontId="43" fillId="0" borderId="0" xfId="0" applyFont="1"/>
    <xf numFmtId="2" fontId="43" fillId="0" borderId="0" xfId="0" applyNumberFormat="1" applyFont="1"/>
    <xf numFmtId="0" fontId="41" fillId="0" borderId="0" xfId="0" applyFont="1"/>
    <xf numFmtId="172" fontId="37" fillId="0" borderId="0" xfId="0" applyNumberFormat="1" applyFont="1"/>
    <xf numFmtId="172" fontId="37" fillId="0" borderId="1" xfId="0" applyNumberFormat="1" applyFont="1" applyBorder="1"/>
    <xf numFmtId="165" fontId="11" fillId="0" borderId="1" xfId="1" applyNumberFormat="1" applyFont="1" applyBorder="1" applyProtection="1">
      <protection locked="0"/>
    </xf>
    <xf numFmtId="3" fontId="37" fillId="0" borderId="2" xfId="0" applyNumberFormat="1" applyFont="1" applyBorder="1"/>
    <xf numFmtId="171" fontId="34" fillId="0" borderId="0" xfId="0" applyNumberFormat="1" applyFont="1"/>
    <xf numFmtId="171" fontId="34" fillId="0" borderId="2" xfId="0" applyNumberFormat="1" applyFont="1" applyBorder="1"/>
    <xf numFmtId="0" fontId="42" fillId="0" borderId="0" xfId="0" applyFont="1"/>
    <xf numFmtId="10" fontId="34" fillId="0" borderId="0" xfId="0" applyNumberFormat="1" applyFont="1"/>
    <xf numFmtId="10" fontId="34" fillId="0" borderId="2" xfId="0" applyNumberFormat="1" applyFont="1" applyBorder="1"/>
    <xf numFmtId="4" fontId="34" fillId="0" borderId="13" xfId="0" applyNumberFormat="1" applyFont="1" applyBorder="1"/>
    <xf numFmtId="165" fontId="3" fillId="0" borderId="13" xfId="1" applyNumberFormat="1" applyFont="1" applyBorder="1" applyProtection="1">
      <protection locked="0"/>
    </xf>
    <xf numFmtId="164" fontId="3" fillId="0" borderId="0" xfId="1" applyNumberFormat="1" applyFont="1" applyBorder="1" applyProtection="1">
      <protection locked="0"/>
    </xf>
    <xf numFmtId="167" fontId="34" fillId="0" borderId="0" xfId="0" applyNumberFormat="1" applyFont="1"/>
    <xf numFmtId="0" fontId="44" fillId="0" borderId="0" xfId="0" applyFont="1"/>
    <xf numFmtId="167" fontId="43" fillId="0" borderId="0" xfId="0" applyNumberFormat="1" applyFont="1"/>
    <xf numFmtId="10" fontId="3" fillId="0" borderId="1" xfId="2" applyNumberFormat="1" applyFont="1" applyFill="1" applyBorder="1" applyProtection="1">
      <protection locked="0"/>
    </xf>
    <xf numFmtId="167" fontId="10" fillId="6" borderId="2" xfId="2" applyNumberFormat="1" applyFont="1" applyFill="1" applyBorder="1" applyProtection="1">
      <protection locked="0"/>
    </xf>
    <xf numFmtId="173" fontId="7" fillId="2" borderId="0" xfId="1" applyNumberFormat="1" applyFont="1" applyFill="1" applyAlignment="1" applyProtection="1">
      <alignment horizontal="right"/>
      <protection locked="0"/>
    </xf>
    <xf numFmtId="0" fontId="43" fillId="13" borderId="0" xfId="0" applyFont="1" applyFill="1"/>
    <xf numFmtId="10" fontId="43" fillId="0" borderId="0" xfId="0" applyNumberFormat="1" applyFont="1"/>
    <xf numFmtId="3" fontId="43" fillId="0" borderId="2" xfId="0" applyNumberFormat="1" applyFont="1" applyBorder="1"/>
    <xf numFmtId="174" fontId="35" fillId="0" borderId="0" xfId="0" applyNumberFormat="1" applyFont="1" applyAlignment="1">
      <alignment horizontal="right"/>
    </xf>
    <xf numFmtId="176" fontId="43" fillId="0" borderId="0" xfId="0" applyNumberFormat="1" applyFont="1"/>
    <xf numFmtId="9" fontId="43" fillId="0" borderId="0" xfId="0" applyNumberFormat="1" applyFont="1"/>
    <xf numFmtId="15" fontId="3" fillId="0" borderId="0" xfId="1" applyNumberFormat="1" applyFont="1" applyProtection="1">
      <protection locked="0"/>
    </xf>
    <xf numFmtId="15" fontId="3" fillId="0" borderId="0" xfId="1" applyNumberFormat="1" applyFont="1" applyAlignment="1" applyProtection="1">
      <alignment horizontal="center"/>
      <protection locked="0"/>
    </xf>
    <xf numFmtId="170" fontId="6" fillId="0" borderId="13" xfId="1" applyNumberFormat="1" applyFont="1" applyBorder="1" applyProtection="1">
      <protection locked="0"/>
    </xf>
    <xf numFmtId="15" fontId="11" fillId="0" borderId="0" xfId="1" applyNumberFormat="1" applyFont="1" applyFill="1" applyProtection="1">
      <protection locked="0"/>
    </xf>
    <xf numFmtId="15" fontId="10" fillId="0" borderId="0" xfId="1" applyNumberFormat="1" applyFont="1" applyFill="1" applyProtection="1">
      <protection locked="0"/>
    </xf>
    <xf numFmtId="165" fontId="3" fillId="0" borderId="2" xfId="1" applyNumberFormat="1" applyFont="1" applyFill="1" applyBorder="1" applyProtection="1">
      <protection locked="0"/>
    </xf>
    <xf numFmtId="165" fontId="6" fillId="0" borderId="2" xfId="1" applyNumberFormat="1" applyFont="1" applyFill="1" applyBorder="1" applyProtection="1">
      <protection locked="0"/>
    </xf>
    <xf numFmtId="165" fontId="6" fillId="0" borderId="2" xfId="1" applyNumberFormat="1" applyFont="1" applyFill="1" applyBorder="1" applyAlignment="1" applyProtection="1">
      <alignment horizontal="center"/>
      <protection locked="0"/>
    </xf>
    <xf numFmtId="167" fontId="47" fillId="0" borderId="2" xfId="2" applyNumberFormat="1" applyFont="1" applyFill="1" applyBorder="1" applyProtection="1">
      <protection locked="0"/>
    </xf>
    <xf numFmtId="167" fontId="47" fillId="0" borderId="0" xfId="2" applyNumberFormat="1" applyFont="1" applyFill="1" applyBorder="1" applyProtection="1">
      <protection locked="0"/>
    </xf>
    <xf numFmtId="165" fontId="48" fillId="0" borderId="0" xfId="1" applyNumberFormat="1" applyFont="1" applyAlignment="1" applyProtection="1">
      <alignment horizontal="right"/>
      <protection locked="0"/>
    </xf>
    <xf numFmtId="170" fontId="3" fillId="7" borderId="0" xfId="1" applyNumberFormat="1" applyFont="1" applyFill="1" applyProtection="1">
      <protection locked="0"/>
    </xf>
    <xf numFmtId="2" fontId="3" fillId="7" borderId="0" xfId="1" applyNumberFormat="1" applyFont="1" applyFill="1" applyProtection="1">
      <protection locked="0"/>
    </xf>
    <xf numFmtId="0" fontId="45" fillId="0" borderId="0" xfId="0" applyFont="1"/>
    <xf numFmtId="0" fontId="46" fillId="0" borderId="0" xfId="0" applyFont="1"/>
    <xf numFmtId="0" fontId="49" fillId="0" borderId="0" xfId="0" applyFont="1" applyAlignment="1">
      <alignment horizontal="center"/>
    </xf>
    <xf numFmtId="0" fontId="51" fillId="0" borderId="0" xfId="0" applyFont="1" applyAlignment="1">
      <alignment horizontal="left" indent="1"/>
    </xf>
    <xf numFmtId="0" fontId="51" fillId="0" borderId="0" xfId="0" applyFont="1" applyAlignment="1">
      <alignment horizontal="center"/>
    </xf>
    <xf numFmtId="10" fontId="51" fillId="0" borderId="0" xfId="0" applyNumberFormat="1" applyFont="1"/>
    <xf numFmtId="0" fontId="51" fillId="0" borderId="0" xfId="0" applyFont="1"/>
    <xf numFmtId="0" fontId="46" fillId="0" borderId="0" xfId="0" applyFont="1" applyAlignment="1">
      <alignment horizontal="left"/>
    </xf>
    <xf numFmtId="0" fontId="45" fillId="0" borderId="0" xfId="0" applyFont="1" applyAlignment="1">
      <alignment horizontal="left" indent="1"/>
    </xf>
    <xf numFmtId="0" fontId="45" fillId="0" borderId="0" xfId="0" applyFont="1" applyAlignment="1">
      <alignment horizontal="left" indent="2"/>
    </xf>
    <xf numFmtId="10" fontId="45" fillId="0" borderId="0" xfId="0" applyNumberFormat="1" applyFont="1"/>
    <xf numFmtId="0" fontId="53" fillId="0" borderId="0" xfId="0" applyFont="1"/>
    <xf numFmtId="0" fontId="45" fillId="0" borderId="0" xfId="0" applyFont="1" applyAlignment="1">
      <alignment horizontal="center"/>
    </xf>
    <xf numFmtId="0" fontId="46" fillId="15" borderId="0" xfId="0" applyFont="1" applyFill="1"/>
    <xf numFmtId="0" fontId="51" fillId="15" borderId="0" xfId="0" applyFont="1" applyFill="1" applyAlignment="1">
      <alignment horizontal="center"/>
    </xf>
    <xf numFmtId="0" fontId="54" fillId="0" borderId="0" xfId="0" applyFont="1"/>
    <xf numFmtId="0" fontId="52" fillId="0" borderId="0" xfId="0" applyFont="1" applyAlignment="1">
      <alignment horizontal="center"/>
    </xf>
    <xf numFmtId="10" fontId="51" fillId="0" borderId="0" xfId="0" applyNumberFormat="1" applyFont="1" applyAlignment="1">
      <alignment horizontal="right"/>
    </xf>
    <xf numFmtId="0" fontId="51" fillId="0" borderId="0" xfId="0" applyFont="1" applyAlignment="1">
      <alignment horizontal="right"/>
    </xf>
    <xf numFmtId="0" fontId="45" fillId="0" borderId="0" xfId="0" applyFont="1" applyAlignment="1">
      <alignment horizontal="right"/>
    </xf>
    <xf numFmtId="0" fontId="52" fillId="0" borderId="0" xfId="0" applyFont="1" applyAlignment="1">
      <alignment horizontal="right"/>
    </xf>
    <xf numFmtId="10" fontId="45" fillId="0" borderId="0" xfId="0" applyNumberFormat="1" applyFont="1" applyAlignment="1">
      <alignment horizontal="right"/>
    </xf>
    <xf numFmtId="171" fontId="50" fillId="0" borderId="0" xfId="0" applyNumberFormat="1" applyFont="1" applyAlignment="1">
      <alignment horizontal="right"/>
    </xf>
    <xf numFmtId="171" fontId="46" fillId="0" borderId="0" xfId="0" applyNumberFormat="1" applyFont="1" applyAlignment="1">
      <alignment horizontal="right"/>
    </xf>
    <xf numFmtId="172" fontId="58" fillId="0" borderId="0" xfId="0" applyNumberFormat="1" applyFont="1" applyAlignment="1">
      <alignment horizontal="right"/>
    </xf>
    <xf numFmtId="172" fontId="45" fillId="0" borderId="0" xfId="0" applyNumberFormat="1" applyFont="1" applyAlignment="1">
      <alignment horizontal="right"/>
    </xf>
    <xf numFmtId="172" fontId="46" fillId="0" borderId="0" xfId="0" applyNumberFormat="1" applyFont="1" applyAlignment="1">
      <alignment horizontal="right"/>
    </xf>
    <xf numFmtId="2" fontId="45" fillId="0" borderId="0" xfId="0" applyNumberFormat="1" applyFont="1"/>
    <xf numFmtId="172" fontId="46" fillId="15" borderId="0" xfId="0" applyNumberFormat="1" applyFont="1" applyFill="1"/>
    <xf numFmtId="0" fontId="46" fillId="13" borderId="0" xfId="0" applyFont="1" applyFill="1"/>
    <xf numFmtId="2" fontId="46" fillId="13" borderId="0" xfId="0" applyNumberFormat="1" applyFont="1" applyFill="1"/>
    <xf numFmtId="0" fontId="46" fillId="14" borderId="0" xfId="0" applyFont="1" applyFill="1"/>
    <xf numFmtId="0" fontId="51" fillId="14" borderId="0" xfId="0" applyFont="1" applyFill="1" applyAlignment="1">
      <alignment horizontal="center"/>
    </xf>
    <xf numFmtId="172" fontId="46" fillId="14" borderId="0" xfId="0" applyNumberFormat="1" applyFont="1" applyFill="1"/>
    <xf numFmtId="0" fontId="58" fillId="14" borderId="0" xfId="0" applyFont="1" applyFill="1" applyAlignment="1">
      <alignment horizontal="center"/>
    </xf>
    <xf numFmtId="0" fontId="46" fillId="14" borderId="2" xfId="0" applyFont="1" applyFill="1" applyBorder="1" applyAlignment="1">
      <alignment horizontal="center"/>
    </xf>
    <xf numFmtId="0" fontId="46" fillId="14" borderId="16" xfId="0" applyFont="1" applyFill="1" applyBorder="1" applyAlignment="1">
      <alignment horizontal="center"/>
    </xf>
    <xf numFmtId="10" fontId="3" fillId="0" borderId="0" xfId="1" applyNumberFormat="1" applyFont="1" applyProtection="1">
      <protection locked="0"/>
    </xf>
    <xf numFmtId="177" fontId="3" fillId="0" borderId="0" xfId="1" applyNumberFormat="1" applyFont="1" applyProtection="1">
      <protection locked="0"/>
    </xf>
    <xf numFmtId="4" fontId="3" fillId="0" borderId="0" xfId="1" applyNumberFormat="1" applyFont="1" applyProtection="1">
      <protection locked="0"/>
    </xf>
    <xf numFmtId="0" fontId="0" fillId="0" borderId="0" xfId="0" applyAlignment="1">
      <alignment horizontal="left" indent="1"/>
    </xf>
    <xf numFmtId="9" fontId="0" fillId="0" borderId="0" xfId="0" applyNumberFormat="1"/>
    <xf numFmtId="0" fontId="61" fillId="0" borderId="0" xfId="0" applyFont="1"/>
    <xf numFmtId="2" fontId="0" fillId="0" borderId="0" xfId="0" applyNumberFormat="1"/>
    <xf numFmtId="0" fontId="0" fillId="0" borderId="2" xfId="0" applyBorder="1"/>
    <xf numFmtId="0" fontId="17" fillId="0" borderId="2" xfId="0" applyFont="1" applyBorder="1"/>
    <xf numFmtId="2" fontId="17" fillId="0" borderId="2" xfId="0" applyNumberFormat="1" applyFont="1" applyBorder="1"/>
    <xf numFmtId="9" fontId="32" fillId="0" borderId="0" xfId="0" applyNumberFormat="1" applyFont="1"/>
    <xf numFmtId="2" fontId="61" fillId="0" borderId="0" xfId="0" applyNumberFormat="1" applyFont="1"/>
    <xf numFmtId="2" fontId="32" fillId="0" borderId="0" xfId="0" applyNumberFormat="1" applyFont="1"/>
    <xf numFmtId="0" fontId="61" fillId="0" borderId="1" xfId="0" applyFont="1" applyBorder="1"/>
    <xf numFmtId="2" fontId="32" fillId="0" borderId="1" xfId="0" applyNumberFormat="1" applyFont="1" applyBorder="1"/>
    <xf numFmtId="0" fontId="32" fillId="0" borderId="0" xfId="0" applyFont="1" applyAlignment="1">
      <alignment horizontal="left" indent="1"/>
    </xf>
    <xf numFmtId="0" fontId="32" fillId="0" borderId="1" xfId="0" applyFont="1" applyBorder="1" applyAlignment="1">
      <alignment horizontal="left" indent="1"/>
    </xf>
    <xf numFmtId="4" fontId="59" fillId="2" borderId="0" xfId="1" applyNumberFormat="1" applyFont="1" applyFill="1" applyBorder="1" applyAlignment="1" applyProtection="1">
      <alignment horizontal="center"/>
    </xf>
    <xf numFmtId="10" fontId="56" fillId="2" borderId="0" xfId="1" applyNumberFormat="1" applyFont="1" applyFill="1" applyBorder="1" applyAlignment="1" applyProtection="1">
      <alignment horizontal="center"/>
    </xf>
    <xf numFmtId="10" fontId="57" fillId="2" borderId="0" xfId="1" applyNumberFormat="1" applyFont="1" applyFill="1" applyBorder="1" applyAlignment="1" applyProtection="1">
      <alignment horizontal="center"/>
    </xf>
    <xf numFmtId="10" fontId="56" fillId="2" borderId="5" xfId="1" applyNumberFormat="1" applyFont="1" applyFill="1" applyBorder="1" applyAlignment="1" applyProtection="1">
      <alignment horizontal="center"/>
    </xf>
    <xf numFmtId="175" fontId="56" fillId="0" borderId="0" xfId="1" applyNumberFormat="1" applyFont="1" applyBorder="1" applyAlignment="1" applyProtection="1">
      <alignment horizontal="center"/>
    </xf>
    <xf numFmtId="175" fontId="56" fillId="0" borderId="5" xfId="1" applyNumberFormat="1" applyFont="1" applyBorder="1" applyAlignment="1" applyProtection="1">
      <alignment horizontal="center"/>
    </xf>
    <xf numFmtId="175" fontId="56" fillId="17" borderId="0" xfId="1" applyNumberFormat="1" applyFont="1" applyFill="1" applyBorder="1" applyAlignment="1" applyProtection="1">
      <alignment horizontal="center"/>
    </xf>
    <xf numFmtId="175" fontId="56" fillId="16" borderId="0" xfId="1" applyNumberFormat="1" applyFont="1" applyFill="1" applyBorder="1" applyAlignment="1" applyProtection="1">
      <alignment horizontal="center"/>
    </xf>
    <xf numFmtId="175" fontId="57" fillId="13" borderId="0" xfId="1" applyNumberFormat="1" applyFont="1" applyFill="1" applyBorder="1" applyAlignment="1" applyProtection="1">
      <alignment horizontal="center"/>
    </xf>
    <xf numFmtId="175" fontId="56" fillId="0" borderId="1" xfId="1" applyNumberFormat="1" applyFont="1" applyBorder="1" applyAlignment="1" applyProtection="1">
      <alignment horizontal="center"/>
    </xf>
    <xf numFmtId="175" fontId="56" fillId="0" borderId="14" xfId="1" applyNumberFormat="1" applyFont="1" applyBorder="1" applyAlignment="1" applyProtection="1">
      <alignment horizontal="center"/>
    </xf>
    <xf numFmtId="0" fontId="0" fillId="13" borderId="0" xfId="0" applyFill="1"/>
    <xf numFmtId="0" fontId="17" fillId="13" borderId="0" xfId="0" applyFont="1" applyFill="1"/>
    <xf numFmtId="0" fontId="61" fillId="13" borderId="0" xfId="0" applyFont="1" applyFill="1"/>
    <xf numFmtId="14" fontId="2" fillId="0" borderId="0" xfId="1" applyNumberFormat="1" applyFont="1" applyProtection="1">
      <protection locked="0"/>
    </xf>
    <xf numFmtId="165" fontId="2" fillId="0" borderId="0" xfId="1" applyNumberFormat="1" applyFont="1" applyProtection="1">
      <protection locked="0"/>
    </xf>
    <xf numFmtId="0" fontId="0" fillId="0" borderId="0" xfId="0" applyAlignment="1">
      <alignment wrapText="1"/>
    </xf>
    <xf numFmtId="0" fontId="62" fillId="19" borderId="0" xfId="0" applyFont="1" applyFill="1" applyAlignment="1">
      <alignment horizontal="left"/>
    </xf>
    <xf numFmtId="0" fontId="62" fillId="19" borderId="0" xfId="0" applyFont="1" applyFill="1" applyAlignment="1">
      <alignment horizontal="left" wrapText="1"/>
    </xf>
    <xf numFmtId="0" fontId="63" fillId="19" borderId="0" xfId="0" applyFont="1" applyFill="1" applyAlignment="1">
      <alignment horizontal="left"/>
    </xf>
    <xf numFmtId="0" fontId="0" fillId="20" borderId="0" xfId="0" applyFill="1"/>
    <xf numFmtId="0" fontId="0" fillId="20" borderId="0" xfId="0" applyFill="1" applyAlignment="1">
      <alignment wrapText="1"/>
    </xf>
    <xf numFmtId="178" fontId="0" fillId="2" borderId="17" xfId="0" applyNumberFormat="1" applyFill="1" applyBorder="1" applyAlignment="1">
      <alignment horizontal="right"/>
    </xf>
    <xf numFmtId="178" fontId="0" fillId="2" borderId="18" xfId="0" applyNumberFormat="1" applyFill="1" applyBorder="1" applyAlignment="1">
      <alignment horizontal="right"/>
    </xf>
    <xf numFmtId="178" fontId="31" fillId="11" borderId="8" xfId="0" applyNumberFormat="1" applyFont="1" applyFill="1" applyBorder="1" applyAlignment="1">
      <alignment horizontal="right"/>
    </xf>
    <xf numFmtId="179" fontId="0" fillId="2" borderId="19" xfId="0" applyNumberFormat="1" applyFill="1" applyBorder="1" applyAlignment="1">
      <alignment horizontal="right"/>
    </xf>
    <xf numFmtId="0" fontId="0" fillId="0" borderId="12" xfId="0" applyBorder="1" applyAlignment="1">
      <alignment horizontal="right"/>
    </xf>
    <xf numFmtId="180" fontId="0" fillId="2" borderId="18" xfId="0" applyNumberFormat="1" applyFill="1" applyBorder="1" applyAlignment="1">
      <alignment horizontal="right"/>
    </xf>
    <xf numFmtId="0" fontId="0" fillId="2" borderId="1" xfId="0" applyFill="1" applyBorder="1" applyAlignment="1">
      <alignment horizontal="right"/>
    </xf>
    <xf numFmtId="181" fontId="0" fillId="2" borderId="18" xfId="0" applyNumberFormat="1" applyFill="1" applyBorder="1" applyAlignment="1">
      <alignment horizontal="right" wrapText="1"/>
    </xf>
    <xf numFmtId="0" fontId="0" fillId="2" borderId="18" xfId="0" applyFill="1" applyBorder="1" applyAlignment="1">
      <alignment horizontal="right"/>
    </xf>
    <xf numFmtId="0" fontId="0" fillId="2" borderId="18" xfId="0" applyFill="1" applyBorder="1"/>
    <xf numFmtId="0" fontId="0" fillId="2" borderId="20" xfId="0" applyFill="1" applyBorder="1"/>
    <xf numFmtId="179" fontId="0" fillId="2" borderId="21" xfId="0" applyNumberFormat="1" applyFill="1" applyBorder="1" applyAlignment="1">
      <alignment horizontal="right"/>
    </xf>
    <xf numFmtId="179" fontId="0" fillId="2" borderId="22" xfId="0" applyNumberFormat="1" applyFill="1" applyBorder="1" applyAlignment="1">
      <alignment horizontal="right"/>
    </xf>
    <xf numFmtId="180" fontId="0" fillId="2" borderId="22" xfId="0" applyNumberFormat="1" applyFill="1" applyBorder="1" applyAlignment="1">
      <alignment horizontal="right"/>
    </xf>
    <xf numFmtId="0" fontId="0" fillId="2" borderId="0" xfId="0" applyFill="1" applyAlignment="1">
      <alignment horizontal="right"/>
    </xf>
    <xf numFmtId="178" fontId="0" fillId="2" borderId="22" xfId="0" applyNumberFormat="1" applyFill="1" applyBorder="1" applyAlignment="1">
      <alignment horizontal="right"/>
    </xf>
    <xf numFmtId="0" fontId="0" fillId="2" borderId="23" xfId="0" applyFill="1" applyBorder="1" applyAlignment="1">
      <alignment horizontal="right"/>
    </xf>
    <xf numFmtId="0" fontId="0" fillId="2" borderId="23" xfId="0" applyFill="1" applyBorder="1"/>
    <xf numFmtId="0" fontId="64" fillId="2" borderId="24" xfId="0" applyFont="1" applyFill="1" applyBorder="1"/>
    <xf numFmtId="0" fontId="0" fillId="2" borderId="24" xfId="0" applyFill="1" applyBorder="1"/>
    <xf numFmtId="179" fontId="17" fillId="21" borderId="25" xfId="0" applyNumberFormat="1" applyFont="1" applyFill="1" applyBorder="1" applyAlignment="1">
      <alignment horizontal="right"/>
    </xf>
    <xf numFmtId="179" fontId="17" fillId="21" borderId="22" xfId="0" applyNumberFormat="1" applyFont="1" applyFill="1" applyBorder="1" applyAlignment="1">
      <alignment horizontal="right"/>
    </xf>
    <xf numFmtId="179" fontId="17" fillId="21" borderId="19" xfId="0" applyNumberFormat="1" applyFont="1" applyFill="1" applyBorder="1" applyAlignment="1">
      <alignment horizontal="right"/>
    </xf>
    <xf numFmtId="0" fontId="17" fillId="0" borderId="12" xfId="0" applyFont="1" applyBorder="1" applyAlignment="1">
      <alignment horizontal="right"/>
    </xf>
    <xf numFmtId="180" fontId="17" fillId="21" borderId="22" xfId="0" applyNumberFormat="1" applyFont="1" applyFill="1" applyBorder="1" applyAlignment="1">
      <alignment horizontal="right"/>
    </xf>
    <xf numFmtId="0" fontId="17" fillId="21" borderId="0" xfId="0" applyFont="1" applyFill="1" applyAlignment="1">
      <alignment horizontal="right"/>
    </xf>
    <xf numFmtId="178" fontId="17" fillId="21" borderId="22" xfId="0" applyNumberFormat="1" applyFont="1" applyFill="1" applyBorder="1" applyAlignment="1">
      <alignment horizontal="right"/>
    </xf>
    <xf numFmtId="0" fontId="17" fillId="21" borderId="23" xfId="0" applyFont="1" applyFill="1" applyBorder="1" applyAlignment="1">
      <alignment horizontal="right"/>
    </xf>
    <xf numFmtId="0" fontId="17" fillId="21" borderId="23" xfId="0" applyFont="1" applyFill="1" applyBorder="1"/>
    <xf numFmtId="0" fontId="17" fillId="21" borderId="24" xfId="0" applyFont="1" applyFill="1" applyBorder="1"/>
    <xf numFmtId="178" fontId="0" fillId="2" borderId="26" xfId="0" applyNumberFormat="1" applyFill="1" applyBorder="1" applyAlignment="1">
      <alignment horizontal="right"/>
    </xf>
    <xf numFmtId="178" fontId="0" fillId="2" borderId="27" xfId="0" applyNumberFormat="1" applyFill="1" applyBorder="1" applyAlignment="1">
      <alignment horizontal="right"/>
    </xf>
    <xf numFmtId="178" fontId="0" fillId="2" borderId="28" xfId="0" applyNumberFormat="1" applyFill="1" applyBorder="1" applyAlignment="1">
      <alignment horizontal="right"/>
    </xf>
    <xf numFmtId="180" fontId="0" fillId="2" borderId="27" xfId="0" applyNumberFormat="1" applyFill="1" applyBorder="1" applyAlignment="1">
      <alignment horizontal="right"/>
    </xf>
    <xf numFmtId="0" fontId="0" fillId="2" borderId="2" xfId="0" applyFill="1" applyBorder="1" applyAlignment="1">
      <alignment horizontal="right"/>
    </xf>
    <xf numFmtId="0" fontId="0" fillId="2" borderId="2" xfId="0" applyFill="1" applyBorder="1"/>
    <xf numFmtId="0" fontId="0" fillId="2" borderId="11" xfId="0" applyFill="1" applyBorder="1"/>
    <xf numFmtId="179" fontId="0" fillId="0" borderId="0" xfId="0" applyNumberFormat="1"/>
    <xf numFmtId="180" fontId="0" fillId="0" borderId="0" xfId="0" applyNumberFormat="1"/>
    <xf numFmtId="179" fontId="0" fillId="0" borderId="0" xfId="0" applyNumberFormat="1" applyAlignment="1">
      <alignment horizontal="right"/>
    </xf>
    <xf numFmtId="180" fontId="0" fillId="0" borderId="0" xfId="0" applyNumberFormat="1" applyAlignment="1">
      <alignment horizontal="right"/>
    </xf>
    <xf numFmtId="178" fontId="0" fillId="0" borderId="0" xfId="0" applyNumberFormat="1" applyAlignment="1">
      <alignment horizontal="right"/>
    </xf>
    <xf numFmtId="178" fontId="0" fillId="0" borderId="0" xfId="0" applyNumberFormat="1" applyAlignment="1">
      <alignment horizontal="right" wrapText="1"/>
    </xf>
    <xf numFmtId="182" fontId="32" fillId="0" borderId="0" xfId="0" applyNumberFormat="1" applyFont="1" applyAlignment="1">
      <alignment horizontal="center"/>
    </xf>
    <xf numFmtId="0" fontId="33" fillId="22" borderId="0" xfId="0" applyFont="1" applyFill="1" applyAlignment="1">
      <alignment horizontal="center"/>
    </xf>
    <xf numFmtId="0" fontId="0" fillId="0" borderId="29" xfId="0" applyBorder="1"/>
    <xf numFmtId="179" fontId="0" fillId="0" borderId="29" xfId="0" applyNumberFormat="1" applyBorder="1" applyAlignment="1">
      <alignment horizontal="right"/>
    </xf>
    <xf numFmtId="180" fontId="0" fillId="0" borderId="29" xfId="0" applyNumberFormat="1" applyBorder="1" applyAlignment="1">
      <alignment horizontal="right"/>
    </xf>
    <xf numFmtId="178" fontId="0" fillId="0" borderId="29" xfId="0" applyNumberFormat="1" applyBorder="1" applyAlignment="1">
      <alignment horizontal="right"/>
    </xf>
    <xf numFmtId="178" fontId="0" fillId="0" borderId="29" xfId="0" applyNumberFormat="1" applyBorder="1" applyAlignment="1">
      <alignment horizontal="right" wrapText="1"/>
    </xf>
    <xf numFmtId="182" fontId="32" fillId="0" borderId="29" xfId="0" applyNumberFormat="1" applyFont="1" applyBorder="1" applyAlignment="1">
      <alignment horizontal="center"/>
    </xf>
    <xf numFmtId="0" fontId="33" fillId="22" borderId="29" xfId="0" applyFont="1" applyFill="1" applyBorder="1" applyAlignment="1">
      <alignment horizontal="center"/>
    </xf>
    <xf numFmtId="0" fontId="65" fillId="23" borderId="0" xfId="0" applyFont="1" applyFill="1" applyAlignment="1">
      <alignment horizontal="center"/>
    </xf>
    <xf numFmtId="0" fontId="66" fillId="23" borderId="0" xfId="0" applyFont="1" applyFill="1" applyAlignment="1">
      <alignment horizontal="center"/>
    </xf>
    <xf numFmtId="0" fontId="66" fillId="23" borderId="0" xfId="0" applyFont="1" applyFill="1" applyAlignment="1">
      <alignment horizontal="center" wrapText="1"/>
    </xf>
    <xf numFmtId="0" fontId="65" fillId="23" borderId="0" xfId="0" applyFont="1" applyFill="1"/>
    <xf numFmtId="0" fontId="65" fillId="23" borderId="30" xfId="0" applyFont="1" applyFill="1" applyBorder="1" applyAlignment="1">
      <alignment horizontal="center"/>
    </xf>
    <xf numFmtId="0" fontId="65" fillId="23" borderId="30" xfId="0" applyFont="1" applyFill="1" applyBorder="1" applyAlignment="1">
      <alignment horizontal="center" wrapText="1"/>
    </xf>
    <xf numFmtId="0" fontId="66" fillId="23" borderId="0" xfId="0" applyFont="1" applyFill="1"/>
    <xf numFmtId="0" fontId="65" fillId="23" borderId="0" xfId="0" applyFont="1" applyFill="1" applyAlignment="1">
      <alignment horizontal="centerContinuous"/>
    </xf>
    <xf numFmtId="0" fontId="66" fillId="23" borderId="0" xfId="0" applyFont="1" applyFill="1" applyAlignment="1">
      <alignment horizontal="centerContinuous"/>
    </xf>
    <xf numFmtId="0" fontId="66" fillId="23" borderId="0" xfId="0" applyFont="1" applyFill="1" applyAlignment="1">
      <alignment horizontal="centerContinuous" wrapText="1"/>
    </xf>
    <xf numFmtId="0" fontId="65" fillId="24" borderId="0" xfId="0" applyFont="1" applyFill="1"/>
    <xf numFmtId="0" fontId="67" fillId="0" borderId="0" xfId="0" applyFont="1" applyAlignment="1">
      <alignment vertical="center" wrapText="1"/>
    </xf>
    <xf numFmtId="0" fontId="68" fillId="0" borderId="0" xfId="0" applyFont="1" applyAlignment="1">
      <alignment vertical="center" wrapText="1"/>
    </xf>
    <xf numFmtId="0" fontId="69" fillId="0" borderId="0" xfId="0" applyFont="1" applyAlignment="1">
      <alignment vertical="center" wrapText="1"/>
    </xf>
    <xf numFmtId="0" fontId="17" fillId="25" borderId="1" xfId="0" applyFont="1" applyFill="1" applyBorder="1"/>
    <xf numFmtId="0" fontId="17" fillId="25" borderId="1" xfId="0" applyFont="1" applyFill="1" applyBorder="1" applyAlignment="1">
      <alignment wrapText="1"/>
    </xf>
    <xf numFmtId="0" fontId="70" fillId="21" borderId="10" xfId="0" applyFont="1" applyFill="1" applyBorder="1" applyAlignment="1">
      <alignment horizontal="center"/>
    </xf>
    <xf numFmtId="0" fontId="0" fillId="21" borderId="3" xfId="0" applyFill="1" applyBorder="1"/>
    <xf numFmtId="179" fontId="0" fillId="21" borderId="3" xfId="0" applyNumberFormat="1" applyFill="1" applyBorder="1" applyAlignment="1">
      <alignment horizontal="right"/>
    </xf>
    <xf numFmtId="180" fontId="0" fillId="21" borderId="3" xfId="0" applyNumberFormat="1" applyFill="1" applyBorder="1" applyAlignment="1">
      <alignment horizontal="right"/>
    </xf>
    <xf numFmtId="178" fontId="0" fillId="21" borderId="3" xfId="0" applyNumberFormat="1" applyFill="1" applyBorder="1" applyAlignment="1">
      <alignment horizontal="right"/>
    </xf>
    <xf numFmtId="178" fontId="0" fillId="21" borderId="3" xfId="0" applyNumberFormat="1" applyFill="1" applyBorder="1" applyAlignment="1">
      <alignment horizontal="right" wrapText="1"/>
    </xf>
    <xf numFmtId="182" fontId="32" fillId="21" borderId="3" xfId="0" applyNumberFormat="1" applyFont="1" applyFill="1" applyBorder="1" applyAlignment="1">
      <alignment horizontal="center"/>
    </xf>
    <xf numFmtId="0" fontId="33" fillId="21" borderId="3" xfId="0" applyFont="1" applyFill="1" applyBorder="1" applyAlignment="1">
      <alignment horizontal="center"/>
    </xf>
    <xf numFmtId="0" fontId="0" fillId="21" borderId="9" xfId="0" applyFill="1" applyBorder="1"/>
    <xf numFmtId="183" fontId="17" fillId="0" borderId="0" xfId="0" applyNumberFormat="1" applyFont="1"/>
    <xf numFmtId="14" fontId="33" fillId="0" borderId="0" xfId="0" applyNumberFormat="1" applyFont="1" applyAlignment="1">
      <alignment horizontal="center"/>
    </xf>
    <xf numFmtId="183" fontId="17" fillId="0" borderId="31" xfId="0" applyNumberFormat="1" applyFont="1" applyBorder="1"/>
    <xf numFmtId="14" fontId="33" fillId="22" borderId="32" xfId="0" applyNumberFormat="1" applyFont="1" applyFill="1" applyBorder="1" applyAlignment="1">
      <alignment horizontal="center"/>
    </xf>
    <xf numFmtId="0" fontId="0" fillId="0" borderId="18" xfId="0" applyBorder="1"/>
    <xf numFmtId="0" fontId="32" fillId="0" borderId="18" xfId="0" applyFont="1" applyBorder="1"/>
    <xf numFmtId="14" fontId="33" fillId="22" borderId="33" xfId="0" applyNumberFormat="1" applyFont="1" applyFill="1" applyBorder="1" applyAlignment="1">
      <alignment horizontal="center"/>
    </xf>
    <xf numFmtId="0" fontId="0" fillId="0" borderId="23" xfId="0" applyBorder="1"/>
    <xf numFmtId="0" fontId="32" fillId="0" borderId="23" xfId="0" applyFont="1" applyBorder="1"/>
    <xf numFmtId="49" fontId="33" fillId="22" borderId="33" xfId="0" applyNumberFormat="1" applyFont="1" applyFill="1" applyBorder="1" applyAlignment="1">
      <alignment horizontal="center"/>
    </xf>
    <xf numFmtId="180" fontId="33" fillId="22" borderId="33" xfId="0" applyNumberFormat="1" applyFont="1" applyFill="1" applyBorder="1" applyAlignment="1">
      <alignment horizontal="center"/>
    </xf>
    <xf numFmtId="0" fontId="0" fillId="0" borderId="34" xfId="0" applyBorder="1"/>
    <xf numFmtId="184" fontId="33" fillId="22" borderId="33" xfId="0" applyNumberFormat="1" applyFont="1" applyFill="1" applyBorder="1" applyAlignment="1">
      <alignment horizontal="center"/>
    </xf>
    <xf numFmtId="0" fontId="28" fillId="0" borderId="31" xfId="0" applyFont="1" applyBorder="1"/>
    <xf numFmtId="0" fontId="33" fillId="22" borderId="35" xfId="0" applyFont="1" applyFill="1" applyBorder="1" applyAlignment="1">
      <alignment horizontal="centerContinuous"/>
    </xf>
    <xf numFmtId="0" fontId="0" fillId="25" borderId="1" xfId="0" applyFill="1" applyBorder="1"/>
    <xf numFmtId="0" fontId="28" fillId="23" borderId="0" xfId="0" applyFont="1" applyFill="1"/>
    <xf numFmtId="0" fontId="28" fillId="23" borderId="0" xfId="0" applyFont="1" applyFill="1" applyAlignment="1">
      <alignment wrapText="1"/>
    </xf>
    <xf numFmtId="0" fontId="71" fillId="0" borderId="0" xfId="0" applyFont="1"/>
    <xf numFmtId="0" fontId="29" fillId="0" borderId="0" xfId="0" applyFont="1"/>
    <xf numFmtId="0" fontId="27" fillId="0" borderId="7" xfId="0" applyFont="1" applyBorder="1"/>
    <xf numFmtId="0" fontId="76" fillId="0" borderId="0" xfId="8"/>
    <xf numFmtId="180" fontId="76" fillId="2" borderId="17" xfId="8" applyNumberFormat="1" applyFill="1" applyBorder="1" applyAlignment="1">
      <alignment horizontal="right"/>
    </xf>
    <xf numFmtId="180" fontId="76" fillId="2" borderId="18" xfId="8" applyNumberFormat="1" applyFill="1" applyBorder="1" applyAlignment="1">
      <alignment horizontal="right"/>
    </xf>
    <xf numFmtId="178" fontId="76" fillId="2" borderId="18" xfId="8" applyNumberFormat="1" applyFill="1" applyBorder="1" applyAlignment="1">
      <alignment horizontal="right"/>
    </xf>
    <xf numFmtId="0" fontId="76" fillId="2" borderId="18" xfId="8" applyFill="1" applyBorder="1" applyAlignment="1">
      <alignment horizontal="right"/>
    </xf>
    <xf numFmtId="0" fontId="76" fillId="2" borderId="18" xfId="8" applyFill="1" applyBorder="1"/>
    <xf numFmtId="0" fontId="76" fillId="2" borderId="20" xfId="8" applyFill="1" applyBorder="1"/>
    <xf numFmtId="180" fontId="76" fillId="2" borderId="21" xfId="8" applyNumberFormat="1" applyFill="1" applyBorder="1" applyAlignment="1">
      <alignment horizontal="right"/>
    </xf>
    <xf numFmtId="180" fontId="76" fillId="2" borderId="22" xfId="8" applyNumberFormat="1" applyFill="1" applyBorder="1" applyAlignment="1">
      <alignment horizontal="right"/>
    </xf>
    <xf numFmtId="178" fontId="76" fillId="2" borderId="22" xfId="8" applyNumberFormat="1" applyFill="1" applyBorder="1" applyAlignment="1">
      <alignment horizontal="right"/>
    </xf>
    <xf numFmtId="0" fontId="76" fillId="2" borderId="23" xfId="8" applyFill="1" applyBorder="1" applyAlignment="1">
      <alignment horizontal="right"/>
    </xf>
    <xf numFmtId="0" fontId="76" fillId="2" borderId="23" xfId="8" applyFill="1" applyBorder="1"/>
    <xf numFmtId="0" fontId="64" fillId="2" borderId="24" xfId="8" applyFont="1" applyFill="1" applyBorder="1"/>
    <xf numFmtId="0" fontId="76" fillId="2" borderId="24" xfId="8" applyFill="1" applyBorder="1"/>
    <xf numFmtId="180" fontId="17" fillId="21" borderId="21" xfId="8" applyNumberFormat="1" applyFont="1" applyFill="1" applyBorder="1" applyAlignment="1">
      <alignment horizontal="right"/>
    </xf>
    <xf numFmtId="180" fontId="17" fillId="21" borderId="22" xfId="8" applyNumberFormat="1" applyFont="1" applyFill="1" applyBorder="1" applyAlignment="1">
      <alignment horizontal="right"/>
    </xf>
    <xf numFmtId="178" fontId="17" fillId="21" borderId="22" xfId="8" applyNumberFormat="1" applyFont="1" applyFill="1" applyBorder="1" applyAlignment="1">
      <alignment horizontal="right"/>
    </xf>
    <xf numFmtId="0" fontId="17" fillId="21" borderId="23" xfId="8" applyFont="1" applyFill="1" applyBorder="1" applyAlignment="1">
      <alignment horizontal="right"/>
    </xf>
    <xf numFmtId="0" fontId="17" fillId="21" borderId="23" xfId="8" applyFont="1" applyFill="1" applyBorder="1"/>
    <xf numFmtId="0" fontId="17" fillId="21" borderId="24" xfId="8" applyFont="1" applyFill="1" applyBorder="1"/>
    <xf numFmtId="180" fontId="76" fillId="2" borderId="26" xfId="8" applyNumberFormat="1" applyFill="1" applyBorder="1" applyAlignment="1">
      <alignment horizontal="right"/>
    </xf>
    <xf numFmtId="180" fontId="76" fillId="2" borderId="27" xfId="8" applyNumberFormat="1" applyFill="1" applyBorder="1" applyAlignment="1">
      <alignment horizontal="right"/>
    </xf>
    <xf numFmtId="0" fontId="76" fillId="2" borderId="2" xfId="8" applyFill="1" applyBorder="1" applyAlignment="1">
      <alignment horizontal="right"/>
    </xf>
    <xf numFmtId="178" fontId="76" fillId="2" borderId="27" xfId="8" applyNumberFormat="1" applyFill="1" applyBorder="1" applyAlignment="1">
      <alignment horizontal="right"/>
    </xf>
    <xf numFmtId="0" fontId="76" fillId="2" borderId="2" xfId="8" applyFill="1" applyBorder="1"/>
    <xf numFmtId="0" fontId="76" fillId="2" borderId="11" xfId="8" applyFill="1" applyBorder="1"/>
    <xf numFmtId="180" fontId="76" fillId="0" borderId="0" xfId="8" applyNumberFormat="1"/>
    <xf numFmtId="180" fontId="76" fillId="0" borderId="29" xfId="8" applyNumberFormat="1" applyBorder="1" applyAlignment="1">
      <alignment horizontal="right"/>
    </xf>
    <xf numFmtId="178" fontId="76" fillId="0" borderId="29" xfId="8" applyNumberFormat="1" applyBorder="1" applyAlignment="1">
      <alignment horizontal="right"/>
    </xf>
    <xf numFmtId="178" fontId="76" fillId="0" borderId="0" xfId="8" applyNumberFormat="1" applyAlignment="1">
      <alignment horizontal="right"/>
    </xf>
    <xf numFmtId="182" fontId="32" fillId="0" borderId="29" xfId="8" applyNumberFormat="1" applyFont="1" applyBorder="1" applyAlignment="1">
      <alignment horizontal="center"/>
    </xf>
    <xf numFmtId="0" fontId="76" fillId="0" borderId="29" xfId="8" applyBorder="1"/>
    <xf numFmtId="0" fontId="66" fillId="23" borderId="0" xfId="8" applyFont="1" applyFill="1" applyAlignment="1">
      <alignment horizontal="center"/>
    </xf>
    <xf numFmtId="0" fontId="65" fillId="23" borderId="0" xfId="8" applyFont="1" applyFill="1" applyAlignment="1">
      <alignment horizontal="center"/>
    </xf>
    <xf numFmtId="0" fontId="65" fillId="23" borderId="0" xfId="8" applyFont="1" applyFill="1"/>
    <xf numFmtId="0" fontId="65" fillId="23" borderId="30" xfId="8" applyFont="1" applyFill="1" applyBorder="1" applyAlignment="1">
      <alignment horizontal="center"/>
    </xf>
    <xf numFmtId="0" fontId="66" fillId="23" borderId="0" xfId="8" applyFont="1" applyFill="1"/>
    <xf numFmtId="0" fontId="66" fillId="23" borderId="0" xfId="8" applyFont="1" applyFill="1" applyAlignment="1">
      <alignment horizontal="centerContinuous"/>
    </xf>
    <xf numFmtId="0" fontId="65" fillId="23" borderId="0" xfId="8" applyFont="1" applyFill="1" applyAlignment="1">
      <alignment horizontal="centerContinuous"/>
    </xf>
    <xf numFmtId="0" fontId="8" fillId="0" borderId="0" xfId="0" applyFont="1"/>
    <xf numFmtId="0" fontId="10" fillId="0" borderId="0" xfId="0" applyFont="1"/>
    <xf numFmtId="0" fontId="31" fillId="0" borderId="0" xfId="0" applyFont="1"/>
    <xf numFmtId="0" fontId="55" fillId="0" borderId="0" xfId="0" applyFont="1"/>
    <xf numFmtId="0" fontId="11" fillId="0" borderId="0" xfId="0" applyFont="1"/>
    <xf numFmtId="9" fontId="10" fillId="0" borderId="0" xfId="0" applyNumberFormat="1" applyFont="1" applyAlignment="1">
      <alignment horizontal="right"/>
    </xf>
    <xf numFmtId="0" fontId="10" fillId="0" borderId="0" xfId="0" applyFont="1" applyAlignment="1">
      <alignment horizontal="right"/>
    </xf>
    <xf numFmtId="10" fontId="10" fillId="0" borderId="0" xfId="0" applyNumberFormat="1" applyFont="1" applyAlignment="1">
      <alignment horizontal="right"/>
    </xf>
    <xf numFmtId="0" fontId="26" fillId="25" borderId="0" xfId="0" applyFont="1" applyFill="1"/>
    <xf numFmtId="10" fontId="26" fillId="25" borderId="0" xfId="0" applyNumberFormat="1" applyFont="1" applyFill="1"/>
    <xf numFmtId="0" fontId="17" fillId="25" borderId="0" xfId="0" applyFont="1" applyFill="1"/>
    <xf numFmtId="180" fontId="3" fillId="0" borderId="0" xfId="1" applyNumberFormat="1" applyFont="1" applyAlignment="1" applyProtection="1">
      <alignment horizontal="center"/>
      <protection locked="0"/>
    </xf>
    <xf numFmtId="176" fontId="0" fillId="0" borderId="0" xfId="0" applyNumberFormat="1"/>
    <xf numFmtId="167" fontId="0" fillId="0" borderId="0" xfId="0" applyNumberFormat="1"/>
    <xf numFmtId="0" fontId="77" fillId="0" borderId="0" xfId="0" applyFont="1"/>
    <xf numFmtId="0" fontId="0" fillId="0" borderId="1" xfId="0" applyBorder="1"/>
    <xf numFmtId="0" fontId="0" fillId="0" borderId="5" xfId="0" applyBorder="1"/>
    <xf numFmtId="178" fontId="0" fillId="0" borderId="0" xfId="0" applyNumberFormat="1"/>
    <xf numFmtId="185" fontId="0" fillId="0" borderId="0" xfId="0" applyNumberFormat="1"/>
    <xf numFmtId="180" fontId="0" fillId="2" borderId="21" xfId="0" applyNumberFormat="1" applyFill="1" applyBorder="1" applyAlignment="1">
      <alignment horizontal="right"/>
    </xf>
    <xf numFmtId="180" fontId="17" fillId="21" borderId="21" xfId="0" applyNumberFormat="1" applyFont="1" applyFill="1" applyBorder="1" applyAlignment="1">
      <alignment horizontal="right"/>
    </xf>
    <xf numFmtId="180" fontId="0" fillId="2" borderId="26" xfId="0" applyNumberFormat="1" applyFill="1" applyBorder="1" applyAlignment="1">
      <alignment horizontal="right"/>
    </xf>
    <xf numFmtId="180" fontId="0" fillId="2" borderId="17" xfId="0" applyNumberFormat="1" applyFill="1" applyBorder="1" applyAlignment="1">
      <alignment horizontal="right"/>
    </xf>
    <xf numFmtId="179" fontId="0" fillId="2" borderId="20" xfId="0" applyNumberFormat="1" applyFill="1" applyBorder="1" applyAlignment="1">
      <alignment horizontal="right"/>
    </xf>
    <xf numFmtId="0" fontId="17" fillId="0" borderId="14" xfId="0" applyFont="1" applyBorder="1"/>
    <xf numFmtId="0" fontId="0" fillId="0" borderId="16" xfId="0" applyBorder="1"/>
    <xf numFmtId="180" fontId="0" fillId="0" borderId="12" xfId="0" applyNumberFormat="1" applyBorder="1"/>
    <xf numFmtId="0" fontId="60" fillId="18" borderId="3" xfId="0" applyFont="1" applyFill="1" applyBorder="1" applyAlignment="1">
      <alignment horizontal="center"/>
    </xf>
    <xf numFmtId="0" fontId="60" fillId="18" borderId="10" xfId="0" applyFont="1" applyFill="1" applyBorder="1" applyAlignment="1">
      <alignment horizontal="center"/>
    </xf>
    <xf numFmtId="0" fontId="34" fillId="0" borderId="0" xfId="0" applyFont="1"/>
    <xf numFmtId="0" fontId="60" fillId="18" borderId="11" xfId="0" applyFont="1" applyFill="1" applyBorder="1" applyAlignment="1">
      <alignment horizontal="center" vertical="center" wrapText="1"/>
    </xf>
    <xf numFmtId="0" fontId="60" fillId="18" borderId="12" xfId="0" applyFont="1" applyFill="1" applyBorder="1" applyAlignment="1">
      <alignment horizontal="center" vertical="center" wrapText="1"/>
    </xf>
    <xf numFmtId="0" fontId="60" fillId="18" borderId="15" xfId="0" applyFont="1" applyFill="1" applyBorder="1" applyAlignment="1">
      <alignment horizontal="center" vertical="center" wrapText="1"/>
    </xf>
    <xf numFmtId="0" fontId="39" fillId="0" borderId="0" xfId="0" applyFont="1" applyAlignment="1">
      <alignment horizontal="left"/>
    </xf>
    <xf numFmtId="0" fontId="17" fillId="13" borderId="1" xfId="0" applyFont="1" applyFill="1" applyBorder="1" applyAlignment="1">
      <alignment horizontal="center"/>
    </xf>
    <xf numFmtId="0" fontId="45" fillId="0" borderId="0" xfId="0" applyFont="1"/>
    <xf numFmtId="0" fontId="46" fillId="14" borderId="1" xfId="0" applyFont="1" applyFill="1" applyBorder="1" applyAlignment="1">
      <alignment horizontal="center"/>
    </xf>
    <xf numFmtId="0" fontId="46" fillId="14" borderId="14" xfId="0" applyFont="1" applyFill="1" applyBorder="1" applyAlignment="1">
      <alignment horizontal="center"/>
    </xf>
    <xf numFmtId="0" fontId="46" fillId="14" borderId="0" xfId="0" applyFont="1" applyFill="1" applyAlignment="1">
      <alignment horizontal="center"/>
    </xf>
    <xf numFmtId="165" fontId="12" fillId="0" borderId="0" xfId="1" applyNumberFormat="1" applyFont="1" applyFill="1" applyBorder="1" applyProtection="1">
      <protection locked="0"/>
    </xf>
    <xf numFmtId="9" fontId="12" fillId="0" borderId="0" xfId="1" applyNumberFormat="1" applyFont="1" applyFill="1" applyBorder="1" applyProtection="1">
      <protection locked="0"/>
    </xf>
    <xf numFmtId="10" fontId="12" fillId="0" borderId="0" xfId="1" applyNumberFormat="1" applyFont="1" applyFill="1" applyBorder="1" applyProtection="1">
      <protection locked="0"/>
    </xf>
    <xf numFmtId="165" fontId="14" fillId="0" borderId="0" xfId="1" applyNumberFormat="1" applyFont="1" applyFill="1" applyBorder="1" applyProtection="1">
      <protection locked="0"/>
    </xf>
    <xf numFmtId="15" fontId="12" fillId="0" borderId="0" xfId="1" applyNumberFormat="1" applyFont="1" applyFill="1" applyBorder="1" applyProtection="1">
      <protection locked="0"/>
    </xf>
    <xf numFmtId="169" fontId="12" fillId="0" borderId="0" xfId="1" applyNumberFormat="1" applyFont="1" applyFill="1" applyBorder="1" applyProtection="1">
      <protection locked="0"/>
    </xf>
    <xf numFmtId="165" fontId="14" fillId="0" borderId="0" xfId="1" applyNumberFormat="1" applyFont="1" applyFill="1" applyBorder="1" applyAlignment="1" applyProtection="1">
      <alignment horizontal="center"/>
      <protection locked="0"/>
    </xf>
  </cellXfs>
  <cellStyles count="9">
    <cellStyle name="Comma 3" xfId="3" xr:uid="{00000000-0005-0000-0000-000001000000}"/>
    <cellStyle name="Hyperlink 2" xfId="5" xr:uid="{00000000-0005-0000-0000-000002000000}"/>
    <cellStyle name="Hyperlink 2 2" xfId="7" xr:uid="{00000000-0005-0000-0000-000003000000}"/>
    <cellStyle name="Normal" xfId="0" builtinId="0"/>
    <cellStyle name="Normal 2" xfId="4" xr:uid="{00000000-0005-0000-0000-000005000000}"/>
    <cellStyle name="Normal 2 2" xfId="6" xr:uid="{00000000-0005-0000-0000-000006000000}"/>
    <cellStyle name="Normal 2 3" xfId="8" xr:uid="{48C2C380-1E54-1A4E-BBE6-EE86A91667B3}"/>
    <cellStyle name="Porcentagem" xfId="2" builtinId="5"/>
    <cellStyle name="Vírgula" xfId="1" builtinId="3"/>
  </cellStyles>
  <dxfs count="2">
    <dxf>
      <font>
        <color rgb="FF9C0006"/>
      </font>
      <fill>
        <patternFill>
          <bgColor rgb="FFFFC7CE"/>
        </patternFill>
      </fill>
    </dxf>
    <dxf>
      <font>
        <color rgb="FF006100"/>
      </font>
      <fill>
        <patternFill patternType="none">
          <bgColor auto="1"/>
        </patternFill>
      </fill>
    </dxf>
  </dxfs>
  <tableStyles count="0" defaultTableStyle="TableStyleMedium2" defaultPivotStyle="PivotStyleLight16"/>
  <colors>
    <mruColors>
      <color rgb="FFEAEAEA"/>
      <color rgb="FF1E8496"/>
      <color rgb="FF0000FF"/>
      <color rgb="FF132E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pt-BR"/>
        </a:p>
      </c:txPr>
    </c:title>
    <c:autoTitleDeleted val="0"/>
    <c:plotArea>
      <c:layout/>
      <c:barChart>
        <c:barDir val="col"/>
        <c:grouping val="clustered"/>
        <c:varyColors val="0"/>
        <c:ser>
          <c:idx val="0"/>
          <c:order val="0"/>
          <c:tx>
            <c:v>Unlevered Free Cash Flow</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 &amp; Sensitivity Model'!$E$192:$L$192</c:f>
              <c:strCache>
                <c:ptCount val="8"/>
                <c:pt idx="0">
                  <c:v>2022E</c:v>
                </c:pt>
                <c:pt idx="1">
                  <c:v>2023E</c:v>
                </c:pt>
                <c:pt idx="2">
                  <c:v>2024E</c:v>
                </c:pt>
                <c:pt idx="3">
                  <c:v>2025E</c:v>
                </c:pt>
                <c:pt idx="4">
                  <c:v>2026E</c:v>
                </c:pt>
                <c:pt idx="5">
                  <c:v>2027E</c:v>
                </c:pt>
                <c:pt idx="6">
                  <c:v>2028E</c:v>
                </c:pt>
                <c:pt idx="7">
                  <c:v>Exit</c:v>
                </c:pt>
              </c:strCache>
            </c:strRef>
          </c:cat>
          <c:val>
            <c:numRef>
              <c:f>'DCF &amp; Sensitivity Model'!$E$201:$K$201</c:f>
              <c:numCache>
                <c:formatCode>#,##0</c:formatCode>
                <c:ptCount val="7"/>
                <c:pt idx="0">
                  <c:v>232.2714623999999</c:v>
                </c:pt>
                <c:pt idx="1">
                  <c:v>253.88813268000001</c:v>
                </c:pt>
                <c:pt idx="2">
                  <c:v>265.54412256120031</c:v>
                </c:pt>
                <c:pt idx="3">
                  <c:v>283.63781997180013</c:v>
                </c:pt>
                <c:pt idx="4">
                  <c:v>295.22683316328914</c:v>
                </c:pt>
                <c:pt idx="5">
                  <c:v>308.61783488665799</c:v>
                </c:pt>
                <c:pt idx="6">
                  <c:v>321.75971612131536</c:v>
                </c:pt>
              </c:numCache>
            </c:numRef>
          </c:val>
          <c:extLst>
            <c:ext xmlns:c16="http://schemas.microsoft.com/office/drawing/2014/chart" uri="{C3380CC4-5D6E-409C-BE32-E72D297353CC}">
              <c16:uniqueId val="{00000007-8C5B-4C20-9562-68A1640ADE6A}"/>
            </c:ext>
          </c:extLst>
        </c:ser>
        <c:dLbls>
          <c:dLblPos val="outEnd"/>
          <c:showLegendKey val="0"/>
          <c:showVal val="1"/>
          <c:showCatName val="0"/>
          <c:showSerName val="0"/>
          <c:showPercent val="0"/>
          <c:showBubbleSize val="0"/>
        </c:dLbls>
        <c:gapWidth val="50"/>
        <c:overlap val="-27"/>
        <c:axId val="710320152"/>
        <c:axId val="710319168"/>
      </c:barChart>
      <c:catAx>
        <c:axId val="710320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10319168"/>
        <c:crosses val="autoZero"/>
        <c:auto val="1"/>
        <c:lblAlgn val="ctr"/>
        <c:lblOffset val="100"/>
        <c:noMultiLvlLbl val="0"/>
      </c:catAx>
      <c:valAx>
        <c:axId val="7103191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1032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'Football Field'!$B$30</c:f>
              <c:strCache>
                <c:ptCount val="1"/>
                <c:pt idx="0">
                  <c:v>Minimum to 25th Percentile</c:v>
                </c:pt>
              </c:strCache>
            </c:strRef>
          </c:tx>
          <c:spPr>
            <a:noFill/>
            <a:ln>
              <a:noFill/>
            </a:ln>
            <a:effectLst/>
          </c:spPr>
          <c:invertIfNegative val="0"/>
          <c:cat>
            <c:strRef>
              <c:f>'Football Field'!$C$29:$H$29</c:f>
              <c:strCache>
                <c:ptCount val="6"/>
                <c:pt idx="0">
                  <c:v>EV / Revenue FY22</c:v>
                </c:pt>
                <c:pt idx="1">
                  <c:v>EV / EBITDA FY 22 </c:v>
                </c:pt>
                <c:pt idx="2">
                  <c:v>EV / EBIT FY 21</c:v>
                </c:pt>
                <c:pt idx="3">
                  <c:v>EV / Revenue </c:v>
                </c:pt>
                <c:pt idx="4">
                  <c:v>EV / EBITDA </c:v>
                </c:pt>
                <c:pt idx="5">
                  <c:v>Shareprice</c:v>
                </c:pt>
              </c:strCache>
            </c:strRef>
          </c:cat>
          <c:val>
            <c:numRef>
              <c:f>'Football Field'!$C$30:$H$30</c:f>
              <c:numCache>
                <c:formatCode>_-* #,##0.0\ _€_-;\-* #,##0.0\ _€_-;_-* "-"?\ _€_-;_-@_-</c:formatCode>
                <c:ptCount val="6"/>
                <c:pt idx="0">
                  <c:v>3034.7271569999998</c:v>
                </c:pt>
                <c:pt idx="1">
                  <c:v>1168.3790159999999</c:v>
                </c:pt>
                <c:pt idx="2">
                  <c:v>896.03724192844584</c:v>
                </c:pt>
                <c:pt idx="3">
                  <c:v>2083.33356</c:v>
                </c:pt>
                <c:pt idx="4">
                  <c:v>450.87574500000028</c:v>
                </c:pt>
                <c:pt idx="5">
                  <c:v>726.88000000000011</c:v>
                </c:pt>
              </c:numCache>
            </c:numRef>
          </c:val>
          <c:extLst>
            <c:ext xmlns:c16="http://schemas.microsoft.com/office/drawing/2014/chart" uri="{C3380CC4-5D6E-409C-BE32-E72D297353CC}">
              <c16:uniqueId val="{00000000-E98F-8C4A-823A-7628E9E12838}"/>
            </c:ext>
          </c:extLst>
        </c:ser>
        <c:ser>
          <c:idx val="1"/>
          <c:order val="1"/>
          <c:tx>
            <c:strRef>
              <c:f>'Football Field'!$B$31</c:f>
              <c:strCache>
                <c:ptCount val="1"/>
                <c:pt idx="0">
                  <c:v>25th Percentile to Median </c:v>
                </c:pt>
              </c:strCache>
            </c:strRef>
          </c:tx>
          <c:spPr>
            <a:solidFill>
              <a:schemeClr val="accent2"/>
            </a:solidFill>
            <a:ln>
              <a:noFill/>
            </a:ln>
            <a:effectLst/>
          </c:spPr>
          <c:invertIfNegative val="0"/>
          <c:cat>
            <c:strRef>
              <c:f>'Football Field'!$C$29:$H$29</c:f>
              <c:strCache>
                <c:ptCount val="6"/>
                <c:pt idx="0">
                  <c:v>EV / Revenue FY22</c:v>
                </c:pt>
                <c:pt idx="1">
                  <c:v>EV / EBITDA FY 22 </c:v>
                </c:pt>
                <c:pt idx="2">
                  <c:v>EV / EBIT FY 21</c:v>
                </c:pt>
                <c:pt idx="3">
                  <c:v>EV / Revenue </c:v>
                </c:pt>
                <c:pt idx="4">
                  <c:v>EV / EBITDA </c:v>
                </c:pt>
                <c:pt idx="5">
                  <c:v>Shareprice</c:v>
                </c:pt>
              </c:strCache>
            </c:strRef>
          </c:cat>
          <c:val>
            <c:numRef>
              <c:f>'Football Field'!$C$31:$H$31</c:f>
              <c:numCache>
                <c:formatCode>_-* #,##0.0\ _€_-;\-* #,##0.0\ _€_-;_-* "-"?\ _€_-;_-@_-</c:formatCode>
                <c:ptCount val="6"/>
                <c:pt idx="0">
                  <c:v>4560.5463750000008</c:v>
                </c:pt>
                <c:pt idx="1">
                  <c:v>1149.596833999999</c:v>
                </c:pt>
                <c:pt idx="2">
                  <c:v>714.45427318190013</c:v>
                </c:pt>
                <c:pt idx="3">
                  <c:v>3614.5401599999996</c:v>
                </c:pt>
                <c:pt idx="4">
                  <c:v>1057.7595449999999</c:v>
                </c:pt>
                <c:pt idx="5">
                  <c:v>2420.88</c:v>
                </c:pt>
              </c:numCache>
            </c:numRef>
          </c:val>
          <c:extLst>
            <c:ext xmlns:c16="http://schemas.microsoft.com/office/drawing/2014/chart" uri="{C3380CC4-5D6E-409C-BE32-E72D297353CC}">
              <c16:uniqueId val="{00000001-E98F-8C4A-823A-7628E9E12838}"/>
            </c:ext>
          </c:extLst>
        </c:ser>
        <c:ser>
          <c:idx val="2"/>
          <c:order val="2"/>
          <c:tx>
            <c:strRef>
              <c:f>'Football Field'!$B$32</c:f>
              <c:strCache>
                <c:ptCount val="1"/>
                <c:pt idx="0">
                  <c:v>Median to 75th Percentile </c:v>
                </c:pt>
              </c:strCache>
            </c:strRef>
          </c:tx>
          <c:spPr>
            <a:solidFill>
              <a:schemeClr val="accent3"/>
            </a:solidFill>
            <a:ln>
              <a:noFill/>
            </a:ln>
            <a:effectLst/>
          </c:spPr>
          <c:invertIfNegative val="0"/>
          <c:cat>
            <c:strRef>
              <c:f>'Football Field'!$C$29:$H$29</c:f>
              <c:strCache>
                <c:ptCount val="6"/>
                <c:pt idx="0">
                  <c:v>EV / Revenue FY22</c:v>
                </c:pt>
                <c:pt idx="1">
                  <c:v>EV / EBITDA FY 22 </c:v>
                </c:pt>
                <c:pt idx="2">
                  <c:v>EV / EBIT FY 21</c:v>
                </c:pt>
                <c:pt idx="3">
                  <c:v>EV / Revenue </c:v>
                </c:pt>
                <c:pt idx="4">
                  <c:v>EV / EBITDA </c:v>
                </c:pt>
                <c:pt idx="5">
                  <c:v>Shareprice</c:v>
                </c:pt>
              </c:strCache>
            </c:strRef>
          </c:cat>
          <c:val>
            <c:numRef>
              <c:f>'Football Field'!$C$32:$H$32</c:f>
              <c:numCache>
                <c:formatCode>_-* #,##0.0\ _€_-;\-* #,##0.0\ _€_-;_-* "-"?\ _€_-;_-@_-</c:formatCode>
                <c:ptCount val="6"/>
                <c:pt idx="0">
                  <c:v>2454.2765939999972</c:v>
                </c:pt>
                <c:pt idx="1">
                  <c:v>1755.6495640000003</c:v>
                </c:pt>
                <c:pt idx="2">
                  <c:v>2685.5878493157634</c:v>
                </c:pt>
                <c:pt idx="3">
                  <c:v>12698.92008</c:v>
                </c:pt>
                <c:pt idx="4">
                  <c:v>1363.2284449999997</c:v>
                </c:pt>
                <c:pt idx="5">
                  <c:v>6104.5600000000013</c:v>
                </c:pt>
              </c:numCache>
            </c:numRef>
          </c:val>
          <c:extLst>
            <c:ext xmlns:c16="http://schemas.microsoft.com/office/drawing/2014/chart" uri="{C3380CC4-5D6E-409C-BE32-E72D297353CC}">
              <c16:uniqueId val="{00000002-E98F-8C4A-823A-7628E9E12838}"/>
            </c:ext>
          </c:extLst>
        </c:ser>
        <c:ser>
          <c:idx val="3"/>
          <c:order val="3"/>
          <c:tx>
            <c:strRef>
              <c:f>'Football Field'!$B$33</c:f>
              <c:strCache>
                <c:ptCount val="1"/>
                <c:pt idx="0">
                  <c:v>75th Percentile to Maximum </c:v>
                </c:pt>
              </c:strCache>
            </c:strRef>
          </c:tx>
          <c:spPr>
            <a:noFill/>
            <a:ln>
              <a:noFill/>
            </a:ln>
            <a:effectLst/>
          </c:spPr>
          <c:invertIfNegative val="0"/>
          <c:cat>
            <c:strRef>
              <c:f>'Football Field'!$C$29:$H$29</c:f>
              <c:strCache>
                <c:ptCount val="6"/>
                <c:pt idx="0">
                  <c:v>EV / Revenue FY22</c:v>
                </c:pt>
                <c:pt idx="1">
                  <c:v>EV / EBITDA FY 22 </c:v>
                </c:pt>
                <c:pt idx="2">
                  <c:v>EV / EBIT FY 21</c:v>
                </c:pt>
                <c:pt idx="3">
                  <c:v>EV / Revenue </c:v>
                </c:pt>
                <c:pt idx="4">
                  <c:v>EV / EBITDA </c:v>
                </c:pt>
                <c:pt idx="5">
                  <c:v>Shareprice</c:v>
                </c:pt>
              </c:strCache>
            </c:strRef>
          </c:cat>
          <c:val>
            <c:numRef>
              <c:f>'Football Field'!$C$33:$H$33</c:f>
              <c:numCache>
                <c:formatCode>_-* #,##0.0\ _€_-;\-* #,##0.0\ _€_-;_-* "-"?\ _€_-;_-@_-</c:formatCode>
                <c:ptCount val="6"/>
                <c:pt idx="0">
                  <c:v>12731.935062</c:v>
                </c:pt>
                <c:pt idx="1">
                  <c:v>9503.451664000002</c:v>
                </c:pt>
                <c:pt idx="2">
                  <c:v>7306.3534452540134</c:v>
                </c:pt>
                <c:pt idx="3">
                  <c:v>5345.7280799999971</c:v>
                </c:pt>
                <c:pt idx="4">
                  <c:v>1367.2824449999998</c:v>
                </c:pt>
                <c:pt idx="5">
                  <c:v>8784.16</c:v>
                </c:pt>
              </c:numCache>
            </c:numRef>
          </c:val>
          <c:extLst>
            <c:ext xmlns:c16="http://schemas.microsoft.com/office/drawing/2014/chart" uri="{C3380CC4-5D6E-409C-BE32-E72D297353CC}">
              <c16:uniqueId val="{00000003-E98F-8C4A-823A-7628E9E12838}"/>
            </c:ext>
          </c:extLst>
        </c:ser>
        <c:dLbls>
          <c:showLegendKey val="0"/>
          <c:showVal val="0"/>
          <c:showCatName val="0"/>
          <c:showSerName val="0"/>
          <c:showPercent val="0"/>
          <c:showBubbleSize val="0"/>
        </c:dLbls>
        <c:gapWidth val="150"/>
        <c:overlap val="100"/>
        <c:axId val="204347407"/>
        <c:axId val="224082607"/>
      </c:barChart>
      <c:catAx>
        <c:axId val="204347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24082607"/>
        <c:crosses val="autoZero"/>
        <c:auto val="1"/>
        <c:lblAlgn val="ctr"/>
        <c:lblOffset val="100"/>
        <c:noMultiLvlLbl val="0"/>
      </c:catAx>
      <c:valAx>
        <c:axId val="224082607"/>
        <c:scaling>
          <c:orientation val="minMax"/>
          <c:max val="20000"/>
        </c:scaling>
        <c:delete val="0"/>
        <c:axPos val="b"/>
        <c:majorGridlines>
          <c:spPr>
            <a:ln w="9525" cap="flat" cmpd="sng" algn="ctr">
              <a:solidFill>
                <a:schemeClr val="tx1">
                  <a:lumMod val="15000"/>
                  <a:lumOff val="85000"/>
                </a:schemeClr>
              </a:solidFill>
              <a:round/>
            </a:ln>
            <a:effectLst/>
          </c:spPr>
        </c:majorGridlines>
        <c:numFmt formatCode="_-* #,##0.0\ _€_-;\-* #,##0.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347407"/>
        <c:crosses val="autoZero"/>
        <c:crossBetween val="between"/>
      </c:valAx>
      <c:spPr>
        <a:noFill/>
        <a:ln>
          <a:noFill/>
        </a:ln>
        <a:effectLst/>
      </c:spPr>
    </c:plotArea>
    <c:legend>
      <c:legendPos val="b"/>
      <c:legendEntry>
        <c:idx val="0"/>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lvl ptCount="3">
          <cx:pt idx="0">Market Value</cx:pt>
          <cx:pt idx="1">Upside</cx:pt>
          <cx:pt idx="2">Intrinsic Value</cx:pt>
        </cx:lvl>
      </cx:strDim>
      <cx:numDim type="val">
        <cx:lvl ptCount="3">
          <cx:pt idx="0">42.289999999999999</cx:pt>
          <cx:pt idx="1">22.1401219257964</cx:pt>
          <cx:pt idx="2">64.430121925796399</cx:pt>
        </cx:lvl>
      </cx:numDim>
    </cx:data>
  </cx:chartData>
  <cx:chart>
    <cx:title pos="t" align="ctr" overlay="0">
      <cx:tx>
        <cx:txData>
          <cx:v>Shareprice: Market value vs. Intrinsic value</cx:v>
        </cx:txData>
      </cx:tx>
      <cx:txPr>
        <a:bodyPr spcFirstLastPara="1" vertOverflow="ellipsis" horzOverflow="overflow" wrap="square" lIns="0" tIns="0" rIns="0" bIns="0" anchor="ctr" anchorCtr="1"/>
        <a:lstStyle/>
        <a:p>
          <a:pPr algn="ctr" rtl="0">
            <a:defRPr/>
          </a:pPr>
          <a:r>
            <a:rPr lang="de-DE" sz="1000" b="1" i="0" u="none" strike="noStrike" kern="1200" baseline="0">
              <a:solidFill>
                <a:sysClr val="windowText" lastClr="000000"/>
              </a:solidFill>
              <a:latin typeface="Calibri" panose="020F0502020204030204"/>
            </a:rPr>
            <a:t>Shareprice: Market value vs. Intrinsic value</a:t>
          </a:r>
        </a:p>
      </cx:txPr>
    </cx:title>
    <cx:plotArea>
      <cx:plotAreaRegion>
        <cx:series layoutId="waterfall" uniqueId="{00000000-95DB-42B6-A1F5-F33100B8E5FF}">
          <cx:dataPt idx="0">
            <cx:spPr>
              <a:solidFill>
                <a:srgbClr val="1E8496"/>
              </a:solidFill>
            </cx:spPr>
          </cx:dataPt>
          <cx:dataPt idx="1">
            <cx:spPr>
              <a:solidFill>
                <a:srgbClr val="132E57"/>
              </a:solidFill>
            </cx:spPr>
          </cx:dataPt>
          <cx:dataPt idx="2">
            <cx:spPr>
              <a:solidFill>
                <a:srgbClr val="ED942D"/>
              </a:solidFill>
            </cx:spPr>
          </cx:dataPt>
          <cx:dataLabels>
            <cx:numFmt formatCode="#.##0,00 €" sourceLinked="0"/>
            <cx:visibility seriesName="0" categoryName="0" value="1"/>
            <cx:separator>, </cx:separator>
          </cx:dataLabels>
          <cx:dataId val="0"/>
          <cx:layoutPr>
            <cx:subtotals>
              <cx:idx val="2"/>
            </cx:subtotals>
          </cx:layoutPr>
        </cx:series>
      </cx:plotAreaRegion>
      <cx:axis id="0">
        <cx:valScaling/>
        <cx:tickLabels/>
      </cx:axis>
      <cx:axis id="1">
        <cx:catScaling/>
        <cx:tickLabels/>
      </cx:axis>
    </cx:plotArea>
  </cx:chart>
</cx: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
  <cs:axisTitle>
    <cs:lnRef idx="0"/>
    <cs:fillRef idx="0"/>
    <cs:effectRef idx="0"/>
    <cs:fontRef idx="minor">
      <a:schemeClr val="tx1"/>
    </cs:fontRef>
    <cs:defRPr sz="1000" b="1" kern="1200"/>
  </cs:axisTitle>
  <cs:categoryAxis>
    <cs:lnRef idx="1">
      <a:schemeClr val="tx1"/>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0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366757</xdr:colOff>
      <xdr:row>176</xdr:row>
      <xdr:rowOff>92757</xdr:rowOff>
    </xdr:from>
    <xdr:to>
      <xdr:col>11</xdr:col>
      <xdr:colOff>534113</xdr:colOff>
      <xdr:row>189</xdr:row>
      <xdr:rowOff>97921</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166146</xdr:colOff>
      <xdr:row>176</xdr:row>
      <xdr:rowOff>66027</xdr:rowOff>
    </xdr:from>
    <xdr:to>
      <xdr:col>18</xdr:col>
      <xdr:colOff>707881</xdr:colOff>
      <xdr:row>189</xdr:row>
      <xdr:rowOff>66027</xdr:rowOff>
    </xdr:to>
    <mc:AlternateContent xmlns:mc="http://schemas.openxmlformats.org/markup-compatibility/2006">
      <mc:Choice xmlns:cx1="http://schemas.microsoft.com/office/drawing/2015/9/8/chartex" Requires="cx1">
        <xdr:graphicFrame macro="">
          <xdr:nvGraphicFramePr>
            <xdr:cNvPr id="27" name="Diagramm 2" descr="{&quot;Id&quot;:&quot;POWER_USER_LINK_29E20CB5_B884_44DA_A9E0_2B5B3D7BA222&quot;,&quot;SourceFullName&quot;:&quot;https://fsstudentsde.sharepoint.com/sites/MergersAcquisitions/Freigegebene Dokumente/General/DCF/DCF_Ubisoft 4.0.xlsx&quot;,&quot;LastUpdate&quot;:&quot;2022-05-15 1:41 AM&quot;,&quot;UpdatedBy&quot;:&quot;herrm&quot;,&quot;IsLinked&quot;:true,&quot;IsBrokenLink&quot;:false,&quot;Type&quot;:1}">
              <a:extLst>
                <a:ext uri="{FF2B5EF4-FFF2-40B4-BE49-F238E27FC236}">
                  <a16:creationId xmlns:a16="http://schemas.microsoft.com/office/drawing/2014/main" id="{766B8AC8-0A83-B972-C193-9B65D9F116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835926" y="34196007"/>
              <a:ext cx="5327095" cy="26670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75835</xdr:colOff>
      <xdr:row>5</xdr:row>
      <xdr:rowOff>109640</xdr:rowOff>
    </xdr:from>
    <xdr:to>
      <xdr:col>16</xdr:col>
      <xdr:colOff>429425</xdr:colOff>
      <xdr:row>32</xdr:row>
      <xdr:rowOff>100502</xdr:rowOff>
    </xdr:to>
    <xdr:graphicFrame macro="">
      <xdr:nvGraphicFramePr>
        <xdr:cNvPr id="2" name="Chart 1">
          <a:extLst>
            <a:ext uri="{FF2B5EF4-FFF2-40B4-BE49-F238E27FC236}">
              <a16:creationId xmlns:a16="http://schemas.microsoft.com/office/drawing/2014/main" id="{A62F0865-C8A1-F5F1-8C22-5DB95B870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sstudentsde.sharepoint.com/sites/MergersAcquisitions/Freigegebene%20Dokumente/General/Mergermarket/Ubisoft_Multiple_Valuation-2022.04.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dingComps (4)"/>
      <sheetName val="_CIQHiddenCacheSheet"/>
      <sheetName val="BackUp, nicht beachten"/>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1"/>
  <sheetViews>
    <sheetView showGridLines="0" zoomScale="85" zoomScaleNormal="85" workbookViewId="0">
      <pane ySplit="4" topLeftCell="A124" activePane="bottomLeft" state="frozen"/>
      <selection pane="bottomLeft" activeCell="S156" sqref="S150:S156"/>
    </sheetView>
  </sheetViews>
  <sheetFormatPr defaultColWidth="9.109375" defaultRowHeight="15.6" outlineLevelRow="1" x14ac:dyDescent="0.3"/>
  <cols>
    <col min="1" max="1" width="12.77734375" style="6" customWidth="1"/>
    <col min="2" max="2" width="12.44140625" style="6" customWidth="1"/>
    <col min="3" max="3" width="12.77734375" style="8" customWidth="1"/>
    <col min="4" max="12" width="11.44140625" style="6" customWidth="1"/>
    <col min="13" max="13" width="11.77734375" style="6" bestFit="1" customWidth="1"/>
    <col min="14" max="16" width="11.33203125" style="6" bestFit="1" customWidth="1"/>
    <col min="17" max="17" width="13.44140625" style="6" customWidth="1"/>
    <col min="18" max="18" width="11.33203125" style="6" bestFit="1" customWidth="1"/>
    <col min="19" max="19" width="14" style="6" customWidth="1"/>
    <col min="20" max="20" width="12.33203125" style="6" customWidth="1"/>
    <col min="21" max="21" width="9.109375" style="6" bestFit="1" customWidth="1"/>
    <col min="22" max="16384" width="9.109375" style="6"/>
  </cols>
  <sheetData>
    <row r="1" spans="1:26" x14ac:dyDescent="0.3">
      <c r="A1" s="48"/>
      <c r="B1" s="49"/>
      <c r="C1" s="50"/>
      <c r="D1" s="57" t="s">
        <v>0</v>
      </c>
      <c r="E1" s="58"/>
      <c r="F1" s="58"/>
      <c r="G1" s="58"/>
      <c r="H1" s="58"/>
      <c r="I1" s="54" t="s">
        <v>1</v>
      </c>
      <c r="J1" s="55"/>
      <c r="K1" s="55"/>
      <c r="L1" s="55"/>
      <c r="M1" s="55"/>
      <c r="N1" s="55"/>
      <c r="O1" s="55"/>
    </row>
    <row r="2" spans="1:26" ht="21" customHeight="1" x14ac:dyDescent="0.35">
      <c r="A2" s="51" t="s">
        <v>2</v>
      </c>
      <c r="B2" s="52"/>
      <c r="C2" s="53"/>
      <c r="D2" s="59">
        <v>2017</v>
      </c>
      <c r="E2" s="59">
        <v>2018</v>
      </c>
      <c r="F2" s="59">
        <v>2019</v>
      </c>
      <c r="G2" s="59">
        <v>2020</v>
      </c>
      <c r="H2" s="59">
        <v>2021</v>
      </c>
      <c r="I2" s="56">
        <f t="shared" ref="I2:M2" si="0">+H2+1</f>
        <v>2022</v>
      </c>
      <c r="J2" s="56">
        <f t="shared" si="0"/>
        <v>2023</v>
      </c>
      <c r="K2" s="56">
        <f t="shared" si="0"/>
        <v>2024</v>
      </c>
      <c r="L2" s="56">
        <f t="shared" si="0"/>
        <v>2025</v>
      </c>
      <c r="M2" s="56">
        <f t="shared" si="0"/>
        <v>2026</v>
      </c>
      <c r="N2" s="56">
        <f t="shared" ref="N2" si="1">+M2+1</f>
        <v>2027</v>
      </c>
      <c r="O2" s="56">
        <f t="shared" ref="O2" si="2">+N2+1</f>
        <v>2028</v>
      </c>
      <c r="P2" s="12"/>
    </row>
    <row r="3" spans="1:26" x14ac:dyDescent="0.3">
      <c r="A3" s="6" t="s">
        <v>3</v>
      </c>
      <c r="D3" s="13" t="str">
        <f t="shared" ref="D3:H3" si="3">IFERROR(IF(ABS(D132)&gt;1,"ERROR","OK"),"OK")</f>
        <v>OK</v>
      </c>
      <c r="E3" s="13" t="str">
        <f t="shared" si="3"/>
        <v>OK</v>
      </c>
      <c r="F3" s="13" t="str">
        <f t="shared" si="3"/>
        <v>OK</v>
      </c>
      <c r="G3" s="13" t="str">
        <f t="shared" si="3"/>
        <v>OK</v>
      </c>
      <c r="H3" s="13" t="str">
        <f t="shared" si="3"/>
        <v>OK</v>
      </c>
      <c r="I3" s="13" t="str">
        <f t="shared" ref="I3:O3" si="4">IFERROR(IF(ABS(I132)&gt;1,"ERROR","OK"),"OK")</f>
        <v>OK</v>
      </c>
      <c r="J3" s="13" t="str">
        <f t="shared" si="4"/>
        <v>OK</v>
      </c>
      <c r="K3" s="13" t="str">
        <f t="shared" si="4"/>
        <v>OK</v>
      </c>
      <c r="L3" s="13" t="str">
        <f t="shared" si="4"/>
        <v>OK</v>
      </c>
      <c r="M3" s="13" t="str">
        <f t="shared" si="4"/>
        <v>OK</v>
      </c>
      <c r="N3" s="13" t="str">
        <f t="shared" si="4"/>
        <v>OK</v>
      </c>
      <c r="O3" s="13" t="str">
        <f t="shared" si="4"/>
        <v>OK</v>
      </c>
    </row>
    <row r="4" spans="1:26" x14ac:dyDescent="0.3">
      <c r="D4" s="13"/>
      <c r="E4" s="13"/>
      <c r="F4" s="13"/>
      <c r="G4" s="13"/>
      <c r="H4" s="208" t="s">
        <v>4</v>
      </c>
      <c r="I4" s="64">
        <v>1</v>
      </c>
      <c r="J4" s="13"/>
      <c r="K4" s="208" t="s">
        <v>5</v>
      </c>
      <c r="L4" s="191">
        <f>D217</f>
        <v>62.648695264864337</v>
      </c>
      <c r="M4" s="13"/>
    </row>
    <row r="5" spans="1:26" x14ac:dyDescent="0.3">
      <c r="R5" s="463"/>
      <c r="S5" s="463"/>
      <c r="T5" s="463"/>
      <c r="U5" s="463"/>
      <c r="V5" s="463"/>
      <c r="W5" s="463"/>
      <c r="X5" s="463"/>
      <c r="Y5" s="463"/>
      <c r="Z5" s="463"/>
    </row>
    <row r="6" spans="1:26" ht="20.399999999999999" x14ac:dyDescent="0.35">
      <c r="A6" s="60" t="s">
        <v>6</v>
      </c>
      <c r="B6" s="60"/>
      <c r="C6" s="60"/>
      <c r="D6" s="60"/>
      <c r="E6" s="60"/>
      <c r="F6" s="60"/>
      <c r="G6" s="60"/>
      <c r="H6" s="60"/>
      <c r="I6" s="60"/>
      <c r="J6" s="60"/>
      <c r="K6" s="60"/>
      <c r="L6" s="60"/>
      <c r="M6" s="60"/>
      <c r="N6" s="60"/>
      <c r="O6" s="60"/>
      <c r="R6" s="469" t="s">
        <v>7</v>
      </c>
      <c r="S6" s="469"/>
      <c r="T6" s="469"/>
      <c r="U6" s="469"/>
      <c r="V6" s="469"/>
      <c r="W6" s="469"/>
      <c r="X6" s="469"/>
      <c r="Y6" s="469"/>
      <c r="Z6" s="469"/>
    </row>
    <row r="7" spans="1:26" outlineLevel="1" x14ac:dyDescent="0.3">
      <c r="D7" s="14"/>
      <c r="E7" s="14"/>
      <c r="F7" s="14"/>
      <c r="G7" s="14"/>
      <c r="H7" s="14"/>
      <c r="I7" s="15"/>
      <c r="J7" s="15"/>
      <c r="K7" s="15"/>
      <c r="L7" s="15"/>
      <c r="M7" s="15"/>
      <c r="R7" s="463"/>
      <c r="S7" s="463"/>
      <c r="T7" s="463"/>
      <c r="U7" s="463"/>
      <c r="V7" s="463"/>
      <c r="W7" s="463"/>
      <c r="X7" s="463"/>
      <c r="Y7" s="463"/>
      <c r="Z7" s="463"/>
    </row>
    <row r="8" spans="1:26" outlineLevel="1" x14ac:dyDescent="0.3">
      <c r="A8" s="7" t="s">
        <v>8</v>
      </c>
      <c r="B8" s="16"/>
      <c r="C8" s="17"/>
      <c r="D8" s="16"/>
      <c r="E8" s="16"/>
      <c r="F8" s="16"/>
      <c r="G8" s="16"/>
      <c r="H8" s="18"/>
      <c r="I8" s="19"/>
      <c r="J8" s="19"/>
      <c r="K8" s="19"/>
      <c r="L8" s="19"/>
      <c r="M8" s="19"/>
      <c r="N8" s="19"/>
      <c r="O8" s="19"/>
      <c r="R8" s="463"/>
      <c r="S8" s="463"/>
      <c r="T8" s="463"/>
      <c r="U8" s="463"/>
      <c r="V8" s="463"/>
      <c r="W8" s="463"/>
      <c r="X8" s="463"/>
      <c r="Y8" s="463"/>
      <c r="Z8" s="463"/>
    </row>
    <row r="9" spans="1:26" outlineLevel="1" x14ac:dyDescent="0.3">
      <c r="A9" s="203" t="s">
        <v>9</v>
      </c>
      <c r="B9" s="204"/>
      <c r="C9" s="205"/>
      <c r="D9" s="22"/>
      <c r="E9" s="2">
        <f>+$E$70/$D$70-1</f>
        <v>0.18631413110487016</v>
      </c>
      <c r="F9" s="2">
        <f>+$F$70/$E$70-1</f>
        <v>6.5592701657139596E-2</v>
      </c>
      <c r="G9" s="2">
        <f>+$G$70/$F$70-1</f>
        <v>-0.13584394473042538</v>
      </c>
      <c r="H9" s="2">
        <f>+$H$70/$G$70-1</f>
        <v>0.39440682217205936</v>
      </c>
      <c r="I9" s="190">
        <v>0.02</v>
      </c>
      <c r="J9" s="1">
        <v>0.05</v>
      </c>
      <c r="K9" s="1">
        <v>7.0000000000000007E-2</v>
      </c>
      <c r="L9" s="1">
        <v>0.05</v>
      </c>
      <c r="M9" s="1">
        <v>3.5000000000000003E-2</v>
      </c>
      <c r="N9" s="1">
        <v>2.8000000000000001E-2</v>
      </c>
      <c r="O9" s="1">
        <v>0.02</v>
      </c>
      <c r="R9" s="463"/>
      <c r="S9" s="463"/>
      <c r="T9" s="463"/>
      <c r="U9" s="463"/>
      <c r="V9" s="463"/>
      <c r="W9" s="463"/>
      <c r="X9" s="463"/>
      <c r="Y9" s="463"/>
      <c r="Z9" s="463"/>
    </row>
    <row r="10" spans="1:26" outlineLevel="1" x14ac:dyDescent="0.3">
      <c r="A10" s="16" t="s">
        <v>10</v>
      </c>
      <c r="B10" s="16"/>
      <c r="C10" s="17"/>
      <c r="D10" s="24">
        <f>+$D$71/$D$70</f>
        <v>0.18556065483937254</v>
      </c>
      <c r="E10" s="24">
        <f>+$E$71/$E$70</f>
        <v>0.17137248109013223</v>
      </c>
      <c r="F10" s="24">
        <f>+$F$71/$F$70</f>
        <v>0.1782714711460309</v>
      </c>
      <c r="G10" s="24">
        <f>+$G$71/$G$70</f>
        <v>0.15870328567845499</v>
      </c>
      <c r="H10" s="24">
        <f>+$H$71/$H$70</f>
        <v>0.14646101268099648</v>
      </c>
      <c r="I10" s="149">
        <v>0.15</v>
      </c>
      <c r="J10" s="149">
        <v>0.15</v>
      </c>
      <c r="K10" s="149">
        <v>0.15</v>
      </c>
      <c r="L10" s="149">
        <v>0.15</v>
      </c>
      <c r="M10" s="149">
        <v>0.15</v>
      </c>
      <c r="N10" s="149">
        <v>0.15</v>
      </c>
      <c r="O10" s="149">
        <v>0.15</v>
      </c>
      <c r="R10" s="463" t="s">
        <v>11</v>
      </c>
      <c r="S10" s="464">
        <f>AVERAGE(D10:H10)</f>
        <v>0.16807378108699739</v>
      </c>
      <c r="T10" s="463"/>
      <c r="U10" s="463"/>
      <c r="V10" s="465"/>
      <c r="W10" s="463"/>
      <c r="X10" s="463"/>
      <c r="Y10" s="463"/>
      <c r="Z10" s="463"/>
    </row>
    <row r="11" spans="1:26" outlineLevel="1" x14ac:dyDescent="0.3">
      <c r="A11" s="16" t="s">
        <v>12</v>
      </c>
      <c r="B11" s="16"/>
      <c r="C11" s="17"/>
      <c r="D11" s="24">
        <f>+$D$75/$D$70</f>
        <v>0.28981437084731831</v>
      </c>
      <c r="E11" s="24">
        <f>+$E$75/$E$70</f>
        <v>0.27068537444425195</v>
      </c>
      <c r="F11" s="24">
        <f>+$F$75/$F$70</f>
        <v>0.29097805472771604</v>
      </c>
      <c r="G11" s="24">
        <f>+$G$75/$G$70</f>
        <v>0.34455731126160022</v>
      </c>
      <c r="H11" s="24">
        <f>+$H$75/$H$70</f>
        <v>0.28226459213958088</v>
      </c>
      <c r="I11" s="149">
        <v>0.28100000000000003</v>
      </c>
      <c r="J11" s="149">
        <v>0.28000000000000003</v>
      </c>
      <c r="K11" s="149">
        <v>0.28499999999999998</v>
      </c>
      <c r="L11" s="149">
        <v>0.28199999999999997</v>
      </c>
      <c r="M11" s="149">
        <v>0.28000000000000003</v>
      </c>
      <c r="N11" s="149">
        <v>0.27900000000000003</v>
      </c>
      <c r="O11" s="149">
        <v>0.27800000000000002</v>
      </c>
      <c r="R11" s="463" t="s">
        <v>11</v>
      </c>
      <c r="S11" s="464">
        <f>+AVERAGE(D11:H11)</f>
        <v>0.29565994068409351</v>
      </c>
      <c r="T11" s="463"/>
      <c r="U11" s="463"/>
      <c r="V11" s="465"/>
      <c r="W11" s="463"/>
      <c r="X11" s="463"/>
      <c r="Y11" s="463"/>
      <c r="Z11" s="463"/>
    </row>
    <row r="12" spans="1:26" outlineLevel="1" x14ac:dyDescent="0.3">
      <c r="A12" s="16" t="s">
        <v>13</v>
      </c>
      <c r="B12" s="16"/>
      <c r="C12" s="17"/>
      <c r="D12" s="24">
        <f>+$D$76/$D$70</f>
        <v>7.6032604972943341E-2</v>
      </c>
      <c r="E12" s="24">
        <f>+$E$76/$E$70</f>
        <v>0.11190022518621168</v>
      </c>
      <c r="F12" s="24">
        <f>+$F$76/$F$70</f>
        <v>0.12771606610674613</v>
      </c>
      <c r="G12" s="24">
        <f>+$G$76/$G$70</f>
        <v>0.14553549034361676</v>
      </c>
      <c r="H12" s="24">
        <f>+$H$76/$H$70</f>
        <v>0.14502203435560751</v>
      </c>
      <c r="I12" s="149">
        <v>0.125</v>
      </c>
      <c r="J12" s="149">
        <v>0.12</v>
      </c>
      <c r="K12" s="149">
        <v>0.12</v>
      </c>
      <c r="L12" s="149">
        <v>0.121</v>
      </c>
      <c r="M12" s="149">
        <v>0.123</v>
      </c>
      <c r="N12" s="149">
        <v>0.122</v>
      </c>
      <c r="O12" s="149">
        <v>0.12</v>
      </c>
      <c r="R12" s="463" t="s">
        <v>11</v>
      </c>
      <c r="S12" s="464">
        <f>+AVERAGE(D12:H12)</f>
        <v>0.12124128419302509</v>
      </c>
      <c r="T12" s="463"/>
      <c r="U12" s="463"/>
      <c r="V12" s="465"/>
      <c r="W12" s="463"/>
      <c r="X12" s="463"/>
      <c r="Y12" s="463"/>
      <c r="Z12" s="463"/>
    </row>
    <row r="13" spans="1:26" outlineLevel="1" x14ac:dyDescent="0.3">
      <c r="A13" s="16" t="s">
        <v>14</v>
      </c>
      <c r="B13" s="16"/>
      <c r="C13" s="17"/>
      <c r="D13" s="24">
        <f>+$D$79/$D$70</f>
        <v>0.31098020412357008</v>
      </c>
      <c r="E13" s="24">
        <f>+$E$79/$E$70</f>
        <v>0.29557133783705752</v>
      </c>
      <c r="F13" s="24">
        <f>+$F$79/$F$70</f>
        <v>0.29021945272283933</v>
      </c>
      <c r="G13" s="24">
        <f>+$G$79/$G$70</f>
        <v>0.3253072485578129</v>
      </c>
      <c r="H13" s="24">
        <f>+$H$79/$H$70</f>
        <v>0.24647000629553018</v>
      </c>
      <c r="I13" s="149">
        <v>0.24</v>
      </c>
      <c r="J13" s="149">
        <v>0.23899999999999999</v>
      </c>
      <c r="K13" s="149">
        <v>0.23799999999999999</v>
      </c>
      <c r="L13" s="149">
        <v>0.23699999999999999</v>
      </c>
      <c r="M13" s="149">
        <v>0.23599999999999999</v>
      </c>
      <c r="N13" s="149">
        <v>0.23499999999999999</v>
      </c>
      <c r="O13" s="149">
        <v>0.23400000000000001</v>
      </c>
      <c r="R13" s="463" t="s">
        <v>11</v>
      </c>
      <c r="S13" s="464">
        <f>+AVERAGE(D13:H13)</f>
        <v>0.29370964990736204</v>
      </c>
      <c r="T13" s="463"/>
      <c r="U13" s="463"/>
      <c r="V13" s="465"/>
      <c r="W13" s="463"/>
      <c r="X13" s="463"/>
      <c r="Y13" s="463"/>
      <c r="Z13" s="463"/>
    </row>
    <row r="14" spans="1:26" outlineLevel="1" x14ac:dyDescent="0.3">
      <c r="A14" s="16" t="s">
        <v>15</v>
      </c>
      <c r="B14" s="16"/>
      <c r="C14" s="17"/>
      <c r="D14" s="24">
        <f>+$D$83/$D$119</f>
        <v>1.4046751018657516E-2</v>
      </c>
      <c r="E14" s="24">
        <f>+$E$83/$E$119</f>
        <v>1.6917728852838931E-2</v>
      </c>
      <c r="F14" s="24">
        <f>+$F$83/$F$119</f>
        <v>1.7273471818926363E-2</v>
      </c>
      <c r="G14" s="24">
        <f>+$G$83/$G$119</f>
        <v>1.2445506961046265E-2</v>
      </c>
      <c r="H14" s="24">
        <f>+$H$83/$H$119</f>
        <v>1.2223071046600458E-2</v>
      </c>
      <c r="I14" s="106">
        <v>1.2E-2</v>
      </c>
      <c r="J14" s="106">
        <v>1.2E-2</v>
      </c>
      <c r="K14" s="106">
        <v>1.2E-2</v>
      </c>
      <c r="L14" s="106">
        <v>1.2E-2</v>
      </c>
      <c r="M14" s="106">
        <v>1.2E-2</v>
      </c>
      <c r="N14" s="106">
        <v>1.2E-2</v>
      </c>
      <c r="O14" s="106">
        <v>1.2E-2</v>
      </c>
      <c r="R14" s="463" t="s">
        <v>11</v>
      </c>
      <c r="S14" s="464">
        <f>+AVERAGE(D14:H14)</f>
        <v>1.4581305939613907E-2</v>
      </c>
      <c r="T14" s="463"/>
      <c r="U14" s="463"/>
      <c r="V14" s="463"/>
      <c r="W14" s="463"/>
      <c r="X14" s="463"/>
      <c r="Y14" s="463"/>
      <c r="Z14" s="463"/>
    </row>
    <row r="15" spans="1:26" outlineLevel="1" x14ac:dyDescent="0.3">
      <c r="A15" s="16" t="s">
        <v>16</v>
      </c>
      <c r="B15" s="144"/>
      <c r="C15" s="145"/>
      <c r="D15" s="24">
        <f>+$D$90/$D$86</f>
        <v>0.32268170426065135</v>
      </c>
      <c r="E15" s="24">
        <f>+$E$90/$E$86</f>
        <v>0.33141762452107287</v>
      </c>
      <c r="F15" s="24">
        <f>+$F$90/$F$86</f>
        <v>0.3261455525606477</v>
      </c>
      <c r="G15" s="24">
        <f>+$G$90/$G$86</f>
        <v>-0.58216560509554138</v>
      </c>
      <c r="H15" s="24">
        <f>+$H$90/$H$86</f>
        <v>0.55761143818334746</v>
      </c>
      <c r="I15" s="25">
        <v>0.4</v>
      </c>
      <c r="J15" s="25">
        <v>0.4</v>
      </c>
      <c r="K15" s="25">
        <v>0.4</v>
      </c>
      <c r="L15" s="25">
        <v>0.4</v>
      </c>
      <c r="M15" s="25">
        <v>0.4</v>
      </c>
      <c r="N15" s="25">
        <v>0.4</v>
      </c>
      <c r="O15" s="25">
        <v>0.4</v>
      </c>
      <c r="R15" s="463"/>
      <c r="S15" s="463"/>
      <c r="T15" s="463"/>
      <c r="U15" s="463"/>
      <c r="V15" s="463"/>
      <c r="W15" s="463"/>
      <c r="X15" s="463"/>
      <c r="Y15" s="463"/>
      <c r="Z15" s="463"/>
    </row>
    <row r="16" spans="1:26" outlineLevel="1" x14ac:dyDescent="0.3">
      <c r="A16" s="16" t="s">
        <v>17</v>
      </c>
      <c r="B16" s="144"/>
      <c r="C16" s="145"/>
      <c r="D16" s="24">
        <f>+$D$166/$D$70</f>
        <v>2.9933557092951573E-2</v>
      </c>
      <c r="E16" s="24">
        <f>+$E$166/$E$70</f>
        <v>-8.2164097234251401E-2</v>
      </c>
      <c r="F16" s="24">
        <f>+$F$166/$F$70</f>
        <v>-1.1324844215659713E-2</v>
      </c>
      <c r="G16" s="24">
        <f>+$G$166/$G$70</f>
        <v>0.16384499623777277</v>
      </c>
      <c r="H16" s="24">
        <f>+$H$166/$H$70</f>
        <v>-7.4736936774889837E-2</v>
      </c>
      <c r="I16" s="25">
        <v>7.0000000000000007E-2</v>
      </c>
      <c r="J16" s="25">
        <v>7.0000000000000007E-2</v>
      </c>
      <c r="K16" s="25">
        <v>7.0000000000000007E-2</v>
      </c>
      <c r="L16" s="25">
        <v>7.0000000000000007E-2</v>
      </c>
      <c r="M16" s="25">
        <v>7.0000000000000007E-2</v>
      </c>
      <c r="N16" s="25">
        <v>7.0000000000000007E-2</v>
      </c>
      <c r="O16" s="25">
        <v>7.0000000000000007E-2</v>
      </c>
      <c r="R16" s="463" t="s">
        <v>11</v>
      </c>
      <c r="S16" s="464">
        <f>+AVERAGE(D16:H16)</f>
        <v>5.1105350211846784E-3</v>
      </c>
      <c r="T16" s="463"/>
      <c r="U16" s="463"/>
      <c r="V16" s="463"/>
      <c r="W16" s="463"/>
      <c r="X16" s="463"/>
      <c r="Y16" s="463"/>
      <c r="Z16" s="463"/>
    </row>
    <row r="17" spans="1:26" outlineLevel="1" x14ac:dyDescent="0.3">
      <c r="A17" s="16" t="s">
        <v>18</v>
      </c>
      <c r="B17" s="144"/>
      <c r="C17" s="145"/>
      <c r="D17" s="24">
        <f>+$D$170/$D$70</f>
        <v>-3.8564285225015406E-2</v>
      </c>
      <c r="E17" s="24">
        <f>+$E$170/$E$70</f>
        <v>1.6167215197182283E-2</v>
      </c>
      <c r="F17" s="24">
        <f>+$F$170/$F$70</f>
        <v>0.10262801408832294</v>
      </c>
      <c r="G17" s="24">
        <f>+$G$170/$G$70</f>
        <v>-0.16873589164785555</v>
      </c>
      <c r="H17" s="24">
        <f>+$H$170/$H$70</f>
        <v>6.8981023473333916E-2</v>
      </c>
      <c r="I17" s="25">
        <v>0.06</v>
      </c>
      <c r="J17" s="25">
        <v>0.06</v>
      </c>
      <c r="K17" s="25">
        <v>0.06</v>
      </c>
      <c r="L17" s="25">
        <v>0.06</v>
      </c>
      <c r="M17" s="25">
        <v>0.06</v>
      </c>
      <c r="N17" s="25">
        <v>0.06</v>
      </c>
      <c r="O17" s="25">
        <v>0.06</v>
      </c>
      <c r="R17" s="463" t="s">
        <v>11</v>
      </c>
      <c r="S17" s="464">
        <f>+AVERAGE(D17:H17)</f>
        <v>-3.9047848228063648E-3</v>
      </c>
      <c r="T17" s="463"/>
      <c r="U17" s="463"/>
      <c r="V17" s="463"/>
      <c r="W17" s="463"/>
      <c r="X17" s="463"/>
      <c r="Y17" s="463"/>
      <c r="Z17" s="463"/>
    </row>
    <row r="18" spans="1:26" hidden="1" outlineLevel="1" x14ac:dyDescent="0.3">
      <c r="A18" s="6" t="s">
        <v>19</v>
      </c>
      <c r="C18" s="30"/>
      <c r="D18" s="14">
        <f>(D100/D70)*365</f>
        <v>139.23453661209669</v>
      </c>
      <c r="E18" s="14">
        <f>(E100/E70)*365</f>
        <v>135.61839598129222</v>
      </c>
      <c r="F18" s="14">
        <f>(F100/F70)*365</f>
        <v>113.18856678406935</v>
      </c>
      <c r="G18" s="14">
        <f>(G100/G70)*365</f>
        <v>99.466390770002519</v>
      </c>
      <c r="H18" s="14">
        <f>(H100/H70)*365</f>
        <v>99.349986509578173</v>
      </c>
      <c r="I18" s="15">
        <v>18</v>
      </c>
      <c r="J18" s="15">
        <v>18</v>
      </c>
      <c r="K18" s="15">
        <v>18</v>
      </c>
      <c r="L18" s="15">
        <v>18</v>
      </c>
      <c r="M18" s="15">
        <v>18</v>
      </c>
      <c r="R18" s="463"/>
      <c r="S18" s="463"/>
      <c r="T18" s="463"/>
      <c r="U18" s="463"/>
      <c r="V18" s="463"/>
      <c r="W18" s="463"/>
      <c r="X18" s="463"/>
      <c r="Y18" s="463"/>
      <c r="Z18" s="463"/>
    </row>
    <row r="19" spans="1:26" hidden="1" outlineLevel="1" x14ac:dyDescent="0.3">
      <c r="A19" s="6" t="s">
        <v>20</v>
      </c>
      <c r="C19" s="30"/>
      <c r="D19" s="14"/>
      <c r="E19" s="14">
        <f>((D101+E101)/2)/E71*365</f>
        <v>28.100572776280323</v>
      </c>
      <c r="F19" s="14">
        <f>((E101+F101)/2)/F71*365</f>
        <v>28.955927051671736</v>
      </c>
      <c r="G19" s="14">
        <f>((F101+G101)/2)/G71*365</f>
        <v>31.942907941525089</v>
      </c>
      <c r="H19" s="14">
        <f>((G101+H101)/2)/H71*365</f>
        <v>19.891771568928462</v>
      </c>
      <c r="I19" s="15">
        <v>80</v>
      </c>
      <c r="J19" s="15">
        <v>90</v>
      </c>
      <c r="K19" s="15">
        <v>100</v>
      </c>
      <c r="L19" s="15">
        <v>100</v>
      </c>
      <c r="M19" s="15">
        <v>100</v>
      </c>
      <c r="R19" s="463"/>
      <c r="S19" s="463"/>
      <c r="T19" s="463"/>
      <c r="U19" s="463"/>
      <c r="V19" s="463"/>
      <c r="W19" s="463"/>
      <c r="X19" s="463"/>
      <c r="Y19" s="463"/>
      <c r="Z19" s="463"/>
    </row>
    <row r="20" spans="1:26" hidden="1" outlineLevel="1" x14ac:dyDescent="0.3">
      <c r="A20" s="6" t="s">
        <v>21</v>
      </c>
      <c r="C20" s="30"/>
      <c r="D20" s="14">
        <f>D113*365/D71</f>
        <v>240.23440383905506</v>
      </c>
      <c r="E20" s="14">
        <f>E113*365/E71</f>
        <v>217.1799191374663</v>
      </c>
      <c r="F20" s="14">
        <f>F113*365/F71</f>
        <v>209.45896656534956</v>
      </c>
      <c r="G20" s="14">
        <f>G113*365/G71</f>
        <v>200.74278941129987</v>
      </c>
      <c r="H20" s="14">
        <f>H113*365/H71</f>
        <v>170.34080442124656</v>
      </c>
      <c r="I20" s="15">
        <v>37</v>
      </c>
      <c r="J20" s="15">
        <v>37</v>
      </c>
      <c r="K20" s="15">
        <v>37</v>
      </c>
      <c r="L20" s="15">
        <v>37</v>
      </c>
      <c r="M20" s="15">
        <v>37</v>
      </c>
      <c r="R20" s="463"/>
      <c r="S20" s="463"/>
      <c r="T20" s="463"/>
      <c r="U20" s="463"/>
      <c r="V20" s="463"/>
      <c r="W20" s="463"/>
      <c r="X20" s="463"/>
      <c r="Y20" s="463"/>
      <c r="Z20" s="463"/>
    </row>
    <row r="21" spans="1:26" outlineLevel="1" x14ac:dyDescent="0.3">
      <c r="A21" s="6" t="s">
        <v>22</v>
      </c>
      <c r="C21" s="30"/>
      <c r="D21" s="115">
        <f>+$D$141/$D$70</f>
        <v>5.1921364477018971E-2</v>
      </c>
      <c r="E21" s="115">
        <f>+$E$141/$E$70</f>
        <v>7.0442866216294239E-2</v>
      </c>
      <c r="F21" s="115">
        <f>+$F$141/$F$70</f>
        <v>6.4860471416960178E-2</v>
      </c>
      <c r="G21" s="115">
        <f>+$G$141/$G$70</f>
        <v>7.091798344620015E-2</v>
      </c>
      <c r="H21" s="115">
        <f>+$H$141/$H$70</f>
        <v>9.2993974278262434E-2</v>
      </c>
      <c r="I21" s="148">
        <v>7.0000000000000007E-2</v>
      </c>
      <c r="J21" s="148">
        <v>7.0000000000000007E-2</v>
      </c>
      <c r="K21" s="148">
        <v>7.0000000000000007E-2</v>
      </c>
      <c r="L21" s="148">
        <v>7.0000000000000007E-2</v>
      </c>
      <c r="M21" s="148">
        <v>7.0000000000000007E-2</v>
      </c>
      <c r="N21" s="148">
        <v>7.0000000000000007E-2</v>
      </c>
      <c r="O21" s="148">
        <v>7.0000000000000007E-2</v>
      </c>
      <c r="R21" s="463" t="s">
        <v>11</v>
      </c>
      <c r="S21" s="464">
        <f>+AVERAGE(D21:H21)</f>
        <v>7.0227331966947193E-2</v>
      </c>
      <c r="T21" s="463"/>
      <c r="U21" s="463"/>
      <c r="V21" s="463"/>
      <c r="W21" s="463"/>
      <c r="X21" s="463"/>
      <c r="Y21" s="463"/>
      <c r="Z21" s="463"/>
    </row>
    <row r="22" spans="1:26" outlineLevel="1" x14ac:dyDescent="0.3">
      <c r="A22" s="6" t="s">
        <v>23</v>
      </c>
      <c r="D22" s="115">
        <f>+($D$146+$D$147)/$D$70</f>
        <v>0.45592163846838824</v>
      </c>
      <c r="E22" s="115">
        <f>+($E$146+$E$147)/$E$70</f>
        <v>0.43882441249494775</v>
      </c>
      <c r="F22" s="115">
        <f>+($F$146+$F$147)/$F$70</f>
        <v>0.35123272825792462</v>
      </c>
      <c r="G22" s="115">
        <f>+($G$146+$G$147)/$G$70</f>
        <v>0.56740657135690997</v>
      </c>
      <c r="H22" s="115">
        <f>+($H$146+$H$147)/$H$70</f>
        <v>0.3904128069070959</v>
      </c>
      <c r="I22" s="148">
        <v>0.25</v>
      </c>
      <c r="J22" s="148">
        <v>0.249</v>
      </c>
      <c r="K22" s="148">
        <v>0.248</v>
      </c>
      <c r="L22" s="148">
        <v>0.247</v>
      </c>
      <c r="M22" s="148">
        <v>0.246</v>
      </c>
      <c r="N22" s="148">
        <v>0.245</v>
      </c>
      <c r="O22" s="148">
        <v>0.24399999999999999</v>
      </c>
      <c r="R22" s="463" t="s">
        <v>11</v>
      </c>
      <c r="S22" s="464">
        <f>+AVERAGE(D22:H22)</f>
        <v>0.44075963149705333</v>
      </c>
      <c r="T22" s="463"/>
      <c r="U22" s="466"/>
      <c r="V22" s="463"/>
      <c r="W22" s="463"/>
      <c r="X22" s="463"/>
      <c r="Y22" s="463"/>
      <c r="Z22" s="463"/>
    </row>
    <row r="23" spans="1:26" hidden="1" outlineLevel="1" x14ac:dyDescent="0.3">
      <c r="A23" s="90" t="s">
        <v>24</v>
      </c>
      <c r="D23" s="14">
        <f t="shared" ref="D23:H24" si="5">D152</f>
        <v>455</v>
      </c>
      <c r="E23" s="14">
        <f t="shared" si="5"/>
        <v>409.3</v>
      </c>
      <c r="F23" s="14">
        <f t="shared" si="5"/>
        <v>31.5</v>
      </c>
      <c r="G23" s="14">
        <f t="shared" si="5"/>
        <v>314.8</v>
      </c>
      <c r="H23" s="14">
        <f t="shared" si="5"/>
        <v>597.1</v>
      </c>
      <c r="I23" s="15">
        <v>0</v>
      </c>
      <c r="J23" s="15">
        <v>0</v>
      </c>
      <c r="K23" s="15">
        <v>-20000</v>
      </c>
      <c r="L23" s="15">
        <v>0</v>
      </c>
      <c r="M23" s="15">
        <v>0</v>
      </c>
      <c r="R23" s="463"/>
      <c r="S23" s="463"/>
      <c r="T23" s="463"/>
      <c r="U23" s="463"/>
      <c r="V23" s="463"/>
      <c r="W23" s="463"/>
      <c r="X23" s="463"/>
      <c r="Y23" s="463"/>
      <c r="Z23" s="463"/>
    </row>
    <row r="24" spans="1:26" hidden="1" outlineLevel="1" x14ac:dyDescent="0.3">
      <c r="A24" s="90" t="s">
        <v>25</v>
      </c>
      <c r="D24" s="14">
        <f t="shared" si="5"/>
        <v>-58.4</v>
      </c>
      <c r="E24" s="14">
        <f t="shared" si="5"/>
        <v>-362.5</v>
      </c>
      <c r="F24" s="14">
        <f t="shared" si="5"/>
        <v>-70</v>
      </c>
      <c r="G24" s="14">
        <f t="shared" si="5"/>
        <v>116.8</v>
      </c>
      <c r="H24" s="14">
        <f t="shared" si="5"/>
        <v>106.5</v>
      </c>
      <c r="I24" s="15">
        <v>0</v>
      </c>
      <c r="J24" s="15">
        <v>0</v>
      </c>
      <c r="K24" s="15">
        <v>0</v>
      </c>
      <c r="L24" s="15">
        <v>0</v>
      </c>
      <c r="M24" s="15">
        <v>0</v>
      </c>
      <c r="R24" s="463"/>
      <c r="S24" s="463"/>
      <c r="T24" s="463"/>
      <c r="U24" s="463"/>
      <c r="V24" s="463"/>
      <c r="W24" s="463"/>
      <c r="X24" s="463"/>
      <c r="Y24" s="463"/>
      <c r="Z24" s="463"/>
    </row>
    <row r="25" spans="1:26" outlineLevel="1" x14ac:dyDescent="0.3">
      <c r="D25" s="14"/>
      <c r="E25" s="14"/>
      <c r="F25" s="14"/>
      <c r="G25" s="14"/>
      <c r="H25" s="14"/>
      <c r="I25" s="15"/>
      <c r="J25" s="15"/>
      <c r="K25" s="15"/>
      <c r="L25" s="15"/>
      <c r="M25" s="15"/>
      <c r="R25" s="463"/>
      <c r="S25" s="463"/>
      <c r="T25" s="463"/>
      <c r="U25" s="463"/>
      <c r="V25" s="463"/>
      <c r="W25" s="463"/>
      <c r="X25" s="463"/>
      <c r="Y25" s="463"/>
      <c r="Z25" s="463"/>
    </row>
    <row r="26" spans="1:26" outlineLevel="1" x14ac:dyDescent="0.3">
      <c r="A26" s="7" t="s">
        <v>26</v>
      </c>
      <c r="B26" s="16"/>
      <c r="C26" s="17"/>
      <c r="D26" s="16"/>
      <c r="E26" s="16"/>
      <c r="F26" s="16"/>
      <c r="G26" s="16"/>
      <c r="H26" s="18"/>
      <c r="I26" s="19"/>
      <c r="J26" s="19"/>
      <c r="K26" s="19"/>
      <c r="L26" s="19"/>
      <c r="M26" s="189"/>
      <c r="N26" s="189"/>
      <c r="O26" s="189"/>
      <c r="R26" s="463"/>
      <c r="S26" s="463"/>
      <c r="T26" s="463"/>
      <c r="U26" s="463"/>
      <c r="V26" s="463"/>
      <c r="W26" s="463"/>
      <c r="X26" s="463"/>
      <c r="Y26" s="463"/>
      <c r="Z26" s="463"/>
    </row>
    <row r="27" spans="1:26" outlineLevel="1" x14ac:dyDescent="0.3">
      <c r="A27" s="203" t="s">
        <v>9</v>
      </c>
      <c r="B27" s="20"/>
      <c r="C27" s="21"/>
      <c r="D27" s="22"/>
      <c r="E27" s="2">
        <f>+$E$70/$D$70-1</f>
        <v>0.18631413110487016</v>
      </c>
      <c r="F27" s="2">
        <f>+$F$70/$E$70-1</f>
        <v>6.5592701657139596E-2</v>
      </c>
      <c r="G27" s="2">
        <f>+$G$70/$F$70-1</f>
        <v>-0.13584394473042538</v>
      </c>
      <c r="H27" s="2">
        <f>+$H$70/$G$70-1</f>
        <v>0.39440682217205936</v>
      </c>
      <c r="I27" s="190">
        <v>0</v>
      </c>
      <c r="J27" s="1">
        <v>0.02</v>
      </c>
      <c r="K27" s="1">
        <v>3.5000000000000003E-2</v>
      </c>
      <c r="L27" s="1">
        <v>0.05</v>
      </c>
      <c r="M27" s="1">
        <v>3.5000000000000003E-2</v>
      </c>
      <c r="N27" s="1">
        <v>2.3E-2</v>
      </c>
      <c r="O27" s="1">
        <v>0.02</v>
      </c>
      <c r="R27" s="463"/>
      <c r="S27" s="463"/>
      <c r="T27" s="463"/>
      <c r="U27" s="463"/>
      <c r="V27" s="463"/>
      <c r="W27" s="463"/>
      <c r="X27" s="463"/>
      <c r="Y27" s="463"/>
      <c r="Z27" s="463"/>
    </row>
    <row r="28" spans="1:26" outlineLevel="1" x14ac:dyDescent="0.3">
      <c r="A28" s="16" t="s">
        <v>10</v>
      </c>
      <c r="B28" s="5"/>
      <c r="C28" s="23"/>
      <c r="D28" s="24">
        <f>+$D$71/$D$70</f>
        <v>0.18556065483937254</v>
      </c>
      <c r="E28" s="24">
        <f>+$E$71/$E$70</f>
        <v>0.17137248109013223</v>
      </c>
      <c r="F28" s="24">
        <f>+$F$71/$F$70</f>
        <v>0.1782714711460309</v>
      </c>
      <c r="G28" s="24">
        <f>+$G$71/$G$70</f>
        <v>0.15870328567845499</v>
      </c>
      <c r="H28" s="24">
        <f>+$H$71/$H$70</f>
        <v>0.14646101268099648</v>
      </c>
      <c r="I28" s="149">
        <v>0.16</v>
      </c>
      <c r="J28" s="149">
        <v>0.16</v>
      </c>
      <c r="K28" s="149">
        <v>0.16</v>
      </c>
      <c r="L28" s="149">
        <v>0.16</v>
      </c>
      <c r="M28" s="149">
        <v>0.16</v>
      </c>
      <c r="N28" s="149">
        <v>0.16</v>
      </c>
      <c r="O28" s="149">
        <v>0.16</v>
      </c>
      <c r="R28" s="463"/>
      <c r="S28" s="463"/>
      <c r="T28" s="463"/>
      <c r="U28" s="463"/>
      <c r="V28" s="463"/>
      <c r="W28" s="463"/>
      <c r="X28" s="463"/>
      <c r="Y28" s="463"/>
      <c r="Z28" s="463"/>
    </row>
    <row r="29" spans="1:26" outlineLevel="1" x14ac:dyDescent="0.3">
      <c r="A29" s="16" t="s">
        <v>12</v>
      </c>
      <c r="B29" s="5"/>
      <c r="C29" s="23"/>
      <c r="D29" s="24">
        <f>+$D$75/$D$70</f>
        <v>0.28981437084731831</v>
      </c>
      <c r="E29" s="24">
        <f>+$E$75/$E$70</f>
        <v>0.27068537444425195</v>
      </c>
      <c r="F29" s="24">
        <f>+$F$75/$F$70</f>
        <v>0.29097805472771604</v>
      </c>
      <c r="G29" s="24">
        <f>+$G$75/$G$70</f>
        <v>0.34455731126160022</v>
      </c>
      <c r="H29" s="24">
        <f>+$H$75/$H$70</f>
        <v>0.28226459213958088</v>
      </c>
      <c r="I29" s="149">
        <v>0.28999999999999998</v>
      </c>
      <c r="J29" s="149">
        <v>0.28499999999999998</v>
      </c>
      <c r="K29" s="149">
        <v>0.28599999999999998</v>
      </c>
      <c r="L29" s="149">
        <v>0.28399999999999997</v>
      </c>
      <c r="M29" s="149">
        <v>0.28299999999999997</v>
      </c>
      <c r="N29" s="149">
        <v>0.28100000000000003</v>
      </c>
      <c r="O29" s="149">
        <v>0.28000000000000003</v>
      </c>
      <c r="R29" s="463"/>
      <c r="S29" s="463"/>
      <c r="T29" s="463"/>
      <c r="U29" s="463"/>
      <c r="V29" s="463"/>
      <c r="W29" s="463"/>
      <c r="X29" s="463"/>
      <c r="Y29" s="463"/>
      <c r="Z29" s="463"/>
    </row>
    <row r="30" spans="1:26" outlineLevel="1" x14ac:dyDescent="0.3">
      <c r="A30" s="16" t="s">
        <v>13</v>
      </c>
      <c r="B30" s="5"/>
      <c r="C30" s="23"/>
      <c r="D30" s="24">
        <f>+$D$76/$D$70</f>
        <v>7.6032604972943341E-2</v>
      </c>
      <c r="E30" s="24">
        <f>+$E$76/$E$70</f>
        <v>0.11190022518621168</v>
      </c>
      <c r="F30" s="24">
        <f>+$F$76/$F$70</f>
        <v>0.12771606610674613</v>
      </c>
      <c r="G30" s="24">
        <f>+$G$76/$G$70</f>
        <v>0.14553549034361676</v>
      </c>
      <c r="H30" s="24">
        <f>+$H$76/$H$70</f>
        <v>0.14502203435560751</v>
      </c>
      <c r="I30" s="149">
        <v>0.13</v>
      </c>
      <c r="J30" s="149">
        <v>0.13400000000000001</v>
      </c>
      <c r="K30" s="149">
        <v>0.13200000000000001</v>
      </c>
      <c r="L30" s="149">
        <v>0.13</v>
      </c>
      <c r="M30" s="149">
        <v>0.128</v>
      </c>
      <c r="N30" s="149">
        <v>0.129</v>
      </c>
      <c r="O30" s="149">
        <v>0.13</v>
      </c>
      <c r="R30" s="463"/>
      <c r="S30" s="463"/>
      <c r="T30" s="463"/>
      <c r="U30" s="463"/>
      <c r="V30" s="463"/>
      <c r="W30" s="463"/>
      <c r="X30" s="463"/>
      <c r="Y30" s="463"/>
      <c r="Z30" s="463"/>
    </row>
    <row r="31" spans="1:26" outlineLevel="1" x14ac:dyDescent="0.3">
      <c r="A31" s="16" t="s">
        <v>27</v>
      </c>
      <c r="B31" s="5"/>
      <c r="C31" s="23"/>
      <c r="D31" s="24">
        <f>+$D$79/$D$70</f>
        <v>0.31098020412357008</v>
      </c>
      <c r="E31" s="24">
        <f>+$E$79/$E$70</f>
        <v>0.29557133783705752</v>
      </c>
      <c r="F31" s="24">
        <f>+$F$79/$F$70</f>
        <v>0.29021945272283933</v>
      </c>
      <c r="G31" s="24">
        <f>+$G$79/$G$70</f>
        <v>0.3253072485578129</v>
      </c>
      <c r="H31" s="24">
        <f>+$H$79/$H$70</f>
        <v>0.24647000629553018</v>
      </c>
      <c r="I31" s="149">
        <v>0.25</v>
      </c>
      <c r="J31" s="149">
        <v>0.249</v>
      </c>
      <c r="K31" s="149">
        <v>0.248</v>
      </c>
      <c r="L31" s="149">
        <v>0.247</v>
      </c>
      <c r="M31" s="149">
        <v>0.246</v>
      </c>
      <c r="N31" s="149">
        <v>0.245</v>
      </c>
      <c r="O31" s="149">
        <v>0.24399999999999999</v>
      </c>
      <c r="R31" s="463"/>
      <c r="S31" s="463"/>
      <c r="T31" s="463"/>
      <c r="U31" s="463"/>
      <c r="V31" s="463"/>
      <c r="W31" s="463"/>
      <c r="X31" s="463"/>
      <c r="Y31" s="463"/>
      <c r="Z31" s="463"/>
    </row>
    <row r="32" spans="1:26" outlineLevel="1" x14ac:dyDescent="0.3">
      <c r="A32" s="16" t="s">
        <v>15</v>
      </c>
      <c r="B32" s="5"/>
      <c r="C32" s="23"/>
      <c r="D32" s="24">
        <f>+$D$83/$D$119</f>
        <v>1.4046751018657516E-2</v>
      </c>
      <c r="E32" s="24">
        <f>+$E$83/$E$119</f>
        <v>1.6917728852838931E-2</v>
      </c>
      <c r="F32" s="24">
        <f>+$F$83/$F$119</f>
        <v>1.7273471818926363E-2</v>
      </c>
      <c r="G32" s="24">
        <f>+$G$83/$G$119</f>
        <v>1.2445506961046265E-2</v>
      </c>
      <c r="H32" s="24">
        <f>+$H$83/$H$119</f>
        <v>1.2223071046600458E-2</v>
      </c>
      <c r="I32" s="106">
        <v>0.02</v>
      </c>
      <c r="J32" s="149">
        <v>0.02</v>
      </c>
      <c r="K32" s="106">
        <v>0.02</v>
      </c>
      <c r="L32" s="106">
        <v>0.02</v>
      </c>
      <c r="M32" s="106">
        <v>0.02</v>
      </c>
      <c r="N32" s="106">
        <v>0.02</v>
      </c>
      <c r="O32" s="106">
        <v>0.02</v>
      </c>
      <c r="R32" s="463"/>
      <c r="S32" s="463"/>
      <c r="T32" s="463"/>
      <c r="U32" s="463"/>
      <c r="V32" s="463"/>
      <c r="W32" s="463"/>
      <c r="X32" s="463"/>
      <c r="Y32" s="463"/>
      <c r="Z32" s="463"/>
    </row>
    <row r="33" spans="1:26" outlineLevel="1" x14ac:dyDescent="0.3">
      <c r="A33" s="16" t="s">
        <v>16</v>
      </c>
      <c r="B33" s="28"/>
      <c r="C33" s="29"/>
      <c r="D33" s="24">
        <f>+$D$90/$D$86</f>
        <v>0.32268170426065135</v>
      </c>
      <c r="E33" s="24">
        <f>+$E$90/$E$86</f>
        <v>0.33141762452107287</v>
      </c>
      <c r="F33" s="24">
        <f>+$F$90/$F$86</f>
        <v>0.3261455525606477</v>
      </c>
      <c r="G33" s="24">
        <f>+$G$90/$G$86</f>
        <v>-0.58216560509554138</v>
      </c>
      <c r="H33" s="24">
        <f>+$H$90/$H$86</f>
        <v>0.55761143818334746</v>
      </c>
      <c r="I33" s="25">
        <v>0.4</v>
      </c>
      <c r="J33" s="25">
        <v>0.4</v>
      </c>
      <c r="K33" s="25">
        <v>0.4</v>
      </c>
      <c r="L33" s="25">
        <v>0.4</v>
      </c>
      <c r="M33" s="25">
        <v>0.4</v>
      </c>
      <c r="N33" s="25">
        <v>0.4</v>
      </c>
      <c r="O33" s="25">
        <v>0.4</v>
      </c>
      <c r="R33" s="463"/>
      <c r="S33" s="463"/>
      <c r="T33" s="463"/>
      <c r="U33" s="463"/>
      <c r="V33" s="463"/>
      <c r="W33" s="463"/>
      <c r="X33" s="463"/>
      <c r="Y33" s="463"/>
      <c r="Z33" s="463"/>
    </row>
    <row r="34" spans="1:26" outlineLevel="1" x14ac:dyDescent="0.3">
      <c r="A34" s="16" t="s">
        <v>17</v>
      </c>
      <c r="C34" s="30"/>
      <c r="D34" s="24">
        <f>+$D$166/$D$70</f>
        <v>2.9933557092951573E-2</v>
      </c>
      <c r="E34" s="24">
        <f>+$E$166/$E$70</f>
        <v>-8.2164097234251401E-2</v>
      </c>
      <c r="F34" s="24">
        <f>+$F$166/$F$70</f>
        <v>-1.1324844215659713E-2</v>
      </c>
      <c r="G34" s="24">
        <f>+$G$166/$G$70</f>
        <v>0.16384499623777277</v>
      </c>
      <c r="H34" s="24">
        <f>+$H$166/$H$70</f>
        <v>-7.4736936774889837E-2</v>
      </c>
      <c r="I34" s="25">
        <v>7.0000000000000007E-2</v>
      </c>
      <c r="J34" s="25">
        <v>0.08</v>
      </c>
      <c r="K34" s="25">
        <v>0.08</v>
      </c>
      <c r="L34" s="25">
        <v>0.08</v>
      </c>
      <c r="M34" s="25">
        <v>0.08</v>
      </c>
      <c r="N34" s="25">
        <v>0.08</v>
      </c>
      <c r="O34" s="25">
        <v>0.08</v>
      </c>
      <c r="R34" s="463"/>
      <c r="S34" s="463"/>
      <c r="T34" s="463"/>
      <c r="U34" s="463"/>
      <c r="V34" s="463"/>
      <c r="W34" s="463"/>
      <c r="X34" s="463"/>
      <c r="Y34" s="463"/>
      <c r="Z34" s="463"/>
    </row>
    <row r="35" spans="1:26" outlineLevel="1" x14ac:dyDescent="0.3">
      <c r="A35" s="16" t="s">
        <v>18</v>
      </c>
      <c r="C35" s="30"/>
      <c r="D35" s="24">
        <f>+$D$170/$D$70</f>
        <v>-3.8564285225015406E-2</v>
      </c>
      <c r="E35" s="24">
        <f>+$E$170/$E$70</f>
        <v>1.6167215197182283E-2</v>
      </c>
      <c r="F35" s="24">
        <f>+$F$170/$F$70</f>
        <v>0.10262801408832294</v>
      </c>
      <c r="G35" s="24">
        <f>+$G$170/$G$70</f>
        <v>-0.16873589164785555</v>
      </c>
      <c r="H35" s="24">
        <f>+$H$170/$H$70</f>
        <v>6.8981023473333916E-2</v>
      </c>
      <c r="I35" s="25">
        <v>0.06</v>
      </c>
      <c r="J35" s="25">
        <v>0.06</v>
      </c>
      <c r="K35" s="25">
        <v>0.06</v>
      </c>
      <c r="L35" s="25">
        <v>0.06</v>
      </c>
      <c r="M35" s="25">
        <v>0.06</v>
      </c>
      <c r="N35" s="25">
        <v>0.06</v>
      </c>
      <c r="O35" s="25">
        <v>0.06</v>
      </c>
      <c r="R35" s="463"/>
      <c r="S35" s="463"/>
      <c r="T35" s="463"/>
      <c r="U35" s="463"/>
      <c r="V35" s="463"/>
      <c r="W35" s="463"/>
      <c r="X35" s="463"/>
      <c r="Y35" s="463"/>
      <c r="Z35" s="463"/>
    </row>
    <row r="36" spans="1:26" outlineLevel="1" x14ac:dyDescent="0.3">
      <c r="A36" s="6" t="s">
        <v>22</v>
      </c>
      <c r="D36" s="115">
        <f>+$D$141/$D$70</f>
        <v>5.1921364477018971E-2</v>
      </c>
      <c r="E36" s="115">
        <f>+$E$141/$E$70</f>
        <v>7.0442866216294239E-2</v>
      </c>
      <c r="F36" s="115">
        <f>+$F$141/$F$70</f>
        <v>6.4860471416960178E-2</v>
      </c>
      <c r="G36" s="115">
        <f>+$G$141/$G$70</f>
        <v>7.091798344620015E-2</v>
      </c>
      <c r="H36" s="115">
        <f>+$H$141/$H$70</f>
        <v>9.2993974278262434E-2</v>
      </c>
      <c r="I36" s="148">
        <v>7.4999999999999997E-2</v>
      </c>
      <c r="J36" s="148">
        <v>7.4999999999999997E-2</v>
      </c>
      <c r="K36" s="148">
        <v>7.4999999999999997E-2</v>
      </c>
      <c r="L36" s="148">
        <v>7.4999999999999997E-2</v>
      </c>
      <c r="M36" s="148">
        <v>7.4999999999999997E-2</v>
      </c>
      <c r="N36" s="148">
        <v>7.4999999999999997E-2</v>
      </c>
      <c r="O36" s="148">
        <v>7.4999999999999997E-2</v>
      </c>
      <c r="R36" s="463"/>
      <c r="S36" s="463"/>
      <c r="T36" s="463"/>
      <c r="U36" s="463"/>
      <c r="V36" s="463"/>
      <c r="W36" s="463"/>
      <c r="X36" s="463"/>
      <c r="Y36" s="463"/>
      <c r="Z36" s="463"/>
    </row>
    <row r="37" spans="1:26" outlineLevel="1" x14ac:dyDescent="0.3">
      <c r="A37" s="6" t="s">
        <v>23</v>
      </c>
      <c r="D37" s="115">
        <f>+($D$146+$D$147)/$D$70</f>
        <v>0.45592163846838824</v>
      </c>
      <c r="E37" s="115">
        <f>+($E$146+$E$147)/$E$70</f>
        <v>0.43882441249494775</v>
      </c>
      <c r="F37" s="115">
        <f>+($F$146+$F$147)/$F$70</f>
        <v>0.35123272825792462</v>
      </c>
      <c r="G37" s="115">
        <f>+($G$146+$G$147)/$G$70</f>
        <v>0.56740657135690997</v>
      </c>
      <c r="H37" s="115">
        <f>+($H$146+$H$147)/$H$70</f>
        <v>0.3904128069070959</v>
      </c>
      <c r="I37" s="148">
        <v>0.26</v>
      </c>
      <c r="J37" s="148">
        <v>0.25900000000000001</v>
      </c>
      <c r="K37" s="148">
        <v>0.25800000000000001</v>
      </c>
      <c r="L37" s="148">
        <v>0.25700000000000001</v>
      </c>
      <c r="M37" s="148">
        <v>0.25600000000000001</v>
      </c>
      <c r="N37" s="148">
        <v>0.255</v>
      </c>
      <c r="O37" s="148">
        <v>0.254</v>
      </c>
      <c r="R37" s="463"/>
      <c r="S37" s="463"/>
      <c r="T37" s="463"/>
      <c r="U37" s="463"/>
      <c r="V37" s="463"/>
      <c r="W37" s="463"/>
      <c r="X37" s="463"/>
      <c r="Y37" s="463"/>
      <c r="Z37" s="463"/>
    </row>
    <row r="38" spans="1:26" outlineLevel="1" x14ac:dyDescent="0.3">
      <c r="A38" s="4"/>
      <c r="D38" s="14"/>
      <c r="E38" s="14"/>
      <c r="F38" s="14"/>
      <c r="G38" s="14"/>
      <c r="H38" s="14"/>
      <c r="I38" s="15"/>
      <c r="J38" s="15"/>
      <c r="K38" s="15"/>
      <c r="L38" s="15"/>
      <c r="M38" s="15"/>
      <c r="R38" s="463"/>
      <c r="S38" s="463"/>
      <c r="T38" s="463"/>
      <c r="U38" s="463"/>
      <c r="V38" s="463"/>
      <c r="W38" s="463"/>
      <c r="X38" s="463"/>
      <c r="Y38" s="463"/>
      <c r="Z38" s="463"/>
    </row>
    <row r="39" spans="1:26" s="198" customFormat="1" outlineLevel="1" x14ac:dyDescent="0.3">
      <c r="C39" s="199"/>
      <c r="D39" s="201"/>
      <c r="E39" s="201"/>
      <c r="F39" s="201"/>
      <c r="G39" s="201"/>
      <c r="H39" s="201"/>
      <c r="I39" s="202"/>
      <c r="J39" s="202"/>
      <c r="K39" s="202"/>
      <c r="L39" s="202"/>
      <c r="M39" s="202"/>
      <c r="R39" s="467"/>
      <c r="S39" s="467"/>
      <c r="T39" s="467"/>
      <c r="U39" s="467"/>
      <c r="V39" s="467"/>
      <c r="W39" s="467"/>
      <c r="X39" s="467"/>
      <c r="Y39" s="467"/>
      <c r="Z39" s="467"/>
    </row>
    <row r="40" spans="1:26" outlineLevel="1" x14ac:dyDescent="0.3">
      <c r="A40" s="7" t="s">
        <v>28</v>
      </c>
      <c r="B40" s="16"/>
      <c r="C40" s="17"/>
      <c r="D40" s="16"/>
      <c r="E40" s="16"/>
      <c r="F40" s="16"/>
      <c r="G40" s="16"/>
      <c r="H40" s="18"/>
      <c r="I40" s="19"/>
      <c r="J40" s="19"/>
      <c r="K40" s="19"/>
      <c r="L40" s="19"/>
      <c r="M40" s="189"/>
      <c r="N40" s="189"/>
      <c r="O40" s="189"/>
      <c r="R40" s="463"/>
      <c r="S40" s="463"/>
      <c r="T40" s="463"/>
      <c r="U40" s="463"/>
      <c r="V40" s="463"/>
      <c r="W40" s="463"/>
      <c r="X40" s="463"/>
      <c r="Y40" s="463"/>
      <c r="Z40" s="463"/>
    </row>
    <row r="41" spans="1:26" outlineLevel="1" x14ac:dyDescent="0.3">
      <c r="A41" s="203" t="s">
        <v>9</v>
      </c>
      <c r="B41" s="20"/>
      <c r="C41" s="21"/>
      <c r="D41" s="22"/>
      <c r="E41" s="2">
        <f>+$E$70/$D$70-1</f>
        <v>0.18631413110487016</v>
      </c>
      <c r="F41" s="2">
        <f>+$F$70/$E$70-1</f>
        <v>6.5592701657139596E-2</v>
      </c>
      <c r="G41" s="2">
        <f>+$G$70/$F$70-1</f>
        <v>-0.13584394473042538</v>
      </c>
      <c r="H41" s="2">
        <f>+$H$70/$G$70-1</f>
        <v>0.39440682217205936</v>
      </c>
      <c r="I41" s="190">
        <v>0.03</v>
      </c>
      <c r="J41" s="1">
        <v>7.0000000000000007E-2</v>
      </c>
      <c r="K41" s="1">
        <v>0.1</v>
      </c>
      <c r="L41" s="1">
        <v>0.08</v>
      </c>
      <c r="M41" s="1">
        <v>0.06</v>
      </c>
      <c r="N41" s="1">
        <v>0.05</v>
      </c>
      <c r="O41" s="1">
        <v>2.8000000000000001E-2</v>
      </c>
      <c r="R41" s="463"/>
      <c r="S41" s="463"/>
      <c r="T41" s="463"/>
      <c r="U41" s="463"/>
      <c r="V41" s="463"/>
      <c r="W41" s="463"/>
      <c r="X41" s="463"/>
      <c r="Y41" s="463"/>
      <c r="Z41" s="463"/>
    </row>
    <row r="42" spans="1:26" outlineLevel="1" x14ac:dyDescent="0.3">
      <c r="A42" s="16" t="s">
        <v>10</v>
      </c>
      <c r="B42" s="5"/>
      <c r="C42" s="23"/>
      <c r="D42" s="24">
        <f>+$D$71/$D$70</f>
        <v>0.18556065483937254</v>
      </c>
      <c r="E42" s="24">
        <f>+$E$71/$E$70</f>
        <v>0.17137248109013223</v>
      </c>
      <c r="F42" s="24">
        <f>+$F$71/$F$70</f>
        <v>0.1782714711460309</v>
      </c>
      <c r="G42" s="24">
        <f>+$G$71/$G$70</f>
        <v>0.15870328567845499</v>
      </c>
      <c r="H42" s="24">
        <f>+$H$71/$H$70</f>
        <v>0.14646101268099648</v>
      </c>
      <c r="I42" s="149">
        <v>0.15</v>
      </c>
      <c r="J42" s="149">
        <v>0.15</v>
      </c>
      <c r="K42" s="149">
        <v>0.15</v>
      </c>
      <c r="L42" s="149">
        <v>0.15</v>
      </c>
      <c r="M42" s="149">
        <v>0.15</v>
      </c>
      <c r="N42" s="149">
        <v>0.15</v>
      </c>
      <c r="O42" s="149">
        <v>0.15</v>
      </c>
      <c r="R42" s="463"/>
      <c r="S42" s="463"/>
      <c r="T42" s="463"/>
      <c r="U42" s="463"/>
      <c r="V42" s="463"/>
      <c r="W42" s="463"/>
      <c r="X42" s="463"/>
      <c r="Y42" s="463"/>
      <c r="Z42" s="463"/>
    </row>
    <row r="43" spans="1:26" outlineLevel="1" x14ac:dyDescent="0.3">
      <c r="A43" s="16" t="s">
        <v>12</v>
      </c>
      <c r="B43" s="5"/>
      <c r="C43" s="23"/>
      <c r="D43" s="24">
        <f>+$D$75/$D$70</f>
        <v>0.28981437084731831</v>
      </c>
      <c r="E43" s="24">
        <f>+$E$75/$E$70</f>
        <v>0.27068537444425195</v>
      </c>
      <c r="F43" s="24">
        <f>+$F$75/$F$70</f>
        <v>0.29097805472771604</v>
      </c>
      <c r="G43" s="24">
        <f>+$G$75/$G$70</f>
        <v>0.34455731126160022</v>
      </c>
      <c r="H43" s="24">
        <f>+$H$75/$H$70</f>
        <v>0.28226459213958088</v>
      </c>
      <c r="I43" s="149">
        <v>0.27</v>
      </c>
      <c r="J43" s="149">
        <v>0.27</v>
      </c>
      <c r="K43" s="149">
        <v>0.27</v>
      </c>
      <c r="L43" s="149">
        <v>0.27</v>
      </c>
      <c r="M43" s="149">
        <v>0.27</v>
      </c>
      <c r="N43" s="149">
        <v>0.27</v>
      </c>
      <c r="O43" s="149">
        <v>0.27</v>
      </c>
      <c r="R43" s="463"/>
      <c r="S43" s="463"/>
      <c r="T43" s="463"/>
      <c r="U43" s="463"/>
      <c r="V43" s="463"/>
      <c r="W43" s="463"/>
      <c r="X43" s="463"/>
      <c r="Y43" s="463"/>
      <c r="Z43" s="463"/>
    </row>
    <row r="44" spans="1:26" outlineLevel="1" x14ac:dyDescent="0.3">
      <c r="A44" s="16" t="s">
        <v>13</v>
      </c>
      <c r="B44" s="5"/>
      <c r="C44" s="23"/>
      <c r="D44" s="24">
        <f>+$D$76/$D$70</f>
        <v>7.6032604972943341E-2</v>
      </c>
      <c r="E44" s="24">
        <f>+$E$76/$E$70</f>
        <v>0.11190022518621168</v>
      </c>
      <c r="F44" s="24">
        <f>+$F$76/$F$70</f>
        <v>0.12771606610674613</v>
      </c>
      <c r="G44" s="24">
        <f>+$G$76/$G$70</f>
        <v>0.14553549034361676</v>
      </c>
      <c r="H44" s="24">
        <f>+$H$76/$H$70</f>
        <v>0.14502203435560751</v>
      </c>
      <c r="I44" s="149">
        <v>0.11</v>
      </c>
      <c r="J44" s="149">
        <v>0.11</v>
      </c>
      <c r="K44" s="149">
        <v>0.11</v>
      </c>
      <c r="L44" s="149">
        <v>0.11</v>
      </c>
      <c r="M44" s="149">
        <v>0.11</v>
      </c>
      <c r="N44" s="149">
        <v>0.11</v>
      </c>
      <c r="O44" s="149">
        <v>0.11</v>
      </c>
      <c r="R44" s="463"/>
      <c r="S44" s="463"/>
      <c r="T44" s="463"/>
      <c r="U44" s="463"/>
      <c r="V44" s="463"/>
      <c r="W44" s="463"/>
      <c r="X44" s="463"/>
      <c r="Y44" s="463"/>
      <c r="Z44" s="463"/>
    </row>
    <row r="45" spans="1:26" outlineLevel="1" x14ac:dyDescent="0.3">
      <c r="A45" s="16" t="s">
        <v>27</v>
      </c>
      <c r="B45" s="5"/>
      <c r="C45" s="23"/>
      <c r="D45" s="24">
        <f>+$D$79/$D$70</f>
        <v>0.31098020412357008</v>
      </c>
      <c r="E45" s="24">
        <f>+$E$79/$E$70</f>
        <v>0.29557133783705752</v>
      </c>
      <c r="F45" s="24">
        <f>+$F$79/$F$70</f>
        <v>0.29021945272283933</v>
      </c>
      <c r="G45" s="24">
        <f>+$G$79/$G$70</f>
        <v>0.3253072485578129</v>
      </c>
      <c r="H45" s="24">
        <f>+$H$79/$H$70</f>
        <v>0.24647000629553018</v>
      </c>
      <c r="I45" s="149">
        <v>0.22</v>
      </c>
      <c r="J45" s="149">
        <v>0.22900000000000001</v>
      </c>
      <c r="K45" s="149">
        <v>0.22800000000000001</v>
      </c>
      <c r="L45" s="149">
        <v>0.22700000000000001</v>
      </c>
      <c r="M45" s="149">
        <v>0.22600000000000001</v>
      </c>
      <c r="N45" s="149">
        <v>0.22500000000000001</v>
      </c>
      <c r="O45" s="149">
        <v>0.224</v>
      </c>
      <c r="R45" s="463"/>
      <c r="S45" s="463"/>
      <c r="T45" s="463"/>
      <c r="U45" s="463"/>
      <c r="V45" s="463"/>
      <c r="W45" s="463"/>
      <c r="X45" s="463"/>
      <c r="Y45" s="463"/>
      <c r="Z45" s="463"/>
    </row>
    <row r="46" spans="1:26" outlineLevel="1" x14ac:dyDescent="0.3">
      <c r="A46" s="16" t="s">
        <v>15</v>
      </c>
      <c r="B46" s="5"/>
      <c r="C46" s="23"/>
      <c r="D46" s="24">
        <f>+$D$83/$D$119</f>
        <v>1.4046751018657516E-2</v>
      </c>
      <c r="E46" s="24">
        <f>+$E$83/$E$119</f>
        <v>1.6917728852838931E-2</v>
      </c>
      <c r="F46" s="24">
        <f>+$F$83/$F$119</f>
        <v>1.7273471818926363E-2</v>
      </c>
      <c r="G46" s="24">
        <f>+$G$83/$G$119</f>
        <v>1.2445506961046265E-2</v>
      </c>
      <c r="H46" s="24">
        <f>+$H$83/$H$119</f>
        <v>1.2223071046600458E-2</v>
      </c>
      <c r="I46" s="106">
        <v>1.2E-2</v>
      </c>
      <c r="J46" s="106">
        <v>1.2E-2</v>
      </c>
      <c r="K46" s="106">
        <v>1.2E-2</v>
      </c>
      <c r="L46" s="106">
        <v>1.2E-2</v>
      </c>
      <c r="M46" s="106">
        <v>1.2E-2</v>
      </c>
      <c r="N46" s="106">
        <v>1.2E-2</v>
      </c>
      <c r="O46" s="106">
        <v>1.2E-2</v>
      </c>
      <c r="R46" s="463"/>
      <c r="S46" s="463"/>
      <c r="T46" s="463"/>
      <c r="U46" s="463"/>
      <c r="V46" s="463"/>
      <c r="W46" s="463"/>
      <c r="X46" s="463"/>
      <c r="Y46" s="463"/>
      <c r="Z46" s="463"/>
    </row>
    <row r="47" spans="1:26" outlineLevel="1" x14ac:dyDescent="0.3">
      <c r="A47" s="16" t="s">
        <v>16</v>
      </c>
      <c r="B47" s="28"/>
      <c r="C47" s="29"/>
      <c r="D47" s="24">
        <f>+$D$90/$D$86</f>
        <v>0.32268170426065135</v>
      </c>
      <c r="E47" s="24">
        <f>+$E$90/$E$86</f>
        <v>0.33141762452107287</v>
      </c>
      <c r="F47" s="24">
        <f>+$F$90/$F$86</f>
        <v>0.3261455525606477</v>
      </c>
      <c r="G47" s="24">
        <f>+$G$90/$G$86</f>
        <v>-0.58216560509554138</v>
      </c>
      <c r="H47" s="24">
        <f>+$H$90/$H$86</f>
        <v>0.55761143818334746</v>
      </c>
      <c r="I47" s="25">
        <v>0.4</v>
      </c>
      <c r="J47" s="25">
        <v>0.4</v>
      </c>
      <c r="K47" s="25">
        <v>0.4</v>
      </c>
      <c r="L47" s="25">
        <v>0.4</v>
      </c>
      <c r="M47" s="25">
        <v>0.4</v>
      </c>
      <c r="N47" s="25">
        <v>0.4</v>
      </c>
      <c r="O47" s="25">
        <v>0.4</v>
      </c>
      <c r="R47" s="463"/>
      <c r="S47" s="463"/>
      <c r="T47" s="463"/>
      <c r="U47" s="463"/>
      <c r="V47" s="463"/>
      <c r="W47" s="463"/>
      <c r="X47" s="463"/>
      <c r="Y47" s="463"/>
      <c r="Z47" s="463"/>
    </row>
    <row r="48" spans="1:26" outlineLevel="1" x14ac:dyDescent="0.3">
      <c r="A48" s="16" t="s">
        <v>17</v>
      </c>
      <c r="C48" s="30"/>
      <c r="D48" s="24">
        <f>+$D$166/$D$70</f>
        <v>2.9933557092951573E-2</v>
      </c>
      <c r="E48" s="24">
        <f>+$E$166/$E$70</f>
        <v>-8.2164097234251401E-2</v>
      </c>
      <c r="F48" s="24">
        <f>+$F$166/$F$70</f>
        <v>-1.1324844215659713E-2</v>
      </c>
      <c r="G48" s="24">
        <f>+$G$166/$G$70</f>
        <v>0.16384499623777277</v>
      </c>
      <c r="H48" s="24">
        <f>+$H$166/$H$70</f>
        <v>-7.4736936774889837E-2</v>
      </c>
      <c r="I48" s="25">
        <v>7.0000000000000007E-2</v>
      </c>
      <c r="J48" s="25">
        <v>7.0000000000000007E-2</v>
      </c>
      <c r="K48" s="25">
        <v>7.0000000000000007E-2</v>
      </c>
      <c r="L48" s="25">
        <v>7.0000000000000007E-2</v>
      </c>
      <c r="M48" s="25">
        <v>7.0000000000000007E-2</v>
      </c>
      <c r="N48" s="25">
        <v>7.0000000000000007E-2</v>
      </c>
      <c r="O48" s="25">
        <v>7.0000000000000007E-2</v>
      </c>
      <c r="R48" s="463"/>
      <c r="S48" s="463"/>
      <c r="T48" s="463"/>
      <c r="U48" s="463"/>
      <c r="V48" s="463"/>
      <c r="W48" s="463"/>
      <c r="X48" s="463"/>
      <c r="Y48" s="463"/>
      <c r="Z48" s="463"/>
    </row>
    <row r="49" spans="1:26" outlineLevel="1" x14ac:dyDescent="0.3">
      <c r="A49" s="16" t="s">
        <v>18</v>
      </c>
      <c r="C49" s="30"/>
      <c r="D49" s="24">
        <f>+$D$170/$D$70</f>
        <v>-3.8564285225015406E-2</v>
      </c>
      <c r="E49" s="24">
        <f>+$E$170/$E$70</f>
        <v>1.6167215197182283E-2</v>
      </c>
      <c r="F49" s="24">
        <f>+$F$170/$F$70</f>
        <v>0.10262801408832294</v>
      </c>
      <c r="G49" s="24">
        <f>+$G$170/$G$70</f>
        <v>-0.16873589164785555</v>
      </c>
      <c r="H49" s="24">
        <f>+$H$170/$H$70</f>
        <v>6.8981023473333916E-2</v>
      </c>
      <c r="I49" s="25">
        <v>0.06</v>
      </c>
      <c r="J49" s="25">
        <v>0.06</v>
      </c>
      <c r="K49" s="25">
        <v>0.06</v>
      </c>
      <c r="L49" s="25">
        <v>0.06</v>
      </c>
      <c r="M49" s="25">
        <v>0.06</v>
      </c>
      <c r="N49" s="25">
        <v>0.06</v>
      </c>
      <c r="O49" s="25">
        <v>0.06</v>
      </c>
      <c r="R49" s="463"/>
      <c r="S49" s="463"/>
      <c r="T49" s="463"/>
      <c r="U49" s="463"/>
      <c r="V49" s="463"/>
      <c r="W49" s="463"/>
      <c r="X49" s="463"/>
      <c r="Y49" s="463"/>
      <c r="Z49" s="463"/>
    </row>
    <row r="50" spans="1:26" outlineLevel="1" x14ac:dyDescent="0.3">
      <c r="A50" s="6" t="s">
        <v>22</v>
      </c>
      <c r="D50" s="115">
        <f>+$D$141/$D$70</f>
        <v>5.1921364477018971E-2</v>
      </c>
      <c r="E50" s="115">
        <f>+$E$141/$E$70</f>
        <v>7.0442866216294239E-2</v>
      </c>
      <c r="F50" s="115">
        <f>+$F$141/$F$70</f>
        <v>6.4860471416960178E-2</v>
      </c>
      <c r="G50" s="115">
        <f>+$G$141/$G$70</f>
        <v>7.091798344620015E-2</v>
      </c>
      <c r="H50" s="115">
        <f>+$H$141/$H$70</f>
        <v>9.2993974278262434E-2</v>
      </c>
      <c r="I50" s="148">
        <v>0.05</v>
      </c>
      <c r="J50" s="148">
        <v>0.05</v>
      </c>
      <c r="K50" s="148">
        <v>0.04</v>
      </c>
      <c r="L50" s="148">
        <v>0.04</v>
      </c>
      <c r="M50" s="148">
        <v>0.03</v>
      </c>
      <c r="N50" s="148">
        <v>0.02</v>
      </c>
      <c r="O50" s="148">
        <v>0.01</v>
      </c>
      <c r="R50" s="463"/>
      <c r="S50" s="463"/>
      <c r="T50" s="463"/>
      <c r="U50" s="463"/>
      <c r="V50" s="463"/>
      <c r="W50" s="463"/>
      <c r="X50" s="463"/>
      <c r="Y50" s="463"/>
      <c r="Z50" s="463"/>
    </row>
    <row r="51" spans="1:26" outlineLevel="1" x14ac:dyDescent="0.3">
      <c r="A51" s="6" t="s">
        <v>23</v>
      </c>
      <c r="D51" s="115">
        <f>+($D$146+$D$147)/$D$70</f>
        <v>0.45592163846838824</v>
      </c>
      <c r="E51" s="115">
        <f>+($E$146+$E$147)/$E$70</f>
        <v>0.43882441249494775</v>
      </c>
      <c r="F51" s="115">
        <f>+($F$146+$F$147)/$F$70</f>
        <v>0.35123272825792462</v>
      </c>
      <c r="G51" s="115">
        <f>+($G$146+$G$147)/$G$70</f>
        <v>0.56740657135690997</v>
      </c>
      <c r="H51" s="115">
        <f>+($H$146+$H$147)/$H$70</f>
        <v>0.3904128069070959</v>
      </c>
      <c r="I51" s="148">
        <v>0.23</v>
      </c>
      <c r="J51" s="148">
        <v>0.23899999999999999</v>
      </c>
      <c r="K51" s="148">
        <v>0.23799999999999999</v>
      </c>
      <c r="L51" s="148">
        <v>0.23699999999999999</v>
      </c>
      <c r="M51" s="148">
        <v>0.23599999999999999</v>
      </c>
      <c r="N51" s="148">
        <v>0.23499999999999999</v>
      </c>
      <c r="O51" s="148">
        <v>0.23400000000000001</v>
      </c>
      <c r="R51" s="463"/>
      <c r="S51" s="463"/>
      <c r="T51" s="463"/>
      <c r="U51" s="463"/>
      <c r="V51" s="463"/>
      <c r="W51" s="463"/>
      <c r="X51" s="463"/>
      <c r="Y51" s="463"/>
      <c r="Z51" s="463"/>
    </row>
    <row r="52" spans="1:26" outlineLevel="1" x14ac:dyDescent="0.3">
      <c r="A52" s="4"/>
      <c r="D52" s="14"/>
      <c r="E52" s="14"/>
      <c r="F52" s="14"/>
      <c r="G52" s="14"/>
      <c r="H52" s="14"/>
      <c r="I52" s="15"/>
      <c r="J52" s="15"/>
      <c r="K52" s="15"/>
      <c r="L52" s="15"/>
      <c r="M52" s="15"/>
      <c r="R52" s="463"/>
      <c r="S52" s="463"/>
      <c r="T52" s="463"/>
      <c r="U52" s="463"/>
      <c r="V52" s="463"/>
      <c r="W52" s="463"/>
      <c r="X52" s="463"/>
      <c r="Y52" s="463"/>
      <c r="Z52" s="463"/>
    </row>
    <row r="53" spans="1:26" outlineLevel="1" x14ac:dyDescent="0.3">
      <c r="A53" s="4"/>
      <c r="D53" s="14"/>
      <c r="E53" s="14"/>
      <c r="F53" s="14"/>
      <c r="G53" s="14"/>
      <c r="H53" s="14"/>
      <c r="I53" s="15"/>
      <c r="J53" s="15"/>
      <c r="K53" s="15"/>
      <c r="L53" s="15"/>
      <c r="M53" s="15"/>
      <c r="R53" s="463"/>
      <c r="S53" s="463"/>
      <c r="T53" s="463"/>
      <c r="U53" s="463"/>
      <c r="V53" s="463"/>
      <c r="W53" s="463"/>
      <c r="X53" s="463"/>
      <c r="Y53" s="463"/>
      <c r="Z53" s="463"/>
    </row>
    <row r="54" spans="1:26" outlineLevel="1" x14ac:dyDescent="0.3">
      <c r="A54" s="7" t="s">
        <v>4</v>
      </c>
      <c r="D54" s="14"/>
      <c r="E54" s="14"/>
      <c r="F54" s="14"/>
      <c r="G54" s="14"/>
      <c r="H54" s="14"/>
      <c r="I54" s="15"/>
      <c r="J54" s="15"/>
      <c r="K54" s="15"/>
      <c r="L54" s="15"/>
      <c r="M54" s="15"/>
      <c r="N54" s="36"/>
      <c r="O54" s="36"/>
      <c r="R54" s="463"/>
      <c r="S54" s="463"/>
      <c r="T54" s="463"/>
      <c r="U54" s="463"/>
      <c r="V54" s="463"/>
      <c r="W54" s="463"/>
      <c r="X54" s="463"/>
      <c r="Y54" s="463"/>
      <c r="Z54" s="463"/>
    </row>
    <row r="55" spans="1:26" outlineLevel="1" x14ac:dyDescent="0.3">
      <c r="A55" s="203" t="s">
        <v>9</v>
      </c>
      <c r="B55" s="20"/>
      <c r="C55" s="21"/>
      <c r="D55" s="22"/>
      <c r="E55" s="2">
        <f>+$E$70/$D$70-1</f>
        <v>0.18631413110487016</v>
      </c>
      <c r="F55" s="2">
        <f>+$F$70/$E$70-1</f>
        <v>6.5592701657139596E-2</v>
      </c>
      <c r="G55" s="2">
        <f>+$G$70/$F$70-1</f>
        <v>-0.13584394473042538</v>
      </c>
      <c r="H55" s="2">
        <f>+$H$70/$G$70-1</f>
        <v>0.39440682217205936</v>
      </c>
      <c r="I55" s="206">
        <f t="shared" ref="I55:O63" si="6">CHOOSE($I$4,I9,I27,I41)</f>
        <v>0.02</v>
      </c>
      <c r="J55" s="206">
        <f t="shared" si="6"/>
        <v>0.05</v>
      </c>
      <c r="K55" s="206">
        <f t="shared" si="6"/>
        <v>7.0000000000000007E-2</v>
      </c>
      <c r="L55" s="206">
        <f t="shared" si="6"/>
        <v>0.05</v>
      </c>
      <c r="M55" s="206">
        <f t="shared" si="6"/>
        <v>3.5000000000000003E-2</v>
      </c>
      <c r="N55" s="206">
        <f t="shared" si="6"/>
        <v>2.8000000000000001E-2</v>
      </c>
      <c r="O55" s="206">
        <f t="shared" si="6"/>
        <v>0.02</v>
      </c>
      <c r="R55" s="463"/>
      <c r="S55" s="463"/>
      <c r="T55" s="463"/>
      <c r="U55" s="463"/>
      <c r="V55" s="463"/>
      <c r="W55" s="463"/>
      <c r="X55" s="463"/>
      <c r="Y55" s="463"/>
      <c r="Z55" s="463"/>
    </row>
    <row r="56" spans="1:26" outlineLevel="1" x14ac:dyDescent="0.3">
      <c r="A56" s="16" t="s">
        <v>10</v>
      </c>
      <c r="B56" s="5"/>
      <c r="C56" s="23"/>
      <c r="D56" s="24">
        <f>+$D$71/$D$70</f>
        <v>0.18556065483937254</v>
      </c>
      <c r="E56" s="24">
        <f>+$E$71/$E$70</f>
        <v>0.17137248109013223</v>
      </c>
      <c r="F56" s="24">
        <f>+$F$71/$F$70</f>
        <v>0.1782714711460309</v>
      </c>
      <c r="G56" s="24">
        <f>+$G$71/$G$70</f>
        <v>0.15870328567845499</v>
      </c>
      <c r="H56" s="24">
        <f>+$H$71/$H$70</f>
        <v>0.14646101268099648</v>
      </c>
      <c r="I56" s="207">
        <f t="shared" si="6"/>
        <v>0.15</v>
      </c>
      <c r="J56" s="207">
        <f t="shared" si="6"/>
        <v>0.15</v>
      </c>
      <c r="K56" s="207">
        <f t="shared" si="6"/>
        <v>0.15</v>
      </c>
      <c r="L56" s="207">
        <f t="shared" si="6"/>
        <v>0.15</v>
      </c>
      <c r="M56" s="207">
        <f t="shared" si="6"/>
        <v>0.15</v>
      </c>
      <c r="N56" s="207">
        <f t="shared" si="6"/>
        <v>0.15</v>
      </c>
      <c r="O56" s="207">
        <f t="shared" si="6"/>
        <v>0.15</v>
      </c>
      <c r="R56" s="463"/>
      <c r="S56" s="463"/>
      <c r="T56" s="463"/>
      <c r="U56" s="463"/>
      <c r="V56" s="463"/>
      <c r="W56" s="463"/>
      <c r="X56" s="463"/>
      <c r="Y56" s="463"/>
      <c r="Z56" s="463"/>
    </row>
    <row r="57" spans="1:26" outlineLevel="1" x14ac:dyDescent="0.3">
      <c r="A57" s="16" t="s">
        <v>12</v>
      </c>
      <c r="B57" s="5"/>
      <c r="C57" s="23"/>
      <c r="D57" s="24">
        <f>+$D$75/$D$70</f>
        <v>0.28981437084731831</v>
      </c>
      <c r="E57" s="24">
        <f>+$E$75/$E$70</f>
        <v>0.27068537444425195</v>
      </c>
      <c r="F57" s="24">
        <f>+$F$75/$F$70</f>
        <v>0.29097805472771604</v>
      </c>
      <c r="G57" s="24">
        <f>+$G$75/$G$70</f>
        <v>0.34455731126160022</v>
      </c>
      <c r="H57" s="24">
        <f>+$H$75/$H$70</f>
        <v>0.28226459213958088</v>
      </c>
      <c r="I57" s="207">
        <f t="shared" si="6"/>
        <v>0.28100000000000003</v>
      </c>
      <c r="J57" s="207">
        <f t="shared" si="6"/>
        <v>0.28000000000000003</v>
      </c>
      <c r="K57" s="207">
        <f t="shared" si="6"/>
        <v>0.28499999999999998</v>
      </c>
      <c r="L57" s="207">
        <f t="shared" si="6"/>
        <v>0.28199999999999997</v>
      </c>
      <c r="M57" s="207">
        <f t="shared" si="6"/>
        <v>0.28000000000000003</v>
      </c>
      <c r="N57" s="207">
        <f t="shared" si="6"/>
        <v>0.27900000000000003</v>
      </c>
      <c r="O57" s="207">
        <f t="shared" si="6"/>
        <v>0.27800000000000002</v>
      </c>
      <c r="R57" s="463"/>
      <c r="S57" s="463"/>
      <c r="T57" s="463"/>
      <c r="U57" s="463"/>
      <c r="V57" s="463"/>
      <c r="W57" s="463"/>
      <c r="X57" s="463"/>
      <c r="Y57" s="463"/>
      <c r="Z57" s="463"/>
    </row>
    <row r="58" spans="1:26" outlineLevel="1" x14ac:dyDescent="0.3">
      <c r="A58" s="16" t="s">
        <v>13</v>
      </c>
      <c r="B58" s="5"/>
      <c r="C58" s="23"/>
      <c r="D58" s="24">
        <f>+$D$76/$D$70</f>
        <v>7.6032604972943341E-2</v>
      </c>
      <c r="E58" s="24">
        <f>+$E$76/$E$70</f>
        <v>0.11190022518621168</v>
      </c>
      <c r="F58" s="24">
        <f>+$F$76/$F$70</f>
        <v>0.12771606610674613</v>
      </c>
      <c r="G58" s="24">
        <f>+$G$76/$G$70</f>
        <v>0.14553549034361676</v>
      </c>
      <c r="H58" s="24">
        <f>+$H$76/$H$70</f>
        <v>0.14502203435560751</v>
      </c>
      <c r="I58" s="207">
        <f t="shared" si="6"/>
        <v>0.125</v>
      </c>
      <c r="J58" s="207">
        <f t="shared" si="6"/>
        <v>0.12</v>
      </c>
      <c r="K58" s="207">
        <f t="shared" si="6"/>
        <v>0.12</v>
      </c>
      <c r="L58" s="207">
        <f t="shared" si="6"/>
        <v>0.121</v>
      </c>
      <c r="M58" s="207">
        <f t="shared" si="6"/>
        <v>0.123</v>
      </c>
      <c r="N58" s="207">
        <f t="shared" si="6"/>
        <v>0.122</v>
      </c>
      <c r="O58" s="207">
        <f t="shared" si="6"/>
        <v>0.12</v>
      </c>
      <c r="R58" s="463"/>
      <c r="S58" s="463"/>
      <c r="T58" s="463"/>
      <c r="U58" s="463"/>
      <c r="V58" s="463"/>
      <c r="W58" s="463"/>
      <c r="X58" s="463"/>
      <c r="Y58" s="463"/>
      <c r="Z58" s="463"/>
    </row>
    <row r="59" spans="1:26" outlineLevel="1" x14ac:dyDescent="0.3">
      <c r="A59" s="16" t="s">
        <v>27</v>
      </c>
      <c r="B59" s="5"/>
      <c r="C59" s="23"/>
      <c r="D59" s="24">
        <f>+$D$79/$D$70</f>
        <v>0.31098020412357008</v>
      </c>
      <c r="E59" s="24">
        <f>+$E$79/$E$70</f>
        <v>0.29557133783705752</v>
      </c>
      <c r="F59" s="24">
        <f>+$F$79/$F$70</f>
        <v>0.29021945272283933</v>
      </c>
      <c r="G59" s="24">
        <f>+$G$79/$G$70</f>
        <v>0.3253072485578129</v>
      </c>
      <c r="H59" s="24">
        <f>+$H$79/$H$70</f>
        <v>0.24647000629553018</v>
      </c>
      <c r="I59" s="207">
        <f t="shared" si="6"/>
        <v>0.24</v>
      </c>
      <c r="J59" s="207">
        <f t="shared" si="6"/>
        <v>0.23899999999999999</v>
      </c>
      <c r="K59" s="207">
        <f t="shared" si="6"/>
        <v>0.23799999999999999</v>
      </c>
      <c r="L59" s="207">
        <f t="shared" si="6"/>
        <v>0.23699999999999999</v>
      </c>
      <c r="M59" s="207">
        <f t="shared" si="6"/>
        <v>0.23599999999999999</v>
      </c>
      <c r="N59" s="207">
        <f t="shared" si="6"/>
        <v>0.23499999999999999</v>
      </c>
      <c r="O59" s="207">
        <f t="shared" si="6"/>
        <v>0.23400000000000001</v>
      </c>
      <c r="R59" s="463"/>
      <c r="S59" s="463"/>
      <c r="T59" s="463"/>
      <c r="U59" s="463"/>
      <c r="V59" s="463"/>
      <c r="W59" s="463"/>
      <c r="X59" s="463"/>
      <c r="Y59" s="463"/>
      <c r="Z59" s="463"/>
    </row>
    <row r="60" spans="1:26" outlineLevel="1" x14ac:dyDescent="0.3">
      <c r="A60" s="16" t="s">
        <v>15</v>
      </c>
      <c r="B60" s="5"/>
      <c r="C60" s="23"/>
      <c r="D60" s="24">
        <f>+$D$83/$D$119</f>
        <v>1.4046751018657516E-2</v>
      </c>
      <c r="E60" s="24">
        <f>+$E$83/$E$119</f>
        <v>1.6917728852838931E-2</v>
      </c>
      <c r="F60" s="24">
        <f>+$F$83/$F$119</f>
        <v>1.7273471818926363E-2</v>
      </c>
      <c r="G60" s="24">
        <f>+$G$83/$G$119</f>
        <v>1.2445506961046265E-2</v>
      </c>
      <c r="H60" s="24">
        <f>+$H$83/$H$119</f>
        <v>1.2223071046600458E-2</v>
      </c>
      <c r="I60" s="207">
        <f t="shared" si="6"/>
        <v>1.2E-2</v>
      </c>
      <c r="J60" s="207">
        <f t="shared" si="6"/>
        <v>1.2E-2</v>
      </c>
      <c r="K60" s="207">
        <f t="shared" si="6"/>
        <v>1.2E-2</v>
      </c>
      <c r="L60" s="207">
        <f t="shared" si="6"/>
        <v>1.2E-2</v>
      </c>
      <c r="M60" s="207">
        <f t="shared" si="6"/>
        <v>1.2E-2</v>
      </c>
      <c r="N60" s="207">
        <f t="shared" si="6"/>
        <v>1.2E-2</v>
      </c>
      <c r="O60" s="207">
        <f t="shared" si="6"/>
        <v>1.2E-2</v>
      </c>
      <c r="R60" s="463"/>
      <c r="S60" s="463"/>
      <c r="T60" s="463"/>
      <c r="U60" s="463"/>
      <c r="V60" s="463"/>
      <c r="W60" s="463"/>
      <c r="X60" s="463"/>
      <c r="Y60" s="463"/>
      <c r="Z60" s="463"/>
    </row>
    <row r="61" spans="1:26" outlineLevel="1" x14ac:dyDescent="0.3">
      <c r="A61" s="16" t="s">
        <v>16</v>
      </c>
      <c r="B61" s="28"/>
      <c r="C61" s="29"/>
      <c r="D61" s="24">
        <f>+$D$90/$D$86</f>
        <v>0.32268170426065135</v>
      </c>
      <c r="E61" s="24">
        <f>+$E$90/$E$86</f>
        <v>0.33141762452107287</v>
      </c>
      <c r="F61" s="24">
        <f>+$F$90/$F$86</f>
        <v>0.3261455525606477</v>
      </c>
      <c r="G61" s="24">
        <f>+$G$90/$G$86</f>
        <v>-0.58216560509554138</v>
      </c>
      <c r="H61" s="24">
        <f>+$H$90/$H$86</f>
        <v>0.55761143818334746</v>
      </c>
      <c r="I61" s="207">
        <f t="shared" si="6"/>
        <v>0.4</v>
      </c>
      <c r="J61" s="207">
        <f t="shared" si="6"/>
        <v>0.4</v>
      </c>
      <c r="K61" s="207">
        <f t="shared" si="6"/>
        <v>0.4</v>
      </c>
      <c r="L61" s="207">
        <f t="shared" si="6"/>
        <v>0.4</v>
      </c>
      <c r="M61" s="207">
        <f t="shared" si="6"/>
        <v>0.4</v>
      </c>
      <c r="N61" s="207">
        <f t="shared" si="6"/>
        <v>0.4</v>
      </c>
      <c r="O61" s="207">
        <f t="shared" si="6"/>
        <v>0.4</v>
      </c>
      <c r="R61" s="463"/>
      <c r="S61" s="463"/>
      <c r="T61" s="463"/>
      <c r="U61" s="463"/>
      <c r="V61" s="463"/>
      <c r="W61" s="463"/>
      <c r="X61" s="463"/>
      <c r="Y61" s="463"/>
      <c r="Z61" s="463"/>
    </row>
    <row r="62" spans="1:26" outlineLevel="1" x14ac:dyDescent="0.3">
      <c r="A62" s="16" t="s">
        <v>17</v>
      </c>
      <c r="C62" s="30"/>
      <c r="D62" s="24">
        <f>+$D$166/$D$70</f>
        <v>2.9933557092951573E-2</v>
      </c>
      <c r="E62" s="24">
        <f>+$E$166/$E$70</f>
        <v>-8.2164097234251401E-2</v>
      </c>
      <c r="F62" s="24">
        <f>+$F$166/$F$70</f>
        <v>-1.1324844215659713E-2</v>
      </c>
      <c r="G62" s="24">
        <f>+$G$166/$G$70</f>
        <v>0.16384499623777277</v>
      </c>
      <c r="H62" s="24">
        <f>+$H$166/$H$70</f>
        <v>-7.4736936774889837E-2</v>
      </c>
      <c r="I62" s="207">
        <f t="shared" si="6"/>
        <v>7.0000000000000007E-2</v>
      </c>
      <c r="J62" s="207">
        <f t="shared" si="6"/>
        <v>7.0000000000000007E-2</v>
      </c>
      <c r="K62" s="207">
        <f t="shared" si="6"/>
        <v>7.0000000000000007E-2</v>
      </c>
      <c r="L62" s="207">
        <f t="shared" si="6"/>
        <v>7.0000000000000007E-2</v>
      </c>
      <c r="M62" s="207">
        <f t="shared" si="6"/>
        <v>7.0000000000000007E-2</v>
      </c>
      <c r="N62" s="207">
        <f t="shared" si="6"/>
        <v>7.0000000000000007E-2</v>
      </c>
      <c r="O62" s="207">
        <f t="shared" si="6"/>
        <v>7.0000000000000007E-2</v>
      </c>
      <c r="R62" s="463"/>
      <c r="S62" s="463"/>
      <c r="T62" s="463"/>
      <c r="U62" s="463"/>
      <c r="V62" s="463"/>
      <c r="W62" s="463"/>
      <c r="X62" s="463"/>
      <c r="Y62" s="463"/>
      <c r="Z62" s="463"/>
    </row>
    <row r="63" spans="1:26" outlineLevel="1" x14ac:dyDescent="0.3">
      <c r="A63" s="16" t="s">
        <v>18</v>
      </c>
      <c r="C63" s="30"/>
      <c r="D63" s="24">
        <f>+$D$170/$D$70</f>
        <v>-3.8564285225015406E-2</v>
      </c>
      <c r="E63" s="24">
        <f>+$E$170/$E$70</f>
        <v>1.6167215197182283E-2</v>
      </c>
      <c r="F63" s="24">
        <f>+$F$170/$F$70</f>
        <v>0.10262801408832294</v>
      </c>
      <c r="G63" s="24">
        <f>+$G$170/$G$70</f>
        <v>-0.16873589164785555</v>
      </c>
      <c r="H63" s="24">
        <f>+$H$170/$H$70</f>
        <v>6.8981023473333916E-2</v>
      </c>
      <c r="I63" s="207">
        <f t="shared" si="6"/>
        <v>0.06</v>
      </c>
      <c r="J63" s="207">
        <f t="shared" si="6"/>
        <v>0.06</v>
      </c>
      <c r="K63" s="207">
        <f t="shared" si="6"/>
        <v>0.06</v>
      </c>
      <c r="L63" s="207">
        <f t="shared" si="6"/>
        <v>0.06</v>
      </c>
      <c r="M63" s="207">
        <f t="shared" si="6"/>
        <v>0.06</v>
      </c>
      <c r="N63" s="207">
        <f t="shared" si="6"/>
        <v>0.06</v>
      </c>
      <c r="O63" s="207">
        <f t="shared" si="6"/>
        <v>0.06</v>
      </c>
      <c r="R63" s="463"/>
      <c r="S63" s="463"/>
      <c r="T63" s="463"/>
      <c r="U63" s="463"/>
      <c r="V63" s="463"/>
      <c r="W63" s="463"/>
      <c r="X63" s="463"/>
      <c r="Y63" s="463"/>
      <c r="Z63" s="463"/>
    </row>
    <row r="64" spans="1:26" outlineLevel="1" x14ac:dyDescent="0.3">
      <c r="A64" s="6" t="s">
        <v>22</v>
      </c>
      <c r="D64" s="115">
        <f>+$D$141/$D$70</f>
        <v>5.1921364477018971E-2</v>
      </c>
      <c r="E64" s="115">
        <f>+$E$141/$E$70</f>
        <v>7.0442866216294239E-2</v>
      </c>
      <c r="F64" s="115">
        <f>+$F$141/$F$70</f>
        <v>6.4860471416960178E-2</v>
      </c>
      <c r="G64" s="115">
        <f>+$G$141/$G$70</f>
        <v>7.091798344620015E-2</v>
      </c>
      <c r="H64" s="115">
        <f>+$H$141/$H$70</f>
        <v>9.2993974278262434E-2</v>
      </c>
      <c r="I64" s="207">
        <f t="shared" ref="I64:O65" si="7">CHOOSE($I$4,I21,I36,I50)</f>
        <v>7.0000000000000007E-2</v>
      </c>
      <c r="J64" s="207">
        <f t="shared" si="7"/>
        <v>7.0000000000000007E-2</v>
      </c>
      <c r="K64" s="207">
        <f t="shared" si="7"/>
        <v>7.0000000000000007E-2</v>
      </c>
      <c r="L64" s="207">
        <f t="shared" si="7"/>
        <v>7.0000000000000007E-2</v>
      </c>
      <c r="M64" s="207">
        <f t="shared" si="7"/>
        <v>7.0000000000000007E-2</v>
      </c>
      <c r="N64" s="207">
        <f t="shared" si="7"/>
        <v>7.0000000000000007E-2</v>
      </c>
      <c r="O64" s="207">
        <f t="shared" si="7"/>
        <v>7.0000000000000007E-2</v>
      </c>
      <c r="R64" s="463"/>
      <c r="S64" s="463"/>
      <c r="T64" s="463"/>
      <c r="U64" s="463"/>
      <c r="V64" s="463"/>
      <c r="W64" s="463"/>
      <c r="X64" s="463"/>
      <c r="Y64" s="463"/>
      <c r="Z64" s="463"/>
    </row>
    <row r="65" spans="1:26" outlineLevel="1" x14ac:dyDescent="0.3">
      <c r="A65" s="6" t="s">
        <v>23</v>
      </c>
      <c r="D65" s="115">
        <f>+($D$146+$D$147)/$D$70</f>
        <v>0.45592163846838824</v>
      </c>
      <c r="E65" s="115">
        <f>+($E$146+$E$147)/$E$70</f>
        <v>0.43882441249494775</v>
      </c>
      <c r="F65" s="115">
        <f>+($F$146+$F$147)/$F$70</f>
        <v>0.35123272825792462</v>
      </c>
      <c r="G65" s="115">
        <f>+($G$146+$G$147)/$G$70</f>
        <v>0.56740657135690997</v>
      </c>
      <c r="H65" s="115">
        <f>+($H$146+$H$147)/$H$70</f>
        <v>0.3904128069070959</v>
      </c>
      <c r="I65" s="207">
        <f t="shared" si="7"/>
        <v>0.25</v>
      </c>
      <c r="J65" s="207">
        <f t="shared" si="7"/>
        <v>0.249</v>
      </c>
      <c r="K65" s="207">
        <f t="shared" si="7"/>
        <v>0.248</v>
      </c>
      <c r="L65" s="207">
        <f t="shared" si="7"/>
        <v>0.247</v>
      </c>
      <c r="M65" s="207">
        <f t="shared" si="7"/>
        <v>0.246</v>
      </c>
      <c r="N65" s="207">
        <f t="shared" si="7"/>
        <v>0.245</v>
      </c>
      <c r="O65" s="207">
        <f t="shared" si="7"/>
        <v>0.24399999999999999</v>
      </c>
      <c r="R65" s="463"/>
      <c r="S65" s="463"/>
      <c r="T65" s="463"/>
      <c r="U65" s="463"/>
      <c r="V65" s="463"/>
      <c r="W65" s="463"/>
      <c r="X65" s="463"/>
      <c r="Y65" s="463"/>
      <c r="Z65" s="463"/>
    </row>
    <row r="66" spans="1:26" outlineLevel="1" x14ac:dyDescent="0.3">
      <c r="D66" s="14"/>
      <c r="E66" s="14"/>
      <c r="F66" s="14"/>
      <c r="G66" s="14"/>
      <c r="H66" s="14"/>
      <c r="I66" s="15"/>
      <c r="J66" s="15"/>
      <c r="K66" s="15"/>
      <c r="L66" s="15"/>
      <c r="M66" s="15"/>
      <c r="R66" s="463"/>
      <c r="S66" s="463"/>
      <c r="T66" s="463"/>
      <c r="U66" s="463"/>
      <c r="V66" s="463"/>
      <c r="W66" s="463"/>
      <c r="X66" s="463"/>
      <c r="Y66" s="463"/>
      <c r="Z66" s="463"/>
    </row>
    <row r="67" spans="1:26" x14ac:dyDescent="0.3">
      <c r="D67" s="14"/>
      <c r="E67" s="14"/>
      <c r="F67" s="14"/>
      <c r="G67" s="14"/>
      <c r="H67" s="14"/>
      <c r="I67" s="15"/>
      <c r="J67" s="15"/>
      <c r="K67" s="15"/>
      <c r="L67" s="15"/>
      <c r="M67" s="15"/>
      <c r="R67" s="463"/>
      <c r="S67" s="463"/>
      <c r="T67" s="463"/>
      <c r="U67" s="463"/>
      <c r="V67" s="463"/>
      <c r="W67" s="463"/>
      <c r="X67" s="463"/>
      <c r="Y67" s="463"/>
      <c r="Z67" s="463"/>
    </row>
    <row r="68" spans="1:26" ht="20.399999999999999" x14ac:dyDescent="0.35">
      <c r="A68" s="60" t="s">
        <v>29</v>
      </c>
      <c r="B68" s="60"/>
      <c r="C68" s="60"/>
      <c r="D68" s="60"/>
      <c r="E68" s="60"/>
      <c r="F68" s="60"/>
      <c r="G68" s="60"/>
      <c r="H68" s="60"/>
      <c r="I68" s="60"/>
      <c r="J68" s="60"/>
      <c r="K68" s="60"/>
      <c r="L68" s="60"/>
      <c r="M68" s="60"/>
      <c r="N68" s="60"/>
      <c r="O68" s="60"/>
      <c r="R68" s="463"/>
      <c r="S68" s="463"/>
      <c r="T68" s="463"/>
      <c r="U68" s="463"/>
      <c r="V68" s="463"/>
      <c r="W68" s="463"/>
      <c r="X68" s="463"/>
      <c r="Y68" s="463"/>
      <c r="Z68" s="463"/>
    </row>
    <row r="69" spans="1:26" outlineLevel="1" x14ac:dyDescent="0.3">
      <c r="A69" s="31"/>
      <c r="B69" s="31"/>
      <c r="C69" s="10"/>
      <c r="D69" s="32"/>
      <c r="E69" s="32"/>
      <c r="F69" s="32"/>
      <c r="G69" s="32"/>
      <c r="H69" s="32"/>
      <c r="I69" s="33"/>
      <c r="J69" s="33"/>
      <c r="K69" s="33"/>
      <c r="L69" s="33"/>
      <c r="M69" s="33"/>
      <c r="R69" s="463"/>
      <c r="S69" s="463"/>
      <c r="T69" s="463"/>
      <c r="U69" s="463"/>
      <c r="V69" s="463"/>
      <c r="W69" s="463"/>
      <c r="X69" s="463"/>
      <c r="Y69" s="463"/>
      <c r="Z69" s="463"/>
    </row>
    <row r="70" spans="1:26" outlineLevel="1" x14ac:dyDescent="0.3">
      <c r="A70" s="7" t="s">
        <v>30</v>
      </c>
      <c r="B70" s="7"/>
      <c r="C70" s="34"/>
      <c r="D70" s="65">
        <v>1459.9</v>
      </c>
      <c r="E70" s="65">
        <v>1731.9</v>
      </c>
      <c r="F70" s="65">
        <v>1845.5</v>
      </c>
      <c r="G70" s="65">
        <v>1594.8</v>
      </c>
      <c r="H70" s="65">
        <v>2223.8000000000002</v>
      </c>
      <c r="I70" s="66">
        <f t="shared" ref="I70:O70" si="8">(H70*((1+I55)))</f>
        <v>2268.2760000000003</v>
      </c>
      <c r="J70" s="66">
        <f t="shared" si="8"/>
        <v>2381.6898000000006</v>
      </c>
      <c r="K70" s="66">
        <f t="shared" si="8"/>
        <v>2548.4080860000008</v>
      </c>
      <c r="L70" s="66">
        <f t="shared" si="8"/>
        <v>2675.8284903000008</v>
      </c>
      <c r="M70" s="66">
        <f t="shared" si="8"/>
        <v>2769.4824874605006</v>
      </c>
      <c r="N70" s="66">
        <f t="shared" si="8"/>
        <v>2847.0279971093946</v>
      </c>
      <c r="O70" s="66">
        <f t="shared" si="8"/>
        <v>2903.9685570515826</v>
      </c>
      <c r="R70" s="463" t="s">
        <v>31</v>
      </c>
      <c r="S70" s="465">
        <f>(H70/D70)^(1/4)-1</f>
        <v>0.11094652370012481</v>
      </c>
      <c r="T70" s="463"/>
      <c r="U70" s="463"/>
      <c r="V70" s="463"/>
      <c r="W70" s="463"/>
      <c r="X70" s="463"/>
      <c r="Y70" s="463"/>
      <c r="Z70" s="463"/>
    </row>
    <row r="71" spans="1:26" outlineLevel="1" x14ac:dyDescent="0.3">
      <c r="A71" s="5" t="s">
        <v>32</v>
      </c>
      <c r="B71" s="5"/>
      <c r="C71" s="23"/>
      <c r="D71" s="67">
        <v>270.89999999999998</v>
      </c>
      <c r="E71" s="67">
        <v>296.8</v>
      </c>
      <c r="F71" s="67">
        <v>329</v>
      </c>
      <c r="G71" s="67">
        <v>253.1</v>
      </c>
      <c r="H71" s="67">
        <v>325.7</v>
      </c>
      <c r="I71" s="68">
        <f t="shared" ref="I71:O71" si="9">(I70*(I56))</f>
        <v>340.24140000000006</v>
      </c>
      <c r="J71" s="68">
        <f t="shared" si="9"/>
        <v>357.25347000000005</v>
      </c>
      <c r="K71" s="68">
        <f t="shared" si="9"/>
        <v>382.26121290000009</v>
      </c>
      <c r="L71" s="68">
        <f t="shared" si="9"/>
        <v>401.37427354500011</v>
      </c>
      <c r="M71" s="68">
        <f t="shared" si="9"/>
        <v>415.42237311907508</v>
      </c>
      <c r="N71" s="68">
        <f t="shared" si="9"/>
        <v>427.05419956640918</v>
      </c>
      <c r="O71" s="68">
        <f t="shared" si="9"/>
        <v>435.59528355773739</v>
      </c>
      <c r="R71" s="463" t="s">
        <v>31</v>
      </c>
      <c r="S71" s="465">
        <f>(H71/D71)^(1/4)-1</f>
        <v>4.7133824479924202E-2</v>
      </c>
      <c r="T71" s="463"/>
      <c r="U71" s="463"/>
      <c r="V71" s="463"/>
      <c r="W71" s="463"/>
      <c r="X71" s="463"/>
      <c r="Y71" s="463"/>
      <c r="Z71" s="463"/>
    </row>
    <row r="72" spans="1:26" outlineLevel="1" x14ac:dyDescent="0.3">
      <c r="A72" s="20" t="s">
        <v>33</v>
      </c>
      <c r="B72" s="20"/>
      <c r="C72" s="21"/>
      <c r="D72" s="69">
        <f>D70-D71</f>
        <v>1189</v>
      </c>
      <c r="E72" s="119">
        <f t="shared" ref="E72:H72" si="10">E70-E71</f>
        <v>1435.1000000000001</v>
      </c>
      <c r="F72" s="119">
        <f t="shared" si="10"/>
        <v>1516.5</v>
      </c>
      <c r="G72" s="119">
        <f t="shared" si="10"/>
        <v>1341.7</v>
      </c>
      <c r="H72" s="119">
        <f t="shared" si="10"/>
        <v>1898.1000000000001</v>
      </c>
      <c r="I72" s="69">
        <f>I70-I71</f>
        <v>1928.0346000000002</v>
      </c>
      <c r="J72" s="69">
        <f t="shared" ref="J72:O72" si="11">J70-J71</f>
        <v>2024.4363300000005</v>
      </c>
      <c r="K72" s="69">
        <f t="shared" si="11"/>
        <v>2166.1468731000009</v>
      </c>
      <c r="L72" s="69">
        <f t="shared" si="11"/>
        <v>2274.4542167550007</v>
      </c>
      <c r="M72" s="69">
        <f t="shared" si="11"/>
        <v>2354.0601143414256</v>
      </c>
      <c r="N72" s="69">
        <f t="shared" si="11"/>
        <v>2419.9737975429853</v>
      </c>
      <c r="O72" s="69">
        <f t="shared" si="11"/>
        <v>2468.3732734938453</v>
      </c>
      <c r="R72" s="463" t="s">
        <v>31</v>
      </c>
      <c r="S72" s="465">
        <f>(H72/D72)^(1/4)-1</f>
        <v>0.12404658015575887</v>
      </c>
      <c r="T72" s="463"/>
      <c r="U72" s="463"/>
      <c r="V72" s="463"/>
      <c r="W72" s="463"/>
      <c r="X72" s="463"/>
      <c r="Y72" s="463"/>
      <c r="Z72" s="463"/>
    </row>
    <row r="73" spans="1:26" outlineLevel="1" x14ac:dyDescent="0.3">
      <c r="A73" s="28" t="s">
        <v>34</v>
      </c>
      <c r="B73" s="31"/>
      <c r="C73" s="10"/>
      <c r="D73" s="89">
        <f>+D72/D70</f>
        <v>0.81443934516062744</v>
      </c>
      <c r="E73" s="123">
        <f t="shared" ref="E73:H73" si="12">+E72/E70</f>
        <v>0.82862751890986786</v>
      </c>
      <c r="F73" s="123">
        <f t="shared" si="12"/>
        <v>0.82172852885396908</v>
      </c>
      <c r="G73" s="123">
        <f t="shared" si="12"/>
        <v>0.84129671432154507</v>
      </c>
      <c r="H73" s="123">
        <f t="shared" si="12"/>
        <v>0.85353898731900346</v>
      </c>
      <c r="I73" s="101">
        <f>+I72/I70</f>
        <v>0.85</v>
      </c>
      <c r="J73" s="101">
        <f>+J72/J70</f>
        <v>0.85</v>
      </c>
      <c r="K73" s="101">
        <f>+K72/K70</f>
        <v>0.85000000000000009</v>
      </c>
      <c r="L73" s="101">
        <f>+L72/L70</f>
        <v>0.85</v>
      </c>
      <c r="M73" s="101">
        <f>+M72/M70</f>
        <v>0.85</v>
      </c>
      <c r="N73" s="101">
        <f t="shared" ref="N73:O73" si="13">+N72/N70</f>
        <v>0.85</v>
      </c>
      <c r="O73" s="101">
        <f t="shared" si="13"/>
        <v>0.85000000000000009</v>
      </c>
      <c r="R73" s="463"/>
      <c r="S73" s="465"/>
      <c r="T73" s="463"/>
      <c r="U73" s="463"/>
      <c r="V73" s="463"/>
      <c r="W73" s="463"/>
      <c r="X73" s="463"/>
      <c r="Y73" s="463"/>
      <c r="Z73" s="463"/>
    </row>
    <row r="74" spans="1:26" outlineLevel="1" x14ac:dyDescent="0.3">
      <c r="A74" s="31" t="s">
        <v>35</v>
      </c>
      <c r="B74" s="31"/>
      <c r="C74" s="10"/>
      <c r="D74" s="70"/>
      <c r="E74" s="124"/>
      <c r="F74" s="124"/>
      <c r="G74" s="124"/>
      <c r="H74" s="124"/>
      <c r="I74" s="111"/>
      <c r="J74" s="111"/>
      <c r="K74" s="111"/>
      <c r="L74" s="109"/>
      <c r="M74" s="109"/>
      <c r="R74" s="463"/>
      <c r="S74" s="465"/>
      <c r="T74" s="463"/>
      <c r="U74" s="463"/>
      <c r="V74" s="463"/>
      <c r="W74" s="463"/>
      <c r="X74" s="463"/>
      <c r="Y74" s="463"/>
      <c r="Z74" s="463"/>
    </row>
    <row r="75" spans="1:26" outlineLevel="1" x14ac:dyDescent="0.3">
      <c r="A75" s="6" t="s">
        <v>36</v>
      </c>
      <c r="D75" s="72">
        <v>423.1</v>
      </c>
      <c r="E75" s="122">
        <v>468.8</v>
      </c>
      <c r="F75" s="122">
        <v>537</v>
      </c>
      <c r="G75" s="122">
        <v>549.5</v>
      </c>
      <c r="H75" s="122">
        <v>627.70000000000005</v>
      </c>
      <c r="I75" s="112">
        <f t="shared" ref="I75:O75" si="14">+I70*I57</f>
        <v>637.38555600000018</v>
      </c>
      <c r="J75" s="112">
        <f t="shared" si="14"/>
        <v>666.87314400000025</v>
      </c>
      <c r="K75" s="112">
        <f t="shared" si="14"/>
        <v>726.29630451000014</v>
      </c>
      <c r="L75" s="112">
        <f t="shared" si="14"/>
        <v>754.58363426460016</v>
      </c>
      <c r="M75" s="112">
        <f t="shared" si="14"/>
        <v>775.45509648894028</v>
      </c>
      <c r="N75" s="112">
        <f t="shared" si="14"/>
        <v>794.32081119352119</v>
      </c>
      <c r="O75" s="112">
        <f t="shared" si="14"/>
        <v>807.30325886034007</v>
      </c>
      <c r="R75" s="463" t="s">
        <v>31</v>
      </c>
      <c r="S75" s="465">
        <f>(H75/D75)^(1/4)-1</f>
        <v>0.10363960178346932</v>
      </c>
      <c r="T75" s="463"/>
      <c r="U75" s="463"/>
      <c r="V75" s="463"/>
      <c r="W75" s="463"/>
      <c r="X75" s="463"/>
      <c r="Y75" s="463"/>
      <c r="Z75" s="463"/>
    </row>
    <row r="76" spans="1:26" outlineLevel="1" x14ac:dyDescent="0.3">
      <c r="A76" s="6" t="s">
        <v>37</v>
      </c>
      <c r="D76" s="72">
        <v>111</v>
      </c>
      <c r="E76" s="122">
        <v>193.8</v>
      </c>
      <c r="F76" s="122">
        <v>235.7</v>
      </c>
      <c r="G76" s="122">
        <v>232.1</v>
      </c>
      <c r="H76" s="122">
        <v>322.5</v>
      </c>
      <c r="I76" s="113">
        <f t="shared" ref="I76:O76" si="15">+I70*I58</f>
        <v>283.53450000000004</v>
      </c>
      <c r="J76" s="113">
        <f t="shared" si="15"/>
        <v>285.80277600000005</v>
      </c>
      <c r="K76" s="113">
        <f t="shared" si="15"/>
        <v>305.80897032000007</v>
      </c>
      <c r="L76" s="113">
        <f t="shared" si="15"/>
        <v>323.77524732630008</v>
      </c>
      <c r="M76" s="113">
        <f t="shared" si="15"/>
        <v>340.64634595764159</v>
      </c>
      <c r="N76" s="113">
        <f t="shared" si="15"/>
        <v>347.33741564734612</v>
      </c>
      <c r="O76" s="113">
        <f t="shared" si="15"/>
        <v>348.47622684618989</v>
      </c>
      <c r="R76" s="463" t="s">
        <v>31</v>
      </c>
      <c r="S76" s="465">
        <f>(H76/D76)^(1/4)-1</f>
        <v>0.30557457826123624</v>
      </c>
      <c r="T76" s="463"/>
      <c r="U76" s="463"/>
      <c r="V76" s="463">
        <f>+H77*1.17</f>
        <v>1109.0430000000001</v>
      </c>
      <c r="W76" s="463"/>
      <c r="X76" s="463"/>
      <c r="Y76" s="463"/>
      <c r="Z76" s="463"/>
    </row>
    <row r="77" spans="1:26" outlineLevel="1" x14ac:dyDescent="0.3">
      <c r="A77" s="7" t="s">
        <v>38</v>
      </c>
      <c r="D77" s="65">
        <f t="shared" ref="D77:H77" si="16">+D72-D75-D76</f>
        <v>654.9</v>
      </c>
      <c r="E77" s="125">
        <f t="shared" si="16"/>
        <v>772.50000000000023</v>
      </c>
      <c r="F77" s="125">
        <f t="shared" si="16"/>
        <v>743.8</v>
      </c>
      <c r="G77" s="125">
        <f t="shared" si="16"/>
        <v>560.1</v>
      </c>
      <c r="H77" s="125">
        <f t="shared" si="16"/>
        <v>947.90000000000009</v>
      </c>
      <c r="I77" s="114">
        <f>+I72-I75-I76</f>
        <v>1007.114544</v>
      </c>
      <c r="J77" s="114">
        <f>J72-J75-J76</f>
        <v>1071.7604100000003</v>
      </c>
      <c r="K77" s="114">
        <f>K72-K75-K76</f>
        <v>1134.0415982700008</v>
      </c>
      <c r="L77" s="114">
        <f>L72-L75-L76</f>
        <v>1196.0953351641003</v>
      </c>
      <c r="M77" s="114">
        <f>M72-M75-M76</f>
        <v>1237.9586718948435</v>
      </c>
      <c r="N77" s="114">
        <f t="shared" ref="N77:O77" si="17">N72-N75-N76</f>
        <v>1278.3155707021178</v>
      </c>
      <c r="O77" s="114">
        <f t="shared" si="17"/>
        <v>1312.5937877873153</v>
      </c>
      <c r="R77" s="463" t="s">
        <v>31</v>
      </c>
      <c r="S77" s="465">
        <f>(H77/D77)^(1/4)-1</f>
        <v>9.6849099946305195E-2</v>
      </c>
      <c r="T77" s="463"/>
      <c r="U77" s="463"/>
      <c r="V77" s="463"/>
      <c r="W77" s="463"/>
      <c r="X77" s="463"/>
      <c r="Y77" s="463"/>
      <c r="Z77" s="463"/>
    </row>
    <row r="78" spans="1:26" outlineLevel="1" x14ac:dyDescent="0.3">
      <c r="A78" s="43" t="s">
        <v>39</v>
      </c>
      <c r="D78" s="88">
        <f t="shared" ref="D78:O78" si="18">+D77/D70</f>
        <v>0.44859236934036573</v>
      </c>
      <c r="E78" s="115">
        <f t="shared" si="18"/>
        <v>0.44604191927940423</v>
      </c>
      <c r="F78" s="115">
        <f t="shared" si="18"/>
        <v>0.40303440801950691</v>
      </c>
      <c r="G78" s="115">
        <f t="shared" si="18"/>
        <v>0.35120391271632811</v>
      </c>
      <c r="H78" s="115">
        <f t="shared" si="18"/>
        <v>0.42625236082381512</v>
      </c>
      <c r="I78" s="115">
        <f t="shared" si="18"/>
        <v>0.44399999999999995</v>
      </c>
      <c r="J78" s="115">
        <f t="shared" si="18"/>
        <v>0.45</v>
      </c>
      <c r="K78" s="115">
        <f t="shared" si="18"/>
        <v>0.44500000000000017</v>
      </c>
      <c r="L78" s="115">
        <f t="shared" si="18"/>
        <v>0.44700000000000001</v>
      </c>
      <c r="M78" s="115">
        <f t="shared" si="18"/>
        <v>0.4469999999999999</v>
      </c>
      <c r="N78" s="115">
        <f t="shared" si="18"/>
        <v>0.4489999999999999</v>
      </c>
      <c r="O78" s="115">
        <f t="shared" si="18"/>
        <v>0.45199999999999996</v>
      </c>
      <c r="R78" s="463" t="s">
        <v>11</v>
      </c>
      <c r="S78" s="465" cm="1">
        <f t="array" ref="S78:W78">(D78:H78)</f>
        <v>0.44859236934036573</v>
      </c>
      <c r="T78" s="463">
        <v>0.44604191927940423</v>
      </c>
      <c r="U78" s="463">
        <v>0.40303440801950691</v>
      </c>
      <c r="V78" s="463">
        <v>0.35120391271632811</v>
      </c>
      <c r="W78" s="463">
        <v>0.42625236082381512</v>
      </c>
      <c r="X78" s="463"/>
      <c r="Y78" s="463"/>
      <c r="Z78" s="463"/>
    </row>
    <row r="79" spans="1:26" ht="14.25" customHeight="1" outlineLevel="1" x14ac:dyDescent="0.3">
      <c r="A79" s="96" t="s">
        <v>40</v>
      </c>
      <c r="D79" s="97">
        <v>454</v>
      </c>
      <c r="E79" s="126">
        <v>511.9</v>
      </c>
      <c r="F79" s="126">
        <v>535.6</v>
      </c>
      <c r="G79" s="126">
        <v>518.79999999999995</v>
      </c>
      <c r="H79" s="126">
        <v>548.1</v>
      </c>
      <c r="I79" s="112">
        <f t="shared" ref="I79:O79" si="19">+I70*I59</f>
        <v>544.38624000000004</v>
      </c>
      <c r="J79" s="112">
        <f t="shared" si="19"/>
        <v>569.2238622000001</v>
      </c>
      <c r="K79" s="112">
        <f t="shared" si="19"/>
        <v>606.52112446800015</v>
      </c>
      <c r="L79" s="112">
        <f t="shared" si="19"/>
        <v>634.17135220110015</v>
      </c>
      <c r="M79" s="112">
        <f t="shared" si="19"/>
        <v>653.59786704067812</v>
      </c>
      <c r="N79" s="112">
        <f t="shared" si="19"/>
        <v>669.05157932070767</v>
      </c>
      <c r="O79" s="112">
        <f t="shared" si="19"/>
        <v>679.52864235007041</v>
      </c>
      <c r="R79" s="463" t="s">
        <v>31</v>
      </c>
      <c r="S79" s="465">
        <f t="shared" ref="S79:S84" si="20">(H79/D79)^(1/4)-1</f>
        <v>4.8216489486277991E-2</v>
      </c>
      <c r="T79" s="463"/>
      <c r="U79" s="463" t="s">
        <v>41</v>
      </c>
      <c r="V79" s="463"/>
      <c r="W79" s="463"/>
      <c r="X79" s="463"/>
      <c r="Y79" s="463"/>
      <c r="Z79" s="463"/>
    </row>
    <row r="80" spans="1:26" ht="24.75" hidden="1" customHeight="1" outlineLevel="1" x14ac:dyDescent="0.3">
      <c r="A80" s="6" t="s">
        <v>42</v>
      </c>
      <c r="D80" s="97">
        <v>31.1</v>
      </c>
      <c r="E80" s="126">
        <v>33.799999999999997</v>
      </c>
      <c r="F80" s="126">
        <v>36.6</v>
      </c>
      <c r="G80" s="126">
        <v>83.9</v>
      </c>
      <c r="H80" s="126">
        <v>101.5</v>
      </c>
      <c r="I80" s="117">
        <v>100</v>
      </c>
      <c r="J80" s="117">
        <v>100</v>
      </c>
      <c r="K80" s="117">
        <v>100</v>
      </c>
      <c r="L80" s="117">
        <v>100</v>
      </c>
      <c r="M80" s="117">
        <v>100</v>
      </c>
      <c r="N80" s="117"/>
      <c r="O80" s="117"/>
      <c r="R80" s="463" t="s">
        <v>31</v>
      </c>
      <c r="S80" s="465">
        <f t="shared" si="20"/>
        <v>0.34408400628527169</v>
      </c>
      <c r="T80" s="463"/>
      <c r="U80" s="463"/>
      <c r="V80" s="463"/>
      <c r="W80" s="463"/>
      <c r="X80" s="463"/>
      <c r="Y80" s="463"/>
      <c r="Z80" s="463"/>
    </row>
    <row r="81" spans="1:26" outlineLevel="1" x14ac:dyDescent="0.3">
      <c r="A81" s="7" t="s">
        <v>43</v>
      </c>
      <c r="D81" s="65">
        <f>+D77-D79</f>
        <v>200.89999999999998</v>
      </c>
      <c r="E81" s="125">
        <f>+E77-E79</f>
        <v>260.60000000000025</v>
      </c>
      <c r="F81" s="125">
        <f>+F77-F79</f>
        <v>208.19999999999993</v>
      </c>
      <c r="G81" s="125">
        <f>+G77-G79</f>
        <v>41.300000000000068</v>
      </c>
      <c r="H81" s="125">
        <f>+H77-H79</f>
        <v>399.80000000000007</v>
      </c>
      <c r="I81" s="118">
        <f t="shared" ref="I81:N81" si="21">+I77-I79</f>
        <v>462.72830399999998</v>
      </c>
      <c r="J81" s="118">
        <f t="shared" si="21"/>
        <v>502.53654780000022</v>
      </c>
      <c r="K81" s="118">
        <f t="shared" si="21"/>
        <v>527.52047380200065</v>
      </c>
      <c r="L81" s="118">
        <f t="shared" si="21"/>
        <v>561.92398296300019</v>
      </c>
      <c r="M81" s="118">
        <f t="shared" si="21"/>
        <v>584.36080485416539</v>
      </c>
      <c r="N81" s="118">
        <f t="shared" si="21"/>
        <v>609.26399138141016</v>
      </c>
      <c r="O81" s="118">
        <f>+O77-O79</f>
        <v>633.06514543724484</v>
      </c>
      <c r="R81" s="463" t="s">
        <v>31</v>
      </c>
      <c r="S81" s="465">
        <f t="shared" si="20"/>
        <v>0.18772449509625533</v>
      </c>
      <c r="T81" s="463"/>
      <c r="U81" s="463"/>
      <c r="V81" s="463"/>
      <c r="W81" s="463"/>
      <c r="X81" s="463"/>
      <c r="Y81" s="463"/>
      <c r="Z81" s="463"/>
    </row>
    <row r="82" spans="1:26" outlineLevel="1" x14ac:dyDescent="0.3">
      <c r="A82" s="6" t="s">
        <v>44</v>
      </c>
      <c r="D82" s="72">
        <v>25.1</v>
      </c>
      <c r="E82" s="122">
        <v>38.200000000000003</v>
      </c>
      <c r="F82" s="122">
        <v>49.2</v>
      </c>
      <c r="G82" s="122">
        <v>100.8</v>
      </c>
      <c r="H82" s="122">
        <v>110.4</v>
      </c>
      <c r="I82" s="112">
        <v>65</v>
      </c>
      <c r="J82" s="112">
        <f>I82</f>
        <v>65</v>
      </c>
      <c r="K82" s="112">
        <f>J82</f>
        <v>65</v>
      </c>
      <c r="L82" s="112">
        <f>K82</f>
        <v>65</v>
      </c>
      <c r="M82" s="112">
        <f>L82</f>
        <v>65</v>
      </c>
      <c r="N82" s="112">
        <f t="shared" ref="N82:O82" si="22">M82</f>
        <v>65</v>
      </c>
      <c r="O82" s="112">
        <f t="shared" si="22"/>
        <v>65</v>
      </c>
      <c r="R82" s="463" t="s">
        <v>31</v>
      </c>
      <c r="S82" s="465">
        <f t="shared" si="20"/>
        <v>0.44818431021918514</v>
      </c>
      <c r="T82" s="463" t="s">
        <v>45</v>
      </c>
      <c r="U82" s="463">
        <f>+AVERAGE(D82:H82)</f>
        <v>64.740000000000009</v>
      </c>
      <c r="V82" s="463"/>
      <c r="W82" s="463"/>
      <c r="X82" s="463"/>
      <c r="Y82" s="463"/>
      <c r="Z82" s="463"/>
    </row>
    <row r="83" spans="1:26" outlineLevel="1" x14ac:dyDescent="0.3">
      <c r="A83" s="6" t="s">
        <v>46</v>
      </c>
      <c r="D83" s="72">
        <v>13.1</v>
      </c>
      <c r="E83" s="122">
        <v>21.9</v>
      </c>
      <c r="F83" s="122">
        <v>23.2</v>
      </c>
      <c r="G83" s="122">
        <v>17.7</v>
      </c>
      <c r="H83" s="122">
        <v>25.6</v>
      </c>
      <c r="I83" s="116">
        <f t="shared" ref="I83:O83" si="23">I60*I119</f>
        <v>23.718840000000004</v>
      </c>
      <c r="J83" s="116">
        <f t="shared" si="23"/>
        <v>23.956028400000005</v>
      </c>
      <c r="K83" s="116">
        <f t="shared" si="23"/>
        <v>24.195588684000004</v>
      </c>
      <c r="L83" s="116">
        <f t="shared" si="23"/>
        <v>24.437544570840004</v>
      </c>
      <c r="M83" s="116">
        <f t="shared" si="23"/>
        <v>24.681920016548407</v>
      </c>
      <c r="N83" s="116">
        <f>N60*N119</f>
        <v>24.92873921671389</v>
      </c>
      <c r="O83" s="116">
        <f t="shared" si="23"/>
        <v>25.17802660888103</v>
      </c>
      <c r="R83" s="463" t="s">
        <v>31</v>
      </c>
      <c r="S83" s="465">
        <f t="shared" si="20"/>
        <v>0.18233941432131107</v>
      </c>
      <c r="T83" s="466" t="s">
        <v>47</v>
      </c>
      <c r="U83" s="463"/>
      <c r="V83" s="463"/>
      <c r="W83" s="463"/>
      <c r="X83" s="463"/>
      <c r="Y83" s="463"/>
      <c r="Z83" s="463"/>
    </row>
    <row r="84" spans="1:26" outlineLevel="1" x14ac:dyDescent="0.3">
      <c r="A84" s="36" t="s">
        <v>48</v>
      </c>
      <c r="B84" s="36"/>
      <c r="C84" s="37"/>
      <c r="D84" s="74">
        <v>3.1</v>
      </c>
      <c r="E84" s="127">
        <v>-8.3000000000000007</v>
      </c>
      <c r="F84" s="127">
        <v>-12.6</v>
      </c>
      <c r="G84" s="127">
        <v>1.3</v>
      </c>
      <c r="H84" s="127">
        <v>26</v>
      </c>
      <c r="I84" s="110">
        <v>10</v>
      </c>
      <c r="J84" s="110">
        <v>10</v>
      </c>
      <c r="K84" s="110">
        <v>10</v>
      </c>
      <c r="L84" s="110">
        <v>10</v>
      </c>
      <c r="M84" s="110">
        <v>10</v>
      </c>
      <c r="N84" s="110">
        <v>10</v>
      </c>
      <c r="O84" s="110">
        <v>10</v>
      </c>
      <c r="R84" s="463" t="s">
        <v>31</v>
      </c>
      <c r="S84" s="465">
        <f t="shared" si="20"/>
        <v>0.70177803364649582</v>
      </c>
      <c r="T84" s="463" t="s">
        <v>45</v>
      </c>
      <c r="U84" s="463">
        <f>AVERAGE(D84:H84)</f>
        <v>1.9</v>
      </c>
      <c r="V84" s="463"/>
      <c r="W84" s="463"/>
      <c r="X84" s="463"/>
      <c r="Y84" s="463"/>
      <c r="Z84" s="463"/>
    </row>
    <row r="85" spans="1:26" outlineLevel="1" x14ac:dyDescent="0.3">
      <c r="A85" s="31" t="s">
        <v>49</v>
      </c>
      <c r="B85" s="5"/>
      <c r="C85" s="23"/>
      <c r="D85" s="71">
        <f>+D75+D76+D79+D82+D83+D84</f>
        <v>1029.3999999999999</v>
      </c>
      <c r="E85" s="109">
        <f t="shared" ref="E85:F85" si="24">+E75+E76+E79+E82+E83+E84</f>
        <v>1226.3000000000002</v>
      </c>
      <c r="F85" s="71">
        <f t="shared" si="24"/>
        <v>1368.1000000000004</v>
      </c>
      <c r="G85" s="71">
        <f t="shared" ref="G85" si="25">+G75+G76+G79+G82+G83+G84</f>
        <v>1420.2</v>
      </c>
      <c r="H85" s="71">
        <f t="shared" ref="H85" si="26">+H75+H76+H79+H82+H83+H84</f>
        <v>1660.3000000000002</v>
      </c>
      <c r="I85" s="71">
        <f t="shared" ref="I85" si="27">+I75+I76+I79+I82+I83+I84</f>
        <v>1564.0251360000002</v>
      </c>
      <c r="J85" s="71">
        <f t="shared" ref="J85" si="28">+J75+J76+J79+J82+J83+J84</f>
        <v>1620.8558106000005</v>
      </c>
      <c r="K85" s="71">
        <f t="shared" ref="K85" si="29">+K75+K76+K79+K82+K83+K84</f>
        <v>1737.8219879820006</v>
      </c>
      <c r="L85" s="71">
        <f t="shared" ref="L85" si="30">+L75+L76+L79+L82+L83+L84</f>
        <v>1811.9677783628401</v>
      </c>
      <c r="M85" s="71">
        <f t="shared" ref="M85" si="31">+M75+M76+M79+M82+M83+M84</f>
        <v>1869.3812295038085</v>
      </c>
      <c r="N85" s="71">
        <f t="shared" ref="N85" si="32">+N75+N76+N79+N82+N83+N84</f>
        <v>1910.6385453782891</v>
      </c>
      <c r="O85" s="71">
        <f t="shared" ref="O85" si="33">+O75+O76+O79+O82+O83+O84</f>
        <v>1935.4861546654815</v>
      </c>
      <c r="R85" s="463"/>
      <c r="S85" s="463"/>
      <c r="T85" s="463"/>
      <c r="U85" s="463"/>
      <c r="V85" s="463"/>
      <c r="W85" s="463"/>
      <c r="X85" s="463"/>
      <c r="Y85" s="463"/>
      <c r="Z85" s="463"/>
    </row>
    <row r="86" spans="1:26" outlineLevel="1" x14ac:dyDescent="0.3">
      <c r="A86" s="20" t="s">
        <v>50</v>
      </c>
      <c r="B86" s="20"/>
      <c r="C86" s="21"/>
      <c r="D86" s="119">
        <f>+D72-D85</f>
        <v>159.60000000000014</v>
      </c>
      <c r="E86" s="119">
        <f t="shared" ref="E86:O86" si="34">+E72-E85</f>
        <v>208.79999999999995</v>
      </c>
      <c r="F86" s="119">
        <f t="shared" si="34"/>
        <v>148.39999999999964</v>
      </c>
      <c r="G86" s="119">
        <f t="shared" si="34"/>
        <v>-78.5</v>
      </c>
      <c r="H86" s="119">
        <f t="shared" si="34"/>
        <v>237.79999999999995</v>
      </c>
      <c r="I86" s="119">
        <f t="shared" si="34"/>
        <v>364.00946399999998</v>
      </c>
      <c r="J86" s="119">
        <f t="shared" si="34"/>
        <v>403.58051939999996</v>
      </c>
      <c r="K86" s="119">
        <f t="shared" si="34"/>
        <v>428.32488511800034</v>
      </c>
      <c r="L86" s="119">
        <f t="shared" si="34"/>
        <v>462.48643839216061</v>
      </c>
      <c r="M86" s="119">
        <f t="shared" si="34"/>
        <v>484.67888483761703</v>
      </c>
      <c r="N86" s="119">
        <f t="shared" si="34"/>
        <v>509.33525216469616</v>
      </c>
      <c r="O86" s="119">
        <f t="shared" si="34"/>
        <v>532.88711882836378</v>
      </c>
      <c r="R86" s="463"/>
      <c r="S86" s="463"/>
      <c r="T86" s="463"/>
      <c r="U86" s="463"/>
      <c r="V86" s="463"/>
      <c r="W86" s="463"/>
      <c r="X86" s="463"/>
      <c r="Y86" s="463"/>
      <c r="Z86" s="463"/>
    </row>
    <row r="87" spans="1:26" outlineLevel="1" x14ac:dyDescent="0.3">
      <c r="A87" s="31"/>
      <c r="B87" s="31"/>
      <c r="C87" s="10"/>
      <c r="D87" s="75"/>
      <c r="E87" s="120"/>
      <c r="F87" s="120"/>
      <c r="G87" s="120"/>
      <c r="H87" s="120"/>
      <c r="I87" s="71"/>
      <c r="J87" s="71"/>
      <c r="K87" s="71"/>
      <c r="L87" s="71"/>
      <c r="M87" s="71"/>
      <c r="R87" s="463"/>
      <c r="S87" s="463"/>
      <c r="T87" s="463"/>
      <c r="U87" s="463"/>
      <c r="V87" s="463"/>
      <c r="W87" s="463"/>
      <c r="X87" s="463"/>
      <c r="Y87" s="463"/>
      <c r="Z87" s="463"/>
    </row>
    <row r="88" spans="1:26" outlineLevel="1" x14ac:dyDescent="0.3">
      <c r="A88" s="5" t="s">
        <v>51</v>
      </c>
      <c r="B88" s="31"/>
      <c r="C88" s="10"/>
      <c r="D88" s="67">
        <v>0</v>
      </c>
      <c r="E88" s="121">
        <v>0</v>
      </c>
      <c r="F88" s="121">
        <v>0</v>
      </c>
      <c r="G88" s="121">
        <v>1.4</v>
      </c>
      <c r="H88" s="121">
        <v>2.1</v>
      </c>
      <c r="I88" s="128">
        <v>0</v>
      </c>
      <c r="J88" s="128">
        <v>0</v>
      </c>
      <c r="K88" s="128">
        <v>0</v>
      </c>
      <c r="L88" s="128">
        <v>0</v>
      </c>
      <c r="M88" s="128">
        <v>0</v>
      </c>
      <c r="N88" s="128">
        <v>0</v>
      </c>
      <c r="O88" s="128">
        <v>0</v>
      </c>
      <c r="R88" s="463"/>
      <c r="S88" s="463"/>
      <c r="T88" s="463"/>
      <c r="U88" s="463"/>
      <c r="V88" s="463"/>
      <c r="W88" s="463"/>
      <c r="X88" s="463"/>
      <c r="Y88" s="463"/>
      <c r="Z88" s="463"/>
    </row>
    <row r="89" spans="1:26" outlineLevel="1" x14ac:dyDescent="0.3">
      <c r="A89" s="5" t="s">
        <v>52</v>
      </c>
      <c r="B89" s="31"/>
      <c r="C89" s="10"/>
      <c r="D89" s="67">
        <v>0.3</v>
      </c>
      <c r="E89" s="121">
        <v>0</v>
      </c>
      <c r="F89" s="121">
        <v>0</v>
      </c>
      <c r="G89" s="121">
        <v>0</v>
      </c>
      <c r="H89" s="121">
        <v>0</v>
      </c>
      <c r="I89" s="128">
        <v>0</v>
      </c>
      <c r="J89" s="128">
        <v>0</v>
      </c>
      <c r="K89" s="128">
        <v>0</v>
      </c>
      <c r="L89" s="128">
        <v>0</v>
      </c>
      <c r="M89" s="128">
        <v>0</v>
      </c>
      <c r="N89" s="128">
        <v>0</v>
      </c>
      <c r="O89" s="128">
        <v>0</v>
      </c>
      <c r="R89" s="463"/>
      <c r="S89" s="463"/>
      <c r="T89" s="463"/>
      <c r="U89" s="463"/>
      <c r="V89" s="463"/>
      <c r="W89" s="463"/>
      <c r="X89" s="463"/>
      <c r="Y89" s="463"/>
      <c r="Z89" s="463"/>
    </row>
    <row r="90" spans="1:26" outlineLevel="1" x14ac:dyDescent="0.3">
      <c r="A90" s="5" t="s">
        <v>53</v>
      </c>
      <c r="B90" s="5"/>
      <c r="C90" s="23"/>
      <c r="D90" s="72">
        <v>51.5</v>
      </c>
      <c r="E90" s="122">
        <v>69.2</v>
      </c>
      <c r="F90" s="122">
        <v>48.4</v>
      </c>
      <c r="G90" s="122">
        <v>45.7</v>
      </c>
      <c r="H90" s="122">
        <v>132.6</v>
      </c>
      <c r="I90" s="73">
        <f t="shared" ref="I90:O90" si="35">I86*I61</f>
        <v>145.60378560000001</v>
      </c>
      <c r="J90" s="73">
        <f t="shared" si="35"/>
        <v>161.43220775999998</v>
      </c>
      <c r="K90" s="73">
        <f t="shared" si="35"/>
        <v>171.32995404720015</v>
      </c>
      <c r="L90" s="73">
        <f t="shared" si="35"/>
        <v>184.99457535686426</v>
      </c>
      <c r="M90" s="73">
        <f t="shared" si="35"/>
        <v>193.87155393504682</v>
      </c>
      <c r="N90" s="73">
        <f t="shared" si="35"/>
        <v>203.73410086587847</v>
      </c>
      <c r="O90" s="73">
        <f t="shared" si="35"/>
        <v>213.15484753134552</v>
      </c>
      <c r="R90" s="463" t="s">
        <v>45</v>
      </c>
      <c r="S90" s="463">
        <f>AVERAGE(D90:H90)</f>
        <v>69.47999999999999</v>
      </c>
      <c r="T90" s="463"/>
      <c r="U90" s="463" t="s">
        <v>54</v>
      </c>
      <c r="V90" s="468">
        <f>(H90/D90)^(1/4)-1</f>
        <v>0.26673005156382379</v>
      </c>
      <c r="W90" s="463"/>
      <c r="X90" s="463"/>
      <c r="Y90" s="463"/>
      <c r="Z90" s="463"/>
    </row>
    <row r="91" spans="1:26" ht="16.2" outlineLevel="1" thickBot="1" x14ac:dyDescent="0.35">
      <c r="A91" s="38" t="s">
        <v>55</v>
      </c>
      <c r="B91" s="38"/>
      <c r="C91" s="39"/>
      <c r="D91" s="76">
        <f t="shared" ref="D91:O91" si="36">D86-D90-D89-D88</f>
        <v>107.80000000000014</v>
      </c>
      <c r="E91" s="76">
        <f t="shared" si="36"/>
        <v>139.59999999999997</v>
      </c>
      <c r="F91" s="76">
        <f t="shared" si="36"/>
        <v>99.999999999999631</v>
      </c>
      <c r="G91" s="76">
        <f t="shared" si="36"/>
        <v>-125.60000000000001</v>
      </c>
      <c r="H91" s="76">
        <f t="shared" si="36"/>
        <v>103.09999999999997</v>
      </c>
      <c r="I91" s="76">
        <f t="shared" si="36"/>
        <v>218.40567839999997</v>
      </c>
      <c r="J91" s="76">
        <f t="shared" si="36"/>
        <v>242.14831163999997</v>
      </c>
      <c r="K91" s="76">
        <f t="shared" si="36"/>
        <v>256.99493107080019</v>
      </c>
      <c r="L91" s="76">
        <f t="shared" si="36"/>
        <v>277.49186303529632</v>
      </c>
      <c r="M91" s="76">
        <f t="shared" si="36"/>
        <v>290.80733090257024</v>
      </c>
      <c r="N91" s="76">
        <f t="shared" si="36"/>
        <v>305.60115129881768</v>
      </c>
      <c r="O91" s="76">
        <f t="shared" si="36"/>
        <v>319.73227129701826</v>
      </c>
      <c r="R91" s="463"/>
      <c r="S91" s="463"/>
      <c r="T91" s="463"/>
      <c r="U91" s="463"/>
      <c r="V91" s="463"/>
      <c r="W91" s="463"/>
      <c r="X91" s="463"/>
      <c r="Y91" s="463"/>
      <c r="Z91" s="463"/>
    </row>
    <row r="92" spans="1:26" ht="16.2" outlineLevel="1" collapsed="1" thickTop="1" x14ac:dyDescent="0.3">
      <c r="D92" s="9"/>
      <c r="E92" s="9"/>
      <c r="F92" s="9"/>
      <c r="G92" s="9"/>
      <c r="H92" s="9"/>
      <c r="R92" s="463"/>
      <c r="S92" s="463"/>
      <c r="T92" s="463"/>
      <c r="U92" s="463"/>
      <c r="V92" s="463"/>
      <c r="W92" s="463"/>
      <c r="X92" s="463"/>
      <c r="Y92" s="463"/>
      <c r="Z92" s="463"/>
    </row>
    <row r="93" spans="1:26" x14ac:dyDescent="0.3">
      <c r="D93" s="9"/>
      <c r="E93" s="9"/>
      <c r="F93" s="9"/>
      <c r="G93" s="9"/>
      <c r="H93" s="9"/>
      <c r="R93" s="463"/>
      <c r="S93" s="463"/>
      <c r="T93" s="463"/>
      <c r="U93" s="463"/>
      <c r="V93" s="463"/>
      <c r="W93" s="463"/>
      <c r="X93" s="463"/>
      <c r="Y93" s="463"/>
      <c r="Z93" s="463"/>
    </row>
    <row r="94" spans="1:26" ht="20.399999999999999" x14ac:dyDescent="0.35">
      <c r="A94" s="60" t="s">
        <v>56</v>
      </c>
      <c r="B94" s="60"/>
      <c r="C94" s="60"/>
      <c r="D94" s="60"/>
      <c r="E94" s="60"/>
      <c r="F94" s="60"/>
      <c r="G94" s="60"/>
      <c r="H94" s="60"/>
      <c r="I94" s="60"/>
      <c r="J94" s="60"/>
      <c r="K94" s="60"/>
      <c r="L94" s="60"/>
      <c r="M94" s="60"/>
      <c r="N94" s="60"/>
      <c r="O94" s="60"/>
      <c r="R94" s="463"/>
      <c r="S94" s="463"/>
      <c r="T94" s="463"/>
      <c r="U94" s="463"/>
      <c r="V94" s="463"/>
      <c r="W94" s="463"/>
      <c r="X94" s="463"/>
      <c r="Y94" s="463"/>
      <c r="Z94" s="463"/>
    </row>
    <row r="95" spans="1:26" outlineLevel="1" x14ac:dyDescent="0.3">
      <c r="D95" s="9"/>
      <c r="E95" s="9"/>
      <c r="F95" s="9"/>
      <c r="G95" s="9"/>
      <c r="H95" s="9"/>
      <c r="R95" s="463"/>
      <c r="S95" s="463"/>
      <c r="T95" s="463"/>
      <c r="U95" s="463"/>
      <c r="V95" s="463"/>
      <c r="W95" s="463"/>
      <c r="X95" s="463"/>
      <c r="Y95" s="463"/>
      <c r="Z95" s="463"/>
    </row>
    <row r="96" spans="1:26" outlineLevel="1" x14ac:dyDescent="0.3">
      <c r="A96" s="7" t="s">
        <v>57</v>
      </c>
      <c r="I96" s="77"/>
      <c r="J96" s="77"/>
      <c r="K96" s="77"/>
      <c r="L96" s="77"/>
      <c r="M96" s="77"/>
      <c r="Q96" s="5"/>
      <c r="R96" s="463"/>
      <c r="S96" s="463"/>
      <c r="T96" s="463"/>
      <c r="U96" s="463"/>
      <c r="V96" s="463"/>
      <c r="W96" s="463"/>
      <c r="X96" s="463"/>
      <c r="Y96" s="463"/>
      <c r="Z96" s="463"/>
    </row>
    <row r="97" spans="1:26" outlineLevel="1" x14ac:dyDescent="0.3">
      <c r="A97" s="6" t="s">
        <v>58</v>
      </c>
      <c r="C97" s="40"/>
      <c r="D97" s="72">
        <v>840.9</v>
      </c>
      <c r="E97" s="72">
        <v>736.1</v>
      </c>
      <c r="F97" s="72">
        <v>1044.8</v>
      </c>
      <c r="G97" s="72">
        <v>1075</v>
      </c>
      <c r="H97" s="72">
        <v>1276.2</v>
      </c>
      <c r="I97" s="77">
        <f>+I159</f>
        <v>1886.9194783999997</v>
      </c>
      <c r="J97" s="77">
        <f t="shared" ref="J97:O97" si="37">+J159</f>
        <v>2492.1522800399998</v>
      </c>
      <c r="K97" s="77">
        <f t="shared" si="37"/>
        <v>3020.5676154108</v>
      </c>
      <c r="L97" s="77">
        <f t="shared" si="37"/>
        <v>3475.8509029610964</v>
      </c>
      <c r="M97" s="77">
        <f t="shared" si="37"/>
        <v>3899.1323582366917</v>
      </c>
      <c r="N97" s="77">
        <f t="shared" ref="N97:O97" si="38">+N159</f>
        <v>4316.0849093909792</v>
      </c>
      <c r="O97" s="77">
        <f t="shared" si="38"/>
        <v>4725.015608540577</v>
      </c>
      <c r="Q97" s="5"/>
      <c r="R97" s="463" t="s">
        <v>45</v>
      </c>
      <c r="S97" s="463">
        <f t="shared" ref="S97:S110" si="39">AVERAGE(D97:H97)</f>
        <v>994.6</v>
      </c>
      <c r="T97" s="463" t="s">
        <v>54</v>
      </c>
      <c r="U97" s="468">
        <f t="shared" ref="U97:U110" si="40">(H97/D97)^(1/4)-1</f>
        <v>0.10992490640553876</v>
      </c>
      <c r="V97" s="463"/>
      <c r="W97" s="463"/>
      <c r="X97" s="463"/>
      <c r="Y97" s="463"/>
      <c r="Z97" s="463"/>
    </row>
    <row r="98" spans="1:26" outlineLevel="1" x14ac:dyDescent="0.3">
      <c r="A98" s="6" t="s">
        <v>59</v>
      </c>
      <c r="C98" s="40"/>
      <c r="D98" s="72">
        <v>11.8</v>
      </c>
      <c r="E98" s="72">
        <v>10.9</v>
      </c>
      <c r="F98" s="72">
        <v>5</v>
      </c>
      <c r="G98" s="72">
        <v>4.2</v>
      </c>
      <c r="H98" s="72">
        <v>351.5</v>
      </c>
      <c r="I98" s="77">
        <v>0</v>
      </c>
      <c r="J98" s="77">
        <v>0</v>
      </c>
      <c r="K98" s="77">
        <v>0</v>
      </c>
      <c r="L98" s="77">
        <v>0</v>
      </c>
      <c r="M98" s="77">
        <v>0</v>
      </c>
      <c r="N98" s="77">
        <v>0</v>
      </c>
      <c r="O98" s="77">
        <v>0</v>
      </c>
      <c r="Q98" s="5"/>
      <c r="R98" s="463" t="s">
        <v>45</v>
      </c>
      <c r="S98" s="463">
        <f t="shared" si="39"/>
        <v>76.679999999999993</v>
      </c>
      <c r="T98" s="463" t="s">
        <v>54</v>
      </c>
      <c r="U98" s="468">
        <f t="shared" si="40"/>
        <v>1.3362043621691329</v>
      </c>
      <c r="V98" s="463"/>
      <c r="W98" s="463"/>
      <c r="X98" s="463"/>
      <c r="Y98" s="463"/>
      <c r="Z98" s="463"/>
    </row>
    <row r="99" spans="1:26" outlineLevel="1" x14ac:dyDescent="0.3">
      <c r="A99" s="6" t="s">
        <v>60</v>
      </c>
      <c r="C99" s="40"/>
      <c r="D99" s="72">
        <v>0</v>
      </c>
      <c r="E99" s="72">
        <v>8.3000000000000007</v>
      </c>
      <c r="F99" s="72">
        <v>0.2</v>
      </c>
      <c r="G99" s="72">
        <v>0.5</v>
      </c>
      <c r="H99" s="72">
        <v>239.9</v>
      </c>
      <c r="I99" s="77">
        <v>0</v>
      </c>
      <c r="J99" s="77">
        <v>0</v>
      </c>
      <c r="K99" s="77">
        <v>0</v>
      </c>
      <c r="L99" s="77">
        <v>0</v>
      </c>
      <c r="M99" s="77">
        <v>0</v>
      </c>
      <c r="N99" s="77">
        <v>0</v>
      </c>
      <c r="O99" s="77">
        <v>0</v>
      </c>
      <c r="Q99" s="5"/>
      <c r="R99" s="463" t="s">
        <v>45</v>
      </c>
      <c r="S99" s="463">
        <f t="shared" si="39"/>
        <v>49.78</v>
      </c>
      <c r="T99" s="463" t="s">
        <v>54</v>
      </c>
      <c r="U99" s="468" t="e">
        <f t="shared" si="40"/>
        <v>#DIV/0!</v>
      </c>
      <c r="V99" s="463"/>
      <c r="W99" s="463"/>
      <c r="X99" s="463"/>
      <c r="Y99" s="463"/>
      <c r="Z99" s="463"/>
    </row>
    <row r="100" spans="1:26" outlineLevel="1" x14ac:dyDescent="0.3">
      <c r="A100" s="6" t="s">
        <v>61</v>
      </c>
      <c r="C100" s="40"/>
      <c r="D100" s="72">
        <v>556.9</v>
      </c>
      <c r="E100" s="72">
        <v>643.5</v>
      </c>
      <c r="F100" s="72">
        <v>572.29999999999995</v>
      </c>
      <c r="G100" s="72">
        <v>434.6</v>
      </c>
      <c r="H100" s="72">
        <v>605.29999999999995</v>
      </c>
      <c r="I100" s="77">
        <f t="shared" ref="I100:M101" si="41">I70*I62/365</f>
        <v>0.43501183561643847</v>
      </c>
      <c r="J100" s="77">
        <f t="shared" si="41"/>
        <v>0.45676242739726047</v>
      </c>
      <c r="K100" s="77">
        <f t="shared" si="41"/>
        <v>0.48873579731506867</v>
      </c>
      <c r="L100" s="77">
        <f t="shared" si="41"/>
        <v>0.51317258718082215</v>
      </c>
      <c r="M100" s="77">
        <f t="shared" si="41"/>
        <v>0.53113362773215089</v>
      </c>
      <c r="N100" s="77">
        <f t="shared" ref="N100:O100" si="42">N70*N62/365</f>
        <v>0.54600536930865107</v>
      </c>
      <c r="O100" s="77">
        <f t="shared" si="42"/>
        <v>0.55692547669482406</v>
      </c>
      <c r="Q100" s="5"/>
      <c r="R100" s="463" t="s">
        <v>45</v>
      </c>
      <c r="S100" s="463">
        <f t="shared" si="39"/>
        <v>562.5200000000001</v>
      </c>
      <c r="T100" s="463" t="s">
        <v>54</v>
      </c>
      <c r="U100" s="468">
        <f t="shared" si="40"/>
        <v>2.1053184144868231E-2</v>
      </c>
      <c r="V100" s="463"/>
      <c r="W100" s="463"/>
      <c r="X100" s="463"/>
      <c r="Y100" s="463"/>
      <c r="Z100" s="463"/>
    </row>
    <row r="101" spans="1:26" outlineLevel="1" x14ac:dyDescent="0.3">
      <c r="A101" s="6" t="s">
        <v>62</v>
      </c>
      <c r="C101" s="40"/>
      <c r="D101" s="72">
        <v>25.4</v>
      </c>
      <c r="E101" s="72">
        <v>20.3</v>
      </c>
      <c r="F101" s="72">
        <v>31.9</v>
      </c>
      <c r="G101" s="72">
        <v>12.4</v>
      </c>
      <c r="H101" s="72">
        <v>23.1</v>
      </c>
      <c r="I101" s="77">
        <f t="shared" si="41"/>
        <v>5.5930093150684937E-2</v>
      </c>
      <c r="J101" s="77">
        <f t="shared" si="41"/>
        <v>5.8726597808219184E-2</v>
      </c>
      <c r="K101" s="77">
        <f t="shared" si="41"/>
        <v>6.2837459654794536E-2</v>
      </c>
      <c r="L101" s="77">
        <f t="shared" si="41"/>
        <v>6.5979332637534263E-2</v>
      </c>
      <c r="M101" s="77">
        <f t="shared" si="41"/>
        <v>6.828860927984795E-2</v>
      </c>
      <c r="N101" s="77">
        <f t="shared" ref="N101:O101" si="43">N71*N63/365</f>
        <v>7.0200690339683708E-2</v>
      </c>
      <c r="O101" s="77">
        <f t="shared" si="43"/>
        <v>7.1604704146477377E-2</v>
      </c>
      <c r="Q101" s="5"/>
      <c r="R101" s="463" t="s">
        <v>45</v>
      </c>
      <c r="S101" s="463">
        <f t="shared" si="39"/>
        <v>22.619999999999997</v>
      </c>
      <c r="T101" s="463" t="s">
        <v>54</v>
      </c>
      <c r="U101" s="468">
        <f t="shared" si="40"/>
        <v>-2.3449816823566727E-2</v>
      </c>
      <c r="V101" s="463"/>
      <c r="W101" s="463"/>
      <c r="X101" s="463"/>
      <c r="Y101" s="463"/>
      <c r="Z101" s="463"/>
    </row>
    <row r="102" spans="1:26" outlineLevel="1" x14ac:dyDescent="0.3">
      <c r="A102" s="6" t="s">
        <v>63</v>
      </c>
      <c r="C102" s="40"/>
      <c r="D102" s="72">
        <v>28.1</v>
      </c>
      <c r="E102" s="72">
        <v>39.299999999999997</v>
      </c>
      <c r="F102" s="72">
        <v>123.9</v>
      </c>
      <c r="G102" s="72">
        <v>40.9</v>
      </c>
      <c r="H102" s="72">
        <v>43.7</v>
      </c>
      <c r="I102" s="77"/>
      <c r="J102" s="77"/>
      <c r="K102" s="77"/>
      <c r="L102" s="77"/>
      <c r="M102" s="77"/>
      <c r="N102" s="77"/>
      <c r="O102" s="77"/>
      <c r="Q102" s="5"/>
      <c r="R102" s="463" t="s">
        <v>45</v>
      </c>
      <c r="S102" s="463">
        <f t="shared" si="39"/>
        <v>55.180000000000007</v>
      </c>
      <c r="T102" s="463" t="s">
        <v>54</v>
      </c>
      <c r="U102" s="468">
        <f t="shared" si="40"/>
        <v>0.11671867581441653</v>
      </c>
      <c r="V102" s="463"/>
      <c r="W102" s="463"/>
      <c r="X102" s="463"/>
      <c r="Y102" s="463"/>
      <c r="Z102" s="463"/>
    </row>
    <row r="103" spans="1:26" outlineLevel="1" x14ac:dyDescent="0.3">
      <c r="A103" s="6" t="s">
        <v>64</v>
      </c>
      <c r="C103" s="40"/>
      <c r="D103" s="72">
        <v>1.1000000000000001</v>
      </c>
      <c r="E103" s="72">
        <v>0</v>
      </c>
      <c r="F103" s="72">
        <v>0</v>
      </c>
      <c r="G103" s="72">
        <v>0</v>
      </c>
      <c r="H103" s="72">
        <v>0.1</v>
      </c>
      <c r="I103" s="97">
        <v>0.1</v>
      </c>
      <c r="J103" s="97">
        <v>0.1</v>
      </c>
      <c r="K103" s="97">
        <v>0.1</v>
      </c>
      <c r="L103" s="97">
        <v>0.1</v>
      </c>
      <c r="M103" s="97">
        <v>0.1</v>
      </c>
      <c r="N103" s="97">
        <v>0.1</v>
      </c>
      <c r="O103" s="97">
        <v>0.1</v>
      </c>
      <c r="Q103" s="5"/>
      <c r="R103" s="463" t="s">
        <v>45</v>
      </c>
      <c r="S103" s="463">
        <f t="shared" si="39"/>
        <v>0.24000000000000005</v>
      </c>
      <c r="T103" s="463" t="s">
        <v>54</v>
      </c>
      <c r="U103" s="468">
        <f t="shared" si="40"/>
        <v>-0.45089951322388755</v>
      </c>
      <c r="V103" s="463"/>
      <c r="W103" s="463"/>
      <c r="X103" s="463"/>
      <c r="Y103" s="463"/>
      <c r="Z103" s="463"/>
    </row>
    <row r="104" spans="1:26" outlineLevel="1" x14ac:dyDescent="0.3">
      <c r="A104" s="6" t="s">
        <v>65</v>
      </c>
      <c r="D104" s="122">
        <v>106.4</v>
      </c>
      <c r="E104" s="122">
        <v>114.1</v>
      </c>
      <c r="F104" s="122">
        <v>160</v>
      </c>
      <c r="G104" s="122">
        <v>404.3</v>
      </c>
      <c r="H104" s="122">
        <v>481.9</v>
      </c>
      <c r="I104" s="77">
        <f>H104*(1+0.1)</f>
        <v>530.09</v>
      </c>
      <c r="J104" s="77">
        <f t="shared" ref="J104:O104" si="44">I104*(1+0.1)</f>
        <v>583.09900000000005</v>
      </c>
      <c r="K104" s="77">
        <f t="shared" si="44"/>
        <v>641.40890000000013</v>
      </c>
      <c r="L104" s="77">
        <f t="shared" si="44"/>
        <v>705.54979000000026</v>
      </c>
      <c r="M104" s="77">
        <f t="shared" si="44"/>
        <v>776.10476900000037</v>
      </c>
      <c r="N104" s="77">
        <f t="shared" si="44"/>
        <v>853.71524590000047</v>
      </c>
      <c r="O104" s="77">
        <f t="shared" si="44"/>
        <v>939.08677049000062</v>
      </c>
      <c r="Q104" s="5"/>
      <c r="R104" s="463" t="s">
        <v>45</v>
      </c>
      <c r="S104" s="463">
        <f t="shared" si="39"/>
        <v>253.33999999999997</v>
      </c>
      <c r="T104" s="463" t="s">
        <v>54</v>
      </c>
      <c r="U104" s="468">
        <f t="shared" si="40"/>
        <v>0.45882710728292508</v>
      </c>
      <c r="V104" s="463"/>
      <c r="W104" s="463"/>
      <c r="X104" s="463"/>
      <c r="Y104" s="463"/>
      <c r="Z104" s="463"/>
    </row>
    <row r="105" spans="1:26" outlineLevel="1" x14ac:dyDescent="0.3">
      <c r="A105" s="6" t="s">
        <v>66</v>
      </c>
      <c r="D105" s="72">
        <v>180.7</v>
      </c>
      <c r="E105" s="72">
        <v>259.5</v>
      </c>
      <c r="F105" s="72">
        <v>290.7</v>
      </c>
      <c r="G105" s="72">
        <v>334.6</v>
      </c>
      <c r="H105" s="72">
        <v>220.7</v>
      </c>
      <c r="I105" s="77">
        <f t="shared" ref="I105:O107" si="45">H105*(1+0.1)</f>
        <v>242.77</v>
      </c>
      <c r="J105" s="77">
        <f t="shared" si="45"/>
        <v>267.04700000000003</v>
      </c>
      <c r="K105" s="77">
        <f t="shared" si="45"/>
        <v>293.75170000000003</v>
      </c>
      <c r="L105" s="77">
        <f t="shared" si="45"/>
        <v>323.12687000000005</v>
      </c>
      <c r="M105" s="77">
        <f t="shared" si="45"/>
        <v>355.43955700000009</v>
      </c>
      <c r="N105" s="77">
        <f t="shared" si="45"/>
        <v>390.98351270000012</v>
      </c>
      <c r="O105" s="77">
        <f t="shared" si="45"/>
        <v>430.08186397000014</v>
      </c>
      <c r="Q105" s="5"/>
      <c r="R105" s="463" t="s">
        <v>45</v>
      </c>
      <c r="S105" s="463">
        <f t="shared" si="39"/>
        <v>257.24</v>
      </c>
      <c r="T105" s="463" t="s">
        <v>54</v>
      </c>
      <c r="U105" s="468">
        <f t="shared" si="40"/>
        <v>5.1262191008112579E-2</v>
      </c>
      <c r="V105" s="463"/>
      <c r="W105" s="463"/>
      <c r="X105" s="463"/>
      <c r="Y105" s="463"/>
      <c r="Z105" s="463"/>
    </row>
    <row r="106" spans="1:26" outlineLevel="1" x14ac:dyDescent="0.3">
      <c r="A106" s="6" t="s">
        <v>67</v>
      </c>
      <c r="D106" s="72">
        <v>736.5</v>
      </c>
      <c r="E106" s="72">
        <v>782.4</v>
      </c>
      <c r="F106" s="72">
        <v>882.9</v>
      </c>
      <c r="G106" s="72">
        <v>1115.3</v>
      </c>
      <c r="H106" s="72">
        <v>1453.2</v>
      </c>
      <c r="I106" s="77">
        <f t="shared" si="45"/>
        <v>1598.5200000000002</v>
      </c>
      <c r="J106" s="77">
        <f t="shared" si="45"/>
        <v>1758.3720000000003</v>
      </c>
      <c r="K106" s="77">
        <f t="shared" si="45"/>
        <v>1934.2092000000005</v>
      </c>
      <c r="L106" s="77">
        <f t="shared" si="45"/>
        <v>2127.6301200000007</v>
      </c>
      <c r="M106" s="77">
        <f t="shared" si="45"/>
        <v>2340.3931320000011</v>
      </c>
      <c r="N106" s="77">
        <f t="shared" si="45"/>
        <v>2574.4324452000014</v>
      </c>
      <c r="O106" s="77">
        <f t="shared" si="45"/>
        <v>2831.8756897200019</v>
      </c>
      <c r="Q106" s="5"/>
      <c r="R106" s="463" t="s">
        <v>45</v>
      </c>
      <c r="S106" s="463">
        <f t="shared" si="39"/>
        <v>994.06000000000006</v>
      </c>
      <c r="T106" s="463" t="s">
        <v>54</v>
      </c>
      <c r="U106" s="468">
        <f t="shared" si="40"/>
        <v>0.18519049401567433</v>
      </c>
      <c r="V106" s="463"/>
      <c r="W106" s="463"/>
      <c r="X106" s="463"/>
      <c r="Y106" s="463"/>
      <c r="Z106" s="463"/>
    </row>
    <row r="107" spans="1:26" outlineLevel="1" x14ac:dyDescent="0.3">
      <c r="A107" s="6" t="s">
        <v>68</v>
      </c>
      <c r="D107" s="72">
        <v>5.4</v>
      </c>
      <c r="E107" s="72">
        <v>106.6</v>
      </c>
      <c r="F107" s="72">
        <v>8.5</v>
      </c>
      <c r="G107" s="72">
        <v>13.6</v>
      </c>
      <c r="H107" s="72">
        <v>15.9</v>
      </c>
      <c r="I107" s="77">
        <f t="shared" si="45"/>
        <v>17.490000000000002</v>
      </c>
      <c r="J107" s="77">
        <f t="shared" si="45"/>
        <v>19.239000000000004</v>
      </c>
      <c r="K107" s="77">
        <f t="shared" si="45"/>
        <v>21.162900000000008</v>
      </c>
      <c r="L107" s="77">
        <f t="shared" si="45"/>
        <v>23.27919000000001</v>
      </c>
      <c r="M107" s="77">
        <f t="shared" si="45"/>
        <v>25.607109000000012</v>
      </c>
      <c r="N107" s="77">
        <f t="shared" si="45"/>
        <v>28.167819900000016</v>
      </c>
      <c r="O107" s="77">
        <f t="shared" si="45"/>
        <v>30.984601890000018</v>
      </c>
      <c r="Q107" s="5"/>
      <c r="R107" s="463" t="s">
        <v>45</v>
      </c>
      <c r="S107" s="463">
        <f t="shared" si="39"/>
        <v>30</v>
      </c>
      <c r="T107" s="463" t="s">
        <v>54</v>
      </c>
      <c r="U107" s="468">
        <f t="shared" si="40"/>
        <v>0.30993830268114797</v>
      </c>
      <c r="V107" s="463"/>
      <c r="W107" s="463"/>
      <c r="X107" s="463"/>
      <c r="Y107" s="463"/>
      <c r="Z107" s="463"/>
    </row>
    <row r="108" spans="1:26" outlineLevel="1" x14ac:dyDescent="0.3">
      <c r="A108" s="6" t="s">
        <v>69</v>
      </c>
      <c r="D108" s="72">
        <v>0</v>
      </c>
      <c r="E108" s="72">
        <v>0</v>
      </c>
      <c r="F108" s="72">
        <v>0.1</v>
      </c>
      <c r="G108" s="72">
        <v>0.2</v>
      </c>
      <c r="H108" s="72">
        <v>0.2</v>
      </c>
      <c r="I108" s="97">
        <v>0.2</v>
      </c>
      <c r="J108" s="97">
        <v>0.2</v>
      </c>
      <c r="K108" s="97">
        <v>0.2</v>
      </c>
      <c r="L108" s="97">
        <v>0.2</v>
      </c>
      <c r="M108" s="97">
        <v>0.2</v>
      </c>
      <c r="N108" s="97">
        <v>0.2</v>
      </c>
      <c r="O108" s="97">
        <v>0.2</v>
      </c>
      <c r="Q108" s="5"/>
      <c r="R108" s="463" t="s">
        <v>45</v>
      </c>
      <c r="S108" s="463">
        <f t="shared" si="39"/>
        <v>0.1</v>
      </c>
      <c r="T108" s="463" t="s">
        <v>54</v>
      </c>
      <c r="U108" s="468" t="e">
        <f t="shared" si="40"/>
        <v>#DIV/0!</v>
      </c>
      <c r="V108" s="463"/>
      <c r="W108" s="463"/>
      <c r="X108" s="463"/>
      <c r="Y108" s="463"/>
      <c r="Z108" s="463"/>
    </row>
    <row r="109" spans="1:26" outlineLevel="1" x14ac:dyDescent="0.3">
      <c r="A109" s="6" t="s">
        <v>70</v>
      </c>
      <c r="D109" s="72">
        <v>88.8</v>
      </c>
      <c r="E109" s="72">
        <v>84.2</v>
      </c>
      <c r="F109" s="72">
        <v>168.4</v>
      </c>
      <c r="G109" s="72">
        <v>169.3</v>
      </c>
      <c r="H109" s="72">
        <v>173.1</v>
      </c>
      <c r="I109" s="77">
        <v>757.16625807123455</v>
      </c>
      <c r="J109" s="77">
        <v>187.85413097479523</v>
      </c>
      <c r="K109" s="77">
        <v>-313.36800845696962</v>
      </c>
      <c r="L109" s="77">
        <v>-746.9008320438179</v>
      </c>
      <c r="M109" s="77">
        <v>-1163.6816796471267</v>
      </c>
      <c r="N109" s="77">
        <v>-1590.796154497456</v>
      </c>
      <c r="O109" s="77">
        <v>-2030.3892616581752</v>
      </c>
      <c r="Q109" s="5"/>
      <c r="R109" s="463" t="s">
        <v>45</v>
      </c>
      <c r="S109" s="463">
        <f t="shared" si="39"/>
        <v>136.76</v>
      </c>
      <c r="T109" s="463" t="s">
        <v>54</v>
      </c>
      <c r="U109" s="468">
        <f t="shared" si="40"/>
        <v>0.18160147795917458</v>
      </c>
      <c r="V109" s="463"/>
      <c r="W109" s="463"/>
      <c r="X109" s="463"/>
      <c r="Y109" s="463"/>
      <c r="Z109" s="463"/>
    </row>
    <row r="110" spans="1:26" ht="16.2" outlineLevel="1" thickBot="1" x14ac:dyDescent="0.35">
      <c r="A110" s="38" t="s">
        <v>71</v>
      </c>
      <c r="B110" s="38"/>
      <c r="C110" s="39"/>
      <c r="D110" s="76">
        <f>SUM(D97:D109)</f>
        <v>2582.0000000000005</v>
      </c>
      <c r="E110" s="76">
        <f>SUM(E97:E109)</f>
        <v>2805.1999999999994</v>
      </c>
      <c r="F110" s="76">
        <f>SUM(F97:F109)</f>
        <v>3288.7000000000003</v>
      </c>
      <c r="G110" s="76">
        <f>SUM(G97:G109)</f>
        <v>3604.9</v>
      </c>
      <c r="H110" s="76">
        <f>SUM(H97:H109)</f>
        <v>4884.7999999999993</v>
      </c>
      <c r="I110" s="78">
        <f t="shared" ref="I110" si="46">SUM(I97:I109)</f>
        <v>5033.7466784000007</v>
      </c>
      <c r="J110" s="78">
        <f t="shared" ref="J110:O110" si="47">SUM(J97:J109)</f>
        <v>5308.57890004</v>
      </c>
      <c r="K110" s="78">
        <f t="shared" si="47"/>
        <v>5598.583880210801</v>
      </c>
      <c r="L110" s="78">
        <f t="shared" si="47"/>
        <v>5909.4151928370975</v>
      </c>
      <c r="M110" s="200">
        <f t="shared" si="47"/>
        <v>6233.8946678265775</v>
      </c>
      <c r="N110" s="200">
        <f t="shared" si="47"/>
        <v>6573.5039846531745</v>
      </c>
      <c r="O110" s="200">
        <f t="shared" si="47"/>
        <v>6927.5838031332487</v>
      </c>
      <c r="Q110" s="5"/>
      <c r="R110" s="463" t="s">
        <v>45</v>
      </c>
      <c r="S110" s="463">
        <f t="shared" si="39"/>
        <v>3433.12</v>
      </c>
      <c r="T110" s="463" t="s">
        <v>54</v>
      </c>
      <c r="U110" s="468">
        <f t="shared" si="40"/>
        <v>0.17279643527190847</v>
      </c>
      <c r="V110" s="463"/>
      <c r="W110" s="463"/>
      <c r="X110" s="463"/>
      <c r="Y110" s="463"/>
      <c r="Z110" s="463"/>
    </row>
    <row r="111" spans="1:26" ht="16.2" outlineLevel="1" thickTop="1" x14ac:dyDescent="0.3">
      <c r="A111" s="31"/>
      <c r="B111" s="31"/>
      <c r="C111" s="10"/>
      <c r="D111" s="75"/>
      <c r="E111" s="75"/>
      <c r="F111" s="75"/>
      <c r="G111" s="75"/>
      <c r="H111" s="75"/>
      <c r="I111" s="79"/>
      <c r="J111" s="79"/>
      <c r="K111" s="79"/>
      <c r="L111" s="79"/>
      <c r="M111" s="79"/>
      <c r="Q111" s="5"/>
      <c r="R111" s="463"/>
      <c r="S111" s="463"/>
      <c r="T111" s="463"/>
      <c r="U111" s="468"/>
      <c r="V111" s="463"/>
      <c r="W111" s="463"/>
      <c r="X111" s="463"/>
      <c r="Y111" s="463"/>
      <c r="Z111" s="463"/>
    </row>
    <row r="112" spans="1:26" outlineLevel="1" x14ac:dyDescent="0.3">
      <c r="A112" s="7" t="s">
        <v>72</v>
      </c>
      <c r="C112" s="40"/>
      <c r="D112" s="72"/>
      <c r="E112" s="72"/>
      <c r="F112" s="72"/>
      <c r="G112" s="72"/>
      <c r="H112" s="72"/>
      <c r="I112" s="77"/>
      <c r="J112" s="77"/>
      <c r="K112" s="77"/>
      <c r="L112" s="77"/>
      <c r="M112" s="77"/>
      <c r="Q112" s="5"/>
      <c r="R112" s="463"/>
      <c r="S112" s="463"/>
      <c r="T112" s="463"/>
      <c r="U112" s="468"/>
      <c r="V112" s="463"/>
      <c r="W112" s="463"/>
      <c r="X112" s="463"/>
      <c r="Y112" s="463"/>
      <c r="Z112" s="463"/>
    </row>
    <row r="113" spans="1:26" outlineLevel="1" x14ac:dyDescent="0.3">
      <c r="A113" s="6" t="s">
        <v>73</v>
      </c>
      <c r="C113" s="40"/>
      <c r="D113" s="72">
        <v>178.3</v>
      </c>
      <c r="E113" s="72">
        <v>176.6</v>
      </c>
      <c r="F113" s="72">
        <v>188.8</v>
      </c>
      <c r="G113" s="72">
        <v>139.19999999999999</v>
      </c>
      <c r="H113" s="72">
        <v>152</v>
      </c>
      <c r="I113" s="77">
        <f>H113*(1+0.01)</f>
        <v>153.52000000000001</v>
      </c>
      <c r="J113" s="77">
        <f t="shared" ref="J113:O113" si="48">I113*(1+0.01)</f>
        <v>155.05520000000001</v>
      </c>
      <c r="K113" s="77">
        <f t="shared" si="48"/>
        <v>156.60575200000002</v>
      </c>
      <c r="L113" s="77">
        <f t="shared" si="48"/>
        <v>158.17180952000004</v>
      </c>
      <c r="M113" s="77">
        <f t="shared" si="48"/>
        <v>159.75352761520003</v>
      </c>
      <c r="N113" s="77">
        <f t="shared" si="48"/>
        <v>161.35106289135203</v>
      </c>
      <c r="O113" s="77">
        <f t="shared" si="48"/>
        <v>162.96457352026556</v>
      </c>
      <c r="Q113" s="5"/>
      <c r="R113" s="463" t="s">
        <v>45</v>
      </c>
      <c r="S113" s="463">
        <f t="shared" ref="S113:S123" si="49">AVERAGE(D113:H113)</f>
        <v>166.98000000000002</v>
      </c>
      <c r="T113" s="463" t="s">
        <v>54</v>
      </c>
      <c r="U113" s="468">
        <f t="shared" ref="U113:U123" si="50">(H113/D113)^(1/4)-1</f>
        <v>-3.911135518300024E-2</v>
      </c>
      <c r="V113" s="463"/>
      <c r="W113" s="463"/>
      <c r="X113" s="463"/>
      <c r="Y113" s="463"/>
      <c r="Z113" s="463"/>
    </row>
    <row r="114" spans="1:26" outlineLevel="1" x14ac:dyDescent="0.3">
      <c r="A114" s="6" t="s">
        <v>74</v>
      </c>
      <c r="C114" s="40"/>
      <c r="D114" s="72">
        <v>157</v>
      </c>
      <c r="E114" s="72">
        <v>219.4</v>
      </c>
      <c r="F114" s="72">
        <v>217.8</v>
      </c>
      <c r="G114" s="72">
        <v>152.9</v>
      </c>
      <c r="H114" s="72">
        <v>289.3</v>
      </c>
      <c r="I114" s="77">
        <f t="shared" ref="I114:O118" si="51">H114*(1+0.01)</f>
        <v>292.19300000000004</v>
      </c>
      <c r="J114" s="77">
        <f t="shared" si="51"/>
        <v>295.11493000000002</v>
      </c>
      <c r="K114" s="77">
        <f t="shared" si="51"/>
        <v>298.06607930000001</v>
      </c>
      <c r="L114" s="77">
        <f t="shared" si="51"/>
        <v>301.04674009300004</v>
      </c>
      <c r="M114" s="77">
        <f t="shared" si="51"/>
        <v>304.05720749393004</v>
      </c>
      <c r="N114" s="77">
        <f t="shared" si="51"/>
        <v>307.09777956886933</v>
      </c>
      <c r="O114" s="77">
        <f t="shared" si="51"/>
        <v>310.16875736455802</v>
      </c>
      <c r="Q114" s="5"/>
      <c r="R114" s="463" t="s">
        <v>45</v>
      </c>
      <c r="S114" s="463">
        <f t="shared" si="49"/>
        <v>207.28000000000003</v>
      </c>
      <c r="T114" s="463" t="s">
        <v>54</v>
      </c>
      <c r="U114" s="468">
        <f t="shared" si="50"/>
        <v>0.16509729861938349</v>
      </c>
      <c r="V114" s="463"/>
      <c r="W114" s="463"/>
      <c r="X114" s="463"/>
      <c r="Y114" s="463"/>
      <c r="Z114" s="463"/>
    </row>
    <row r="115" spans="1:26" outlineLevel="1" x14ac:dyDescent="0.3">
      <c r="A115" s="6" t="s">
        <v>75</v>
      </c>
      <c r="C115" s="40"/>
      <c r="D115" s="72">
        <v>219.9</v>
      </c>
      <c r="E115" s="72">
        <v>163.1</v>
      </c>
      <c r="F115" s="72">
        <v>170.7</v>
      </c>
      <c r="G115" s="72">
        <v>91.6</v>
      </c>
      <c r="H115" s="72">
        <v>62.1</v>
      </c>
      <c r="I115" s="77">
        <f t="shared" si="51"/>
        <v>62.721000000000004</v>
      </c>
      <c r="J115" s="77">
        <f t="shared" si="51"/>
        <v>63.348210000000002</v>
      </c>
      <c r="K115" s="77">
        <f t="shared" si="51"/>
        <v>63.981692100000004</v>
      </c>
      <c r="L115" s="77">
        <f t="shared" si="51"/>
        <v>64.621509021000008</v>
      </c>
      <c r="M115" s="77">
        <f t="shared" si="51"/>
        <v>65.267724111210015</v>
      </c>
      <c r="N115" s="77">
        <f t="shared" si="51"/>
        <v>65.920401352322116</v>
      </c>
      <c r="O115" s="77">
        <f t="shared" si="51"/>
        <v>66.579605365845339</v>
      </c>
      <c r="Q115" s="5"/>
      <c r="R115" s="463" t="s">
        <v>45</v>
      </c>
      <c r="S115" s="463">
        <f t="shared" si="49"/>
        <v>141.48000000000002</v>
      </c>
      <c r="T115" s="463" t="s">
        <v>54</v>
      </c>
      <c r="U115" s="468">
        <f t="shared" si="50"/>
        <v>-0.27101835612145642</v>
      </c>
      <c r="V115" s="463"/>
      <c r="W115" s="463"/>
      <c r="X115" s="463"/>
      <c r="Y115" s="463"/>
      <c r="Z115" s="463"/>
    </row>
    <row r="116" spans="1:26" outlineLevel="1" x14ac:dyDescent="0.3">
      <c r="A116" s="6" t="s">
        <v>76</v>
      </c>
      <c r="C116" s="40"/>
      <c r="D116" s="72">
        <v>72</v>
      </c>
      <c r="E116" s="72">
        <v>197.8</v>
      </c>
      <c r="F116" s="72">
        <v>282</v>
      </c>
      <c r="G116" s="72">
        <v>154.4</v>
      </c>
      <c r="H116" s="72">
        <v>137.4</v>
      </c>
      <c r="I116" s="77">
        <f t="shared" si="51"/>
        <v>138.774</v>
      </c>
      <c r="J116" s="77">
        <f t="shared" si="51"/>
        <v>140.16174000000001</v>
      </c>
      <c r="K116" s="77">
        <f t="shared" si="51"/>
        <v>141.5633574</v>
      </c>
      <c r="L116" s="77">
        <f t="shared" si="51"/>
        <v>142.978990974</v>
      </c>
      <c r="M116" s="77">
        <f t="shared" si="51"/>
        <v>144.40878088374001</v>
      </c>
      <c r="N116" s="77">
        <f t="shared" si="51"/>
        <v>145.8528686925774</v>
      </c>
      <c r="O116" s="77">
        <f t="shared" si="51"/>
        <v>147.31139737950318</v>
      </c>
      <c r="Q116" s="5"/>
      <c r="R116" s="463" t="s">
        <v>45</v>
      </c>
      <c r="S116" s="463">
        <f t="shared" si="49"/>
        <v>168.71999999999997</v>
      </c>
      <c r="T116" s="463" t="s">
        <v>54</v>
      </c>
      <c r="U116" s="468">
        <f t="shared" si="50"/>
        <v>0.17534011489163137</v>
      </c>
      <c r="V116" s="463"/>
      <c r="W116" s="463"/>
      <c r="X116" s="463"/>
      <c r="Y116" s="463"/>
      <c r="Z116" s="463"/>
    </row>
    <row r="117" spans="1:26" outlineLevel="1" x14ac:dyDescent="0.3">
      <c r="A117" s="6" t="s">
        <v>77</v>
      </c>
      <c r="C117" s="40"/>
      <c r="D117" s="72">
        <v>94.1</v>
      </c>
      <c r="E117" s="72">
        <v>115.8</v>
      </c>
      <c r="F117" s="72">
        <v>474.3</v>
      </c>
      <c r="G117" s="72">
        <v>380.9</v>
      </c>
      <c r="H117" s="72">
        <v>464.7</v>
      </c>
      <c r="I117" s="77">
        <f t="shared" si="51"/>
        <v>469.34699999999998</v>
      </c>
      <c r="J117" s="77">
        <f t="shared" si="51"/>
        <v>474.04046999999997</v>
      </c>
      <c r="K117" s="77">
        <f t="shared" si="51"/>
        <v>478.78087469999997</v>
      </c>
      <c r="L117" s="77">
        <f t="shared" si="51"/>
        <v>483.56868344699996</v>
      </c>
      <c r="M117" s="77">
        <f t="shared" si="51"/>
        <v>488.40437028146994</v>
      </c>
      <c r="N117" s="77">
        <f t="shared" si="51"/>
        <v>493.28841398428466</v>
      </c>
      <c r="O117" s="77">
        <f t="shared" si="51"/>
        <v>498.22129812412749</v>
      </c>
      <c r="Q117" s="5"/>
      <c r="R117" s="463" t="s">
        <v>45</v>
      </c>
      <c r="S117" s="463">
        <f t="shared" si="49"/>
        <v>305.95999999999998</v>
      </c>
      <c r="T117" s="463" t="s">
        <v>54</v>
      </c>
      <c r="U117" s="468">
        <f t="shared" si="50"/>
        <v>0.49071891573253956</v>
      </c>
      <c r="V117" s="463"/>
      <c r="W117" s="463"/>
      <c r="X117" s="463"/>
      <c r="Y117" s="463"/>
      <c r="Z117" s="463"/>
    </row>
    <row r="118" spans="1:26" outlineLevel="1" x14ac:dyDescent="0.3">
      <c r="A118" s="6" t="s">
        <v>78</v>
      </c>
      <c r="D118" s="72">
        <v>640.70000000000005</v>
      </c>
      <c r="E118" s="72">
        <v>933.6</v>
      </c>
      <c r="F118" s="72">
        <v>890.4</v>
      </c>
      <c r="G118" s="72">
        <v>1176.2</v>
      </c>
      <c r="H118" s="72">
        <v>1894.9</v>
      </c>
      <c r="I118" s="77">
        <f>H118*(1+0.01)</f>
        <v>1913.8490000000002</v>
      </c>
      <c r="J118" s="77">
        <f t="shared" ref="J118:O118" si="52">I118*(1+0.01)</f>
        <v>1932.9874900000002</v>
      </c>
      <c r="K118" s="77">
        <f t="shared" si="52"/>
        <v>1952.3173649000003</v>
      </c>
      <c r="L118" s="77">
        <f t="shared" si="52"/>
        <v>1971.8405385490003</v>
      </c>
      <c r="M118" s="77">
        <f t="shared" si="52"/>
        <v>1991.5589439344903</v>
      </c>
      <c r="N118" s="77">
        <f t="shared" si="52"/>
        <v>2011.4745333738354</v>
      </c>
      <c r="O118" s="77">
        <f t="shared" si="52"/>
        <v>2031.5892787075738</v>
      </c>
      <c r="Q118" s="5"/>
      <c r="R118" s="463" t="s">
        <v>45</v>
      </c>
      <c r="S118" s="463">
        <f t="shared" si="49"/>
        <v>1107.1600000000003</v>
      </c>
      <c r="T118" s="463" t="s">
        <v>54</v>
      </c>
      <c r="U118" s="468">
        <f t="shared" si="50"/>
        <v>0.31139309603519649</v>
      </c>
      <c r="V118" s="463"/>
      <c r="W118" s="463"/>
      <c r="X118" s="463"/>
      <c r="Y118" s="463"/>
      <c r="Z118" s="463"/>
    </row>
    <row r="119" spans="1:26" outlineLevel="1" x14ac:dyDescent="0.3">
      <c r="A119" s="6" t="s">
        <v>79</v>
      </c>
      <c r="C119" s="40"/>
      <c r="D119" s="72">
        <f>D118+D116+D115</f>
        <v>932.6</v>
      </c>
      <c r="E119" s="72">
        <f t="shared" ref="E119:H119" si="53">E118+E116+E115</f>
        <v>1294.5</v>
      </c>
      <c r="F119" s="72">
        <f t="shared" si="53"/>
        <v>1343.1000000000001</v>
      </c>
      <c r="G119" s="72">
        <f t="shared" si="53"/>
        <v>1422.2</v>
      </c>
      <c r="H119" s="72">
        <f t="shared" si="53"/>
        <v>2094.4</v>
      </c>
      <c r="I119" s="77">
        <f>I118+I115</f>
        <v>1976.5700000000002</v>
      </c>
      <c r="J119" s="77">
        <f t="shared" ref="J119:O119" si="54">J118+J115</f>
        <v>1996.3357000000003</v>
      </c>
      <c r="K119" s="77">
        <f t="shared" si="54"/>
        <v>2016.2990570000002</v>
      </c>
      <c r="L119" s="77">
        <f t="shared" si="54"/>
        <v>2036.4620475700003</v>
      </c>
      <c r="M119" s="77">
        <f t="shared" si="54"/>
        <v>2056.8266680457004</v>
      </c>
      <c r="N119" s="77">
        <f t="shared" si="54"/>
        <v>2077.3949347261573</v>
      </c>
      <c r="O119" s="77">
        <f t="shared" si="54"/>
        <v>2098.1688840734191</v>
      </c>
      <c r="Q119" s="5"/>
      <c r="R119" s="463" t="s">
        <v>45</v>
      </c>
      <c r="S119" s="463">
        <f t="shared" si="49"/>
        <v>1417.36</v>
      </c>
      <c r="T119" s="463" t="s">
        <v>54</v>
      </c>
      <c r="U119" s="468">
        <f t="shared" si="50"/>
        <v>0.22416808951343326</v>
      </c>
      <c r="V119" s="463"/>
      <c r="W119" s="463"/>
      <c r="X119" s="463"/>
      <c r="Y119" s="463"/>
      <c r="Z119" s="463"/>
    </row>
    <row r="120" spans="1:26" outlineLevel="1" x14ac:dyDescent="0.3">
      <c r="A120" s="6" t="s">
        <v>80</v>
      </c>
      <c r="C120" s="40"/>
      <c r="D120" s="72">
        <v>72.8</v>
      </c>
      <c r="E120" s="72">
        <v>96</v>
      </c>
      <c r="F120" s="72">
        <v>127.9</v>
      </c>
      <c r="G120" s="72">
        <v>109.5</v>
      </c>
      <c r="H120" s="72">
        <v>158.5</v>
      </c>
      <c r="I120" s="77">
        <f>H120*(1+0.01)</f>
        <v>160.08500000000001</v>
      </c>
      <c r="J120" s="77">
        <f t="shared" ref="J120:O120" si="55">I120*(1+0.01)</f>
        <v>161.68585000000002</v>
      </c>
      <c r="K120" s="77">
        <f t="shared" si="55"/>
        <v>163.30270850000002</v>
      </c>
      <c r="L120" s="77">
        <f t="shared" si="55"/>
        <v>164.93573558500003</v>
      </c>
      <c r="M120" s="77">
        <f t="shared" si="55"/>
        <v>166.58509294085005</v>
      </c>
      <c r="N120" s="77">
        <f t="shared" si="55"/>
        <v>168.25094387025854</v>
      </c>
      <c r="O120" s="77">
        <f t="shared" si="55"/>
        <v>169.93345330896113</v>
      </c>
      <c r="Q120" s="5"/>
      <c r="R120" s="463" t="s">
        <v>45</v>
      </c>
      <c r="S120" s="463">
        <f t="shared" si="49"/>
        <v>112.94000000000001</v>
      </c>
      <c r="T120" s="463" t="s">
        <v>54</v>
      </c>
      <c r="U120" s="468">
        <f t="shared" si="50"/>
        <v>0.21471521640483648</v>
      </c>
      <c r="V120" s="463"/>
      <c r="W120" s="463"/>
      <c r="X120" s="463"/>
      <c r="Y120" s="463"/>
      <c r="Z120" s="463"/>
    </row>
    <row r="121" spans="1:26" outlineLevel="1" x14ac:dyDescent="0.3">
      <c r="A121" s="6" t="s">
        <v>51</v>
      </c>
      <c r="C121" s="40"/>
      <c r="D121" s="72">
        <v>0</v>
      </c>
      <c r="E121" s="72">
        <v>0</v>
      </c>
      <c r="F121" s="72">
        <v>0</v>
      </c>
      <c r="G121" s="72">
        <v>7.2</v>
      </c>
      <c r="H121" s="72">
        <v>9.3000000000000007</v>
      </c>
      <c r="I121" s="77">
        <f t="shared" ref="I121:O122" si="56">H121*(1+0.01)</f>
        <v>9.3930000000000007</v>
      </c>
      <c r="J121" s="77">
        <f t="shared" si="56"/>
        <v>9.486930000000001</v>
      </c>
      <c r="K121" s="77">
        <f t="shared" si="56"/>
        <v>9.5817993000000019</v>
      </c>
      <c r="L121" s="77">
        <f t="shared" si="56"/>
        <v>9.6776172930000026</v>
      </c>
      <c r="M121" s="77">
        <f t="shared" si="56"/>
        <v>9.774393465930002</v>
      </c>
      <c r="N121" s="77">
        <f t="shared" si="56"/>
        <v>9.8721374005893026</v>
      </c>
      <c r="O121" s="77">
        <f t="shared" si="56"/>
        <v>9.9708587745951949</v>
      </c>
      <c r="Q121" s="5"/>
      <c r="R121" s="463" t="s">
        <v>45</v>
      </c>
      <c r="S121" s="463">
        <f t="shared" si="49"/>
        <v>3.3</v>
      </c>
      <c r="T121" s="463" t="s">
        <v>54</v>
      </c>
      <c r="U121" s="468" t="e">
        <f t="shared" si="50"/>
        <v>#DIV/0!</v>
      </c>
      <c r="V121" s="463"/>
      <c r="W121" s="463"/>
      <c r="X121" s="463"/>
      <c r="Y121" s="463"/>
      <c r="Z121" s="463"/>
    </row>
    <row r="122" spans="1:26" outlineLevel="1" x14ac:dyDescent="0.3">
      <c r="A122" s="6" t="s">
        <v>81</v>
      </c>
      <c r="D122" s="72">
        <v>13.3</v>
      </c>
      <c r="E122" s="72">
        <v>13.4</v>
      </c>
      <c r="F122" s="72">
        <v>16.899999999999999</v>
      </c>
      <c r="G122" s="72">
        <v>78.400000000000006</v>
      </c>
      <c r="H122" s="72">
        <v>60.9</v>
      </c>
      <c r="I122" s="77">
        <f t="shared" si="56"/>
        <v>61.509</v>
      </c>
      <c r="J122" s="77">
        <f t="shared" si="56"/>
        <v>62.124090000000002</v>
      </c>
      <c r="K122" s="77">
        <f t="shared" si="56"/>
        <v>62.745330900000006</v>
      </c>
      <c r="L122" s="77">
        <f t="shared" si="56"/>
        <v>63.37278420900001</v>
      </c>
      <c r="M122" s="77">
        <f t="shared" si="56"/>
        <v>64.006512051090013</v>
      </c>
      <c r="N122" s="77">
        <f t="shared" si="56"/>
        <v>64.64657717160091</v>
      </c>
      <c r="O122" s="77">
        <f t="shared" si="56"/>
        <v>65.293042943316919</v>
      </c>
      <c r="Q122" s="5"/>
      <c r="R122" s="463" t="s">
        <v>45</v>
      </c>
      <c r="S122" s="463">
        <f t="shared" si="49"/>
        <v>36.58</v>
      </c>
      <c r="T122" s="463" t="s">
        <v>54</v>
      </c>
      <c r="U122" s="468">
        <f t="shared" si="50"/>
        <v>0.46282176308437384</v>
      </c>
      <c r="V122" s="463"/>
      <c r="W122" s="463"/>
      <c r="X122" s="463"/>
      <c r="Y122" s="463"/>
      <c r="Z122" s="463"/>
    </row>
    <row r="123" spans="1:26" outlineLevel="1" x14ac:dyDescent="0.3">
      <c r="A123" s="20" t="s">
        <v>82</v>
      </c>
      <c r="B123" s="20"/>
      <c r="C123" s="21"/>
      <c r="D123" s="69">
        <f>SUM(D113:D118)+SUM(D120:D122)</f>
        <v>1448.1</v>
      </c>
      <c r="E123" s="69">
        <f t="shared" ref="E123:H123" si="57">SUM(E113:E118)+SUM(E120:E122)</f>
        <v>1915.7000000000003</v>
      </c>
      <c r="F123" s="69">
        <f t="shared" si="57"/>
        <v>2368.8000000000002</v>
      </c>
      <c r="G123" s="69">
        <f>SUM(G113:G118)+SUM(G120:G122)</f>
        <v>2290.2999999999997</v>
      </c>
      <c r="H123" s="69">
        <f t="shared" si="57"/>
        <v>3229.1</v>
      </c>
      <c r="I123" s="80">
        <f>SUM(I113:I114,I116:I117,I119:I122,)</f>
        <v>3261.3910000000005</v>
      </c>
      <c r="J123" s="80">
        <f t="shared" ref="J123:O123" si="58">SUM(J113:J114,J116:J117,J119:J122,)</f>
        <v>3294.0049100000001</v>
      </c>
      <c r="K123" s="80">
        <f t="shared" si="58"/>
        <v>3326.9449591000002</v>
      </c>
      <c r="L123" s="80">
        <f t="shared" si="58"/>
        <v>3360.2144086910007</v>
      </c>
      <c r="M123" s="80">
        <f t="shared" si="58"/>
        <v>3393.8165527779106</v>
      </c>
      <c r="N123" s="80">
        <f t="shared" si="58"/>
        <v>3427.7547183056899</v>
      </c>
      <c r="O123" s="80">
        <f t="shared" si="58"/>
        <v>3462.0322654887464</v>
      </c>
      <c r="Q123" s="5"/>
      <c r="R123" s="463" t="s">
        <v>45</v>
      </c>
      <c r="S123" s="463">
        <f t="shared" si="49"/>
        <v>2250.4</v>
      </c>
      <c r="T123" s="463" t="s">
        <v>54</v>
      </c>
      <c r="U123" s="468">
        <f t="shared" si="50"/>
        <v>0.22199867574587073</v>
      </c>
      <c r="V123" s="463"/>
      <c r="W123" s="463"/>
      <c r="X123" s="463"/>
      <c r="Y123" s="463"/>
      <c r="Z123" s="463"/>
    </row>
    <row r="124" spans="1:26" outlineLevel="1" x14ac:dyDescent="0.3">
      <c r="A124" s="7" t="s">
        <v>83</v>
      </c>
      <c r="D124" s="72"/>
      <c r="E124" s="72"/>
      <c r="F124" s="72"/>
      <c r="G124" s="72"/>
      <c r="H124" s="72"/>
      <c r="I124" s="77"/>
      <c r="J124" s="77"/>
      <c r="K124" s="77"/>
      <c r="L124" s="77"/>
      <c r="M124" s="77"/>
      <c r="Q124" s="5"/>
      <c r="R124" s="463"/>
      <c r="S124" s="463"/>
      <c r="T124" s="463"/>
      <c r="U124" s="468"/>
      <c r="V124" s="463"/>
      <c r="W124" s="463"/>
      <c r="X124" s="463"/>
      <c r="Y124" s="463"/>
      <c r="Z124" s="463"/>
    </row>
    <row r="125" spans="1:26" outlineLevel="1" x14ac:dyDescent="0.3">
      <c r="A125" s="6" t="s">
        <v>84</v>
      </c>
      <c r="D125" s="72">
        <v>8.8000000000000007</v>
      </c>
      <c r="E125" s="72">
        <v>8.6999999999999993</v>
      </c>
      <c r="F125" s="72">
        <v>8.6999999999999993</v>
      </c>
      <c r="G125" s="72">
        <v>9.4</v>
      </c>
      <c r="H125" s="72">
        <v>9.6</v>
      </c>
      <c r="I125" s="209">
        <f t="shared" ref="I125:O125" si="59">H125+I64</f>
        <v>9.67</v>
      </c>
      <c r="J125" s="209">
        <f t="shared" si="59"/>
        <v>9.74</v>
      </c>
      <c r="K125" s="209">
        <f t="shared" si="59"/>
        <v>9.81</v>
      </c>
      <c r="L125" s="209">
        <f t="shared" si="59"/>
        <v>9.8800000000000008</v>
      </c>
      <c r="M125" s="209">
        <f t="shared" si="59"/>
        <v>9.9500000000000011</v>
      </c>
      <c r="N125" s="209">
        <f t="shared" si="59"/>
        <v>10.020000000000001</v>
      </c>
      <c r="O125" s="209">
        <f t="shared" si="59"/>
        <v>10.090000000000002</v>
      </c>
      <c r="Q125" s="5"/>
      <c r="R125" s="463" t="s">
        <v>45</v>
      </c>
      <c r="S125" s="463">
        <f>AVERAGE(D125:H125)</f>
        <v>9.0400000000000009</v>
      </c>
      <c r="T125" s="463" t="s">
        <v>54</v>
      </c>
      <c r="U125" s="468">
        <f>(H125/D125)^(1/4)-1</f>
        <v>2.1991162258356844E-2</v>
      </c>
      <c r="V125" s="463"/>
      <c r="W125" s="463"/>
      <c r="X125" s="463"/>
      <c r="Y125" s="463"/>
      <c r="Z125" s="463"/>
    </row>
    <row r="126" spans="1:26" outlineLevel="1" x14ac:dyDescent="0.3">
      <c r="A126" s="6" t="s">
        <v>85</v>
      </c>
      <c r="D126" s="72">
        <v>281</v>
      </c>
      <c r="E126" s="72">
        <v>234.1</v>
      </c>
      <c r="F126" s="72">
        <v>335.8</v>
      </c>
      <c r="G126" s="72">
        <v>863.5</v>
      </c>
      <c r="H126" s="72">
        <v>556</v>
      </c>
      <c r="I126" s="209">
        <f>$S$126</f>
        <v>454.08000000000004</v>
      </c>
      <c r="J126" s="209">
        <f>$S$126</f>
        <v>454.08000000000004</v>
      </c>
      <c r="K126" s="209">
        <f>$S$126</f>
        <v>454.08000000000004</v>
      </c>
      <c r="L126" s="209">
        <f>$S$126</f>
        <v>454.08000000000004</v>
      </c>
      <c r="M126" s="209">
        <f>$S$126</f>
        <v>454.08000000000004</v>
      </c>
      <c r="N126" s="209">
        <f t="shared" ref="N126:O126" si="60">$S$126</f>
        <v>454.08000000000004</v>
      </c>
      <c r="O126" s="209">
        <f t="shared" si="60"/>
        <v>454.08000000000004</v>
      </c>
      <c r="Q126" s="5"/>
      <c r="R126" s="463" t="s">
        <v>45</v>
      </c>
      <c r="S126" s="463">
        <f>AVERAGE(D126:H126)</f>
        <v>454.08000000000004</v>
      </c>
      <c r="T126" s="463" t="s">
        <v>54</v>
      </c>
      <c r="U126" s="468">
        <f>(H126/D126)^(1/4)-1</f>
        <v>0.18602028747877397</v>
      </c>
      <c r="V126" s="463"/>
      <c r="W126" s="463"/>
      <c r="X126" s="463"/>
      <c r="Y126" s="463"/>
      <c r="Z126" s="463"/>
    </row>
    <row r="127" spans="1:26" outlineLevel="1" x14ac:dyDescent="0.3">
      <c r="A127" s="6" t="s">
        <v>86</v>
      </c>
      <c r="D127" s="72">
        <v>844.1</v>
      </c>
      <c r="E127" s="72">
        <v>646.6</v>
      </c>
      <c r="F127" s="72">
        <v>575.6</v>
      </c>
      <c r="G127" s="72">
        <v>441.6</v>
      </c>
      <c r="H127" s="72">
        <v>1090.2</v>
      </c>
      <c r="I127" s="210">
        <f>+H127+I91</f>
        <v>1308.6056784</v>
      </c>
      <c r="J127" s="209">
        <f>+I127+J91</f>
        <v>1550.75399004</v>
      </c>
      <c r="K127" s="209">
        <f>+J127+K91</f>
        <v>1807.7489211108002</v>
      </c>
      <c r="L127" s="209">
        <f>+K127+L91</f>
        <v>2085.2407841460963</v>
      </c>
      <c r="M127" s="209">
        <f>+L127+M91</f>
        <v>2376.0481150486667</v>
      </c>
      <c r="N127" s="209">
        <f t="shared" ref="N127:O127" si="61">+M127+N91</f>
        <v>2681.6492663474842</v>
      </c>
      <c r="O127" s="209">
        <f t="shared" si="61"/>
        <v>3001.3815376445023</v>
      </c>
      <c r="Q127" s="5"/>
      <c r="R127" s="463"/>
      <c r="S127" s="463"/>
      <c r="T127" s="463"/>
      <c r="U127" s="463"/>
      <c r="V127" s="463"/>
      <c r="W127" s="463"/>
      <c r="X127" s="463"/>
      <c r="Y127" s="463"/>
      <c r="Z127" s="463"/>
    </row>
    <row r="128" spans="1:26" outlineLevel="1" x14ac:dyDescent="0.3">
      <c r="A128" s="6" t="s">
        <v>87</v>
      </c>
      <c r="D128" s="72">
        <v>0</v>
      </c>
      <c r="E128" s="72">
        <v>0</v>
      </c>
      <c r="F128" s="72">
        <v>0</v>
      </c>
      <c r="G128" s="72">
        <v>0</v>
      </c>
      <c r="H128" s="72">
        <v>-0.1</v>
      </c>
      <c r="I128" s="209">
        <v>0</v>
      </c>
      <c r="J128" s="209">
        <v>0</v>
      </c>
      <c r="K128" s="209">
        <v>0</v>
      </c>
      <c r="L128" s="209">
        <v>0</v>
      </c>
      <c r="M128" s="209">
        <v>0</v>
      </c>
      <c r="N128" s="209">
        <v>0</v>
      </c>
      <c r="O128" s="209">
        <v>0</v>
      </c>
      <c r="Q128" s="5"/>
      <c r="R128" s="463"/>
      <c r="S128" s="463"/>
      <c r="T128" s="463"/>
      <c r="U128" s="463"/>
      <c r="V128" s="463"/>
      <c r="W128" s="463"/>
      <c r="X128" s="463"/>
      <c r="Y128" s="463"/>
      <c r="Z128" s="463"/>
    </row>
    <row r="129" spans="1:26" outlineLevel="1" x14ac:dyDescent="0.3">
      <c r="A129" s="41" t="s">
        <v>83</v>
      </c>
      <c r="B129" s="41"/>
      <c r="C129" s="42"/>
      <c r="D129" s="81">
        <f>SUM(D125:D128)</f>
        <v>1133.9000000000001</v>
      </c>
      <c r="E129" s="81">
        <f t="shared" ref="E129:H129" si="62">SUM(E125:E128)</f>
        <v>889.4</v>
      </c>
      <c r="F129" s="81">
        <f t="shared" si="62"/>
        <v>920.1</v>
      </c>
      <c r="G129" s="81">
        <f t="shared" si="62"/>
        <v>1314.5</v>
      </c>
      <c r="H129" s="81">
        <f t="shared" si="62"/>
        <v>1655.7000000000003</v>
      </c>
      <c r="I129" s="82">
        <f>SUM(I125:I128)</f>
        <v>1772.3556784</v>
      </c>
      <c r="J129" s="82">
        <f>SUM(J125:J128)</f>
        <v>2014.5739900399999</v>
      </c>
      <c r="K129" s="82">
        <f>SUM(K125:K128)</f>
        <v>2271.6389211108003</v>
      </c>
      <c r="L129" s="82">
        <f>SUM(L125:L128)</f>
        <v>2549.2007841460963</v>
      </c>
      <c r="M129" s="82">
        <f>SUM(M125:M128)</f>
        <v>2840.0781150486669</v>
      </c>
      <c r="N129" s="82">
        <f t="shared" ref="N129:O129" si="63">SUM(N125:N128)</f>
        <v>3145.7492663474841</v>
      </c>
      <c r="O129" s="82">
        <f t="shared" si="63"/>
        <v>3465.5515376445023</v>
      </c>
      <c r="Q129" s="5"/>
      <c r="R129" s="463"/>
      <c r="S129" s="463"/>
      <c r="T129" s="463"/>
      <c r="U129" s="463"/>
      <c r="V129" s="463"/>
      <c r="W129" s="463"/>
      <c r="X129" s="463"/>
      <c r="Y129" s="463"/>
      <c r="Z129" s="463"/>
    </row>
    <row r="130" spans="1:26" ht="16.2" outlineLevel="1" thickBot="1" x14ac:dyDescent="0.35">
      <c r="A130" s="38" t="s">
        <v>88</v>
      </c>
      <c r="B130" s="38"/>
      <c r="C130" s="39"/>
      <c r="D130" s="76">
        <f>D123+D129</f>
        <v>2582</v>
      </c>
      <c r="E130" s="76">
        <f t="shared" ref="E130:H130" si="64">E123+E129</f>
        <v>2805.1000000000004</v>
      </c>
      <c r="F130" s="76">
        <f t="shared" si="64"/>
        <v>3288.9</v>
      </c>
      <c r="G130" s="76">
        <f t="shared" si="64"/>
        <v>3604.7999999999997</v>
      </c>
      <c r="H130" s="76">
        <f t="shared" si="64"/>
        <v>4884.8</v>
      </c>
      <c r="I130" s="78">
        <f>I129+I123</f>
        <v>5033.7466784000007</v>
      </c>
      <c r="J130" s="78">
        <f t="shared" ref="J130:O130" si="65">J129+J123</f>
        <v>5308.57890004</v>
      </c>
      <c r="K130" s="78">
        <f t="shared" si="65"/>
        <v>5598.583880210801</v>
      </c>
      <c r="L130" s="78">
        <f t="shared" si="65"/>
        <v>5909.4151928370975</v>
      </c>
      <c r="M130" s="78">
        <f t="shared" si="65"/>
        <v>6233.8946678265775</v>
      </c>
      <c r="N130" s="78">
        <f t="shared" si="65"/>
        <v>6573.5039846531745</v>
      </c>
      <c r="O130" s="78">
        <f t="shared" si="65"/>
        <v>6927.5838031332487</v>
      </c>
      <c r="Q130" s="5"/>
      <c r="R130" s="463"/>
      <c r="S130" s="463"/>
      <c r="T130" s="463"/>
      <c r="U130" s="463"/>
      <c r="V130" s="463"/>
      <c r="W130" s="463"/>
      <c r="X130" s="463"/>
      <c r="Y130" s="463"/>
      <c r="Z130" s="463"/>
    </row>
    <row r="131" spans="1:26" ht="16.2" outlineLevel="1" thickTop="1" x14ac:dyDescent="0.3">
      <c r="D131" s="9"/>
      <c r="E131" s="9"/>
      <c r="F131" s="9"/>
      <c r="G131" s="9"/>
      <c r="H131" s="9"/>
      <c r="Q131" s="5"/>
      <c r="R131" s="463"/>
      <c r="S131" s="463"/>
      <c r="T131" s="463"/>
      <c r="U131" s="463"/>
      <c r="V131" s="463"/>
      <c r="W131" s="463"/>
      <c r="X131" s="463"/>
      <c r="Y131" s="463"/>
      <c r="Z131" s="463"/>
    </row>
    <row r="132" spans="1:26" outlineLevel="1" x14ac:dyDescent="0.3">
      <c r="A132" s="43" t="s">
        <v>89</v>
      </c>
      <c r="B132" s="44"/>
      <c r="C132" s="45"/>
      <c r="D132" s="44">
        <f t="shared" ref="D132:H132" si="66">D130-D110</f>
        <v>0</v>
      </c>
      <c r="E132" s="44">
        <f t="shared" si="66"/>
        <v>-9.9999999998999556E-2</v>
      </c>
      <c r="F132" s="44">
        <f t="shared" si="66"/>
        <v>0.1999999999998181</v>
      </c>
      <c r="G132" s="44">
        <f t="shared" si="66"/>
        <v>-0.1000000000003638</v>
      </c>
      <c r="H132" s="44">
        <f t="shared" si="66"/>
        <v>0</v>
      </c>
      <c r="I132" s="44">
        <f>I130-I110</f>
        <v>0</v>
      </c>
      <c r="J132" s="44">
        <f>J130-J110</f>
        <v>0</v>
      </c>
      <c r="K132" s="44">
        <f>K130-K110</f>
        <v>0</v>
      </c>
      <c r="L132" s="44">
        <f>L130-L110</f>
        <v>0</v>
      </c>
      <c r="M132" s="44">
        <f>M130-M110</f>
        <v>0</v>
      </c>
      <c r="N132" s="44">
        <f t="shared" ref="N132:N134" si="67">N130-N110</f>
        <v>0</v>
      </c>
      <c r="O132" s="44">
        <f>O130-O110</f>
        <v>0</v>
      </c>
      <c r="Q132" s="5"/>
      <c r="R132" s="463"/>
      <c r="S132" s="463"/>
      <c r="T132" s="463"/>
      <c r="U132" s="463"/>
      <c r="V132" s="463"/>
      <c r="W132" s="463"/>
      <c r="X132" s="463"/>
      <c r="Y132" s="463"/>
      <c r="Z132" s="463"/>
    </row>
    <row r="133" spans="1:26" outlineLevel="1" x14ac:dyDescent="0.3">
      <c r="A133" s="44"/>
      <c r="B133" s="44"/>
      <c r="C133" s="45"/>
      <c r="D133" s="44"/>
      <c r="E133" s="44"/>
      <c r="F133" s="44"/>
      <c r="G133" s="44"/>
      <c r="H133" s="44"/>
      <c r="I133" s="44"/>
      <c r="J133" s="44"/>
      <c r="K133" s="44"/>
      <c r="L133" s="44"/>
      <c r="M133" s="44"/>
      <c r="Q133" s="5"/>
      <c r="R133" s="463"/>
      <c r="S133" s="463"/>
      <c r="T133" s="463"/>
      <c r="U133" s="463"/>
      <c r="V133" s="463"/>
      <c r="W133" s="463"/>
      <c r="X133" s="463"/>
      <c r="Y133" s="463"/>
      <c r="Z133" s="463"/>
    </row>
    <row r="134" spans="1:26" x14ac:dyDescent="0.3">
      <c r="D134" s="9"/>
      <c r="E134" s="9"/>
      <c r="F134" s="9"/>
      <c r="G134" s="9"/>
      <c r="H134" s="9"/>
      <c r="R134" s="463"/>
      <c r="S134" s="463"/>
      <c r="T134" s="463"/>
      <c r="U134" s="463"/>
      <c r="V134" s="463"/>
      <c r="W134" s="463"/>
      <c r="X134" s="463"/>
      <c r="Y134" s="463"/>
      <c r="Z134" s="463"/>
    </row>
    <row r="135" spans="1:26" ht="20.399999999999999" x14ac:dyDescent="0.35">
      <c r="A135" s="60" t="s">
        <v>90</v>
      </c>
      <c r="B135" s="60"/>
      <c r="C135" s="60"/>
      <c r="D135" s="60"/>
      <c r="E135" s="60"/>
      <c r="F135" s="60"/>
      <c r="G135" s="60"/>
      <c r="H135" s="60"/>
      <c r="I135" s="60"/>
      <c r="J135" s="60"/>
      <c r="K135" s="60"/>
      <c r="L135" s="60"/>
      <c r="M135" s="60"/>
      <c r="N135" s="60"/>
      <c r="O135" s="60"/>
      <c r="R135" s="463"/>
      <c r="S135" s="463"/>
      <c r="T135" s="463"/>
      <c r="U135" s="463"/>
      <c r="V135" s="463"/>
      <c r="W135" s="463"/>
      <c r="X135" s="463"/>
      <c r="Y135" s="463"/>
      <c r="Z135" s="463"/>
    </row>
    <row r="136" spans="1:26" outlineLevel="1" x14ac:dyDescent="0.3">
      <c r="A136" s="7"/>
      <c r="D136" s="32"/>
      <c r="E136" s="9"/>
      <c r="F136" s="9"/>
      <c r="G136" s="9"/>
      <c r="H136" s="9"/>
      <c r="R136" s="463"/>
      <c r="S136" s="463"/>
      <c r="T136" s="463"/>
      <c r="U136" s="463"/>
      <c r="V136" s="463"/>
      <c r="W136" s="463"/>
      <c r="X136" s="463"/>
      <c r="Y136" s="463"/>
      <c r="Z136" s="463"/>
    </row>
    <row r="137" spans="1:26" outlineLevel="1" x14ac:dyDescent="0.3">
      <c r="A137" s="7" t="s">
        <v>91</v>
      </c>
      <c r="D137" s="9"/>
      <c r="E137" s="9"/>
      <c r="F137" s="9"/>
      <c r="G137" s="9"/>
      <c r="H137" s="9"/>
      <c r="R137" s="463"/>
      <c r="S137" s="463"/>
      <c r="T137" s="463"/>
      <c r="U137" s="463"/>
      <c r="V137" s="463"/>
      <c r="W137" s="463"/>
      <c r="X137" s="463"/>
      <c r="Y137" s="463"/>
      <c r="Z137" s="463"/>
    </row>
    <row r="138" spans="1:26" outlineLevel="1" x14ac:dyDescent="0.3">
      <c r="A138" s="6" t="s">
        <v>55</v>
      </c>
      <c r="D138" s="129">
        <f>+D91</f>
        <v>107.80000000000014</v>
      </c>
      <c r="E138" s="129">
        <f t="shared" ref="E138:H138" si="68">+E91</f>
        <v>139.59999999999997</v>
      </c>
      <c r="F138" s="129">
        <f t="shared" si="68"/>
        <v>99.999999999999631</v>
      </c>
      <c r="G138" s="129">
        <f t="shared" si="68"/>
        <v>-125.60000000000001</v>
      </c>
      <c r="H138" s="129">
        <f t="shared" si="68"/>
        <v>103.09999999999997</v>
      </c>
      <c r="I138" s="130">
        <f>+I91</f>
        <v>218.40567839999997</v>
      </c>
      <c r="J138" s="130">
        <f>+J91</f>
        <v>242.14831163999997</v>
      </c>
      <c r="K138" s="130">
        <f>+K91</f>
        <v>256.99493107080019</v>
      </c>
      <c r="L138" s="130">
        <f>+L91</f>
        <v>277.49186303529632</v>
      </c>
      <c r="M138" s="130">
        <f>+M91</f>
        <v>290.80733090257024</v>
      </c>
      <c r="N138" s="130">
        <f t="shared" ref="N138:O138" si="69">+N91</f>
        <v>305.60115129881768</v>
      </c>
      <c r="O138" s="130">
        <f t="shared" si="69"/>
        <v>319.73227129701826</v>
      </c>
      <c r="R138" s="463"/>
      <c r="S138" s="463"/>
      <c r="T138" s="463"/>
      <c r="U138" s="463"/>
      <c r="V138" s="463"/>
      <c r="W138" s="463"/>
      <c r="X138" s="463"/>
      <c r="Y138" s="463"/>
      <c r="Z138" s="463"/>
    </row>
    <row r="139" spans="1:26" outlineLevel="1" x14ac:dyDescent="0.3">
      <c r="A139" s="6" t="s">
        <v>92</v>
      </c>
      <c r="D139" s="129">
        <f>+D79</f>
        <v>454</v>
      </c>
      <c r="E139" s="129">
        <f t="shared" ref="E139:H139" si="70">+E79</f>
        <v>511.9</v>
      </c>
      <c r="F139" s="129">
        <f t="shared" si="70"/>
        <v>535.6</v>
      </c>
      <c r="G139" s="129">
        <f t="shared" si="70"/>
        <v>518.79999999999995</v>
      </c>
      <c r="H139" s="129">
        <f t="shared" si="70"/>
        <v>548.1</v>
      </c>
      <c r="I139" s="129">
        <f>I79</f>
        <v>544.38624000000004</v>
      </c>
      <c r="J139" s="129">
        <f>J79</f>
        <v>569.2238622000001</v>
      </c>
      <c r="K139" s="129">
        <f t="shared" ref="K139:O139" si="71">K79</f>
        <v>606.52112446800015</v>
      </c>
      <c r="L139" s="129">
        <f t="shared" si="71"/>
        <v>634.17135220110015</v>
      </c>
      <c r="M139" s="129">
        <f t="shared" si="71"/>
        <v>653.59786704067812</v>
      </c>
      <c r="N139" s="129">
        <f t="shared" si="71"/>
        <v>669.05157932070767</v>
      </c>
      <c r="O139" s="129">
        <f t="shared" si="71"/>
        <v>679.52864235007041</v>
      </c>
      <c r="R139" s="463"/>
      <c r="S139" s="463"/>
      <c r="T139" s="463"/>
      <c r="U139" s="463"/>
      <c r="V139" s="463"/>
      <c r="W139" s="463"/>
      <c r="X139" s="463"/>
      <c r="Y139" s="463"/>
      <c r="Z139" s="463"/>
    </row>
    <row r="140" spans="1:26" outlineLevel="1" x14ac:dyDescent="0.3">
      <c r="A140" s="6" t="s">
        <v>93</v>
      </c>
      <c r="D140" s="129">
        <v>12.6</v>
      </c>
      <c r="E140" s="129">
        <v>114.3</v>
      </c>
      <c r="F140" s="129">
        <v>-168.4</v>
      </c>
      <c r="G140" s="129">
        <v>7.9</v>
      </c>
      <c r="H140" s="129">
        <v>12.8</v>
      </c>
      <c r="I140" s="131">
        <f>I173</f>
        <v>22.68276000000003</v>
      </c>
      <c r="J140" s="131">
        <f t="shared" ref="J140:O140" si="72">J173</f>
        <v>23.816898000000037</v>
      </c>
      <c r="K140" s="131">
        <f t="shared" si="72"/>
        <v>25.484080860000034</v>
      </c>
      <c r="L140" s="131">
        <f t="shared" si="72"/>
        <v>26.758284903000032</v>
      </c>
      <c r="M140" s="131">
        <f t="shared" si="72"/>
        <v>27.694824874605047</v>
      </c>
      <c r="N140" s="131">
        <f t="shared" si="72"/>
        <v>28.470279971093987</v>
      </c>
      <c r="O140" s="131">
        <f t="shared" si="72"/>
        <v>29.039685570515843</v>
      </c>
      <c r="R140" s="463"/>
      <c r="S140" s="463"/>
      <c r="T140" s="463"/>
      <c r="U140" s="463"/>
      <c r="V140" s="463"/>
      <c r="W140" s="463"/>
      <c r="X140" s="463"/>
      <c r="Y140" s="463"/>
      <c r="Z140" s="463"/>
    </row>
    <row r="141" spans="1:26" outlineLevel="1" x14ac:dyDescent="0.3">
      <c r="A141" s="6" t="s">
        <v>94</v>
      </c>
      <c r="D141" s="129">
        <v>75.8</v>
      </c>
      <c r="E141" s="129">
        <v>122</v>
      </c>
      <c r="F141" s="129">
        <v>119.7</v>
      </c>
      <c r="G141" s="129">
        <v>113.1</v>
      </c>
      <c r="H141" s="129">
        <v>206.8</v>
      </c>
      <c r="I141" s="146">
        <f t="shared" ref="I141:O141" si="73">+I70*I64</f>
        <v>158.77932000000004</v>
      </c>
      <c r="J141" s="146">
        <f t="shared" si="73"/>
        <v>166.71828600000006</v>
      </c>
      <c r="K141" s="146">
        <f t="shared" si="73"/>
        <v>178.38856602000007</v>
      </c>
      <c r="L141" s="146">
        <f t="shared" si="73"/>
        <v>187.30799432100008</v>
      </c>
      <c r="M141" s="146">
        <f t="shared" si="73"/>
        <v>193.86377412223507</v>
      </c>
      <c r="N141" s="146">
        <f t="shared" si="73"/>
        <v>199.29195979765765</v>
      </c>
      <c r="O141" s="146">
        <f t="shared" si="73"/>
        <v>203.27779899361079</v>
      </c>
      <c r="R141" s="463" t="s">
        <v>45</v>
      </c>
      <c r="S141" s="463">
        <f>+AVERAGE(D141:H141)</f>
        <v>127.48000000000002</v>
      </c>
      <c r="T141" s="463"/>
      <c r="U141" s="463"/>
      <c r="V141" s="463"/>
      <c r="W141" s="463"/>
      <c r="X141" s="463"/>
      <c r="Y141" s="463"/>
      <c r="Z141" s="463"/>
    </row>
    <row r="142" spans="1:26" outlineLevel="1" x14ac:dyDescent="0.3">
      <c r="A142" s="20" t="s">
        <v>95</v>
      </c>
      <c r="B142" s="3"/>
      <c r="C142" s="46"/>
      <c r="D142" s="83">
        <f>D138+D139-D140+D141</f>
        <v>625.00000000000011</v>
      </c>
      <c r="E142" s="83">
        <f t="shared" ref="E142:O142" si="74">E138+E139-E140+E141</f>
        <v>659.2</v>
      </c>
      <c r="F142" s="83">
        <f t="shared" si="74"/>
        <v>923.6999999999997</v>
      </c>
      <c r="G142" s="83">
        <f t="shared" si="74"/>
        <v>498.4</v>
      </c>
      <c r="H142" s="83">
        <f t="shared" si="74"/>
        <v>845.2</v>
      </c>
      <c r="I142" s="83">
        <f t="shared" si="74"/>
        <v>898.88847839999994</v>
      </c>
      <c r="J142" s="83">
        <f t="shared" si="74"/>
        <v>954.27356184000007</v>
      </c>
      <c r="K142" s="83">
        <f t="shared" si="74"/>
        <v>1016.4205406988004</v>
      </c>
      <c r="L142" s="83">
        <f t="shared" si="74"/>
        <v>1072.2129246543966</v>
      </c>
      <c r="M142" s="83">
        <f t="shared" si="74"/>
        <v>1110.5741471908784</v>
      </c>
      <c r="N142" s="83">
        <f t="shared" si="74"/>
        <v>1145.474410446089</v>
      </c>
      <c r="O142" s="83">
        <f t="shared" si="74"/>
        <v>1173.4990270701837</v>
      </c>
      <c r="R142" s="463"/>
      <c r="S142" s="463"/>
      <c r="T142" s="463"/>
      <c r="U142" s="463"/>
      <c r="V142" s="463"/>
      <c r="W142" s="463"/>
      <c r="X142" s="463"/>
      <c r="Y142" s="463"/>
      <c r="Z142" s="463"/>
    </row>
    <row r="143" spans="1:26" outlineLevel="1" x14ac:dyDescent="0.3">
      <c r="A143" s="31"/>
      <c r="B143" s="5"/>
      <c r="C143" s="23"/>
      <c r="D143" s="84"/>
      <c r="E143" s="84"/>
      <c r="F143" s="84"/>
      <c r="G143" s="84"/>
      <c r="H143" s="84"/>
      <c r="I143" s="31"/>
      <c r="J143" s="31"/>
      <c r="K143" s="31"/>
      <c r="L143" s="31"/>
      <c r="M143" s="31"/>
      <c r="R143" s="463"/>
      <c r="S143" s="463"/>
      <c r="T143" s="463"/>
      <c r="U143" s="463"/>
      <c r="V143" s="463"/>
      <c r="W143" s="463"/>
      <c r="X143" s="463"/>
      <c r="Y143" s="463"/>
      <c r="Z143" s="463"/>
    </row>
    <row r="144" spans="1:26" outlineLevel="1" x14ac:dyDescent="0.3">
      <c r="A144" s="7" t="s">
        <v>96</v>
      </c>
      <c r="D144" s="85"/>
      <c r="E144" s="85"/>
      <c r="F144" s="85"/>
      <c r="G144" s="85"/>
      <c r="H144" s="85"/>
      <c r="I144" s="5"/>
      <c r="J144" s="5"/>
      <c r="K144" s="5"/>
      <c r="L144" s="5"/>
      <c r="M144" s="5"/>
      <c r="R144" s="463"/>
      <c r="S144" s="463"/>
      <c r="T144" s="463"/>
      <c r="U144" s="463"/>
      <c r="V144" s="463"/>
      <c r="W144" s="463"/>
      <c r="X144" s="463"/>
      <c r="Y144" s="463"/>
      <c r="Z144" s="463"/>
    </row>
    <row r="145" spans="1:26" outlineLevel="1" x14ac:dyDescent="0.3">
      <c r="A145" s="6" t="s">
        <v>97</v>
      </c>
      <c r="D145" s="85">
        <f>+D146+D147</f>
        <v>665.6</v>
      </c>
      <c r="E145" s="85">
        <f t="shared" ref="E145:H145" si="75">+E146+E147</f>
        <v>760</v>
      </c>
      <c r="F145" s="85">
        <f t="shared" si="75"/>
        <v>648.19999999999993</v>
      </c>
      <c r="G145" s="85">
        <f t="shared" si="75"/>
        <v>904.9</v>
      </c>
      <c r="H145" s="85">
        <f t="shared" si="75"/>
        <v>868.19999999999993</v>
      </c>
      <c r="I145" s="5">
        <f t="shared" ref="I145:O145" si="76">+I70*I65</f>
        <v>567.06900000000007</v>
      </c>
      <c r="J145" s="5">
        <f t="shared" si="76"/>
        <v>593.04076020000014</v>
      </c>
      <c r="K145" s="5">
        <f t="shared" si="76"/>
        <v>632.00520532800022</v>
      </c>
      <c r="L145" s="5">
        <f t="shared" si="76"/>
        <v>660.92963710410015</v>
      </c>
      <c r="M145" s="5">
        <f t="shared" si="76"/>
        <v>681.29269191528317</v>
      </c>
      <c r="N145" s="5">
        <f t="shared" si="76"/>
        <v>697.52185929180166</v>
      </c>
      <c r="O145" s="5">
        <f t="shared" si="76"/>
        <v>708.56832792058617</v>
      </c>
      <c r="R145" s="463"/>
      <c r="S145" s="463"/>
      <c r="T145" s="463"/>
      <c r="U145" s="463"/>
      <c r="V145" s="463"/>
      <c r="W145" s="463"/>
      <c r="X145" s="463"/>
      <c r="Y145" s="463"/>
      <c r="Z145" s="463"/>
    </row>
    <row r="146" spans="1:26" outlineLevel="1" x14ac:dyDescent="0.3">
      <c r="A146" s="43" t="s">
        <v>98</v>
      </c>
      <c r="D146" s="85">
        <v>62.9</v>
      </c>
      <c r="E146" s="85">
        <v>59.4</v>
      </c>
      <c r="F146" s="85">
        <v>74.400000000000006</v>
      </c>
      <c r="G146" s="85">
        <v>104.9</v>
      </c>
      <c r="H146" s="85">
        <v>96.8</v>
      </c>
      <c r="J146" s="5"/>
      <c r="K146" s="5"/>
      <c r="L146" s="5"/>
      <c r="M146" s="5"/>
      <c r="N146" s="5"/>
      <c r="O146" s="5"/>
      <c r="R146" s="463"/>
      <c r="S146" s="463"/>
      <c r="T146" s="463"/>
      <c r="U146" s="463"/>
      <c r="V146" s="463"/>
      <c r="W146" s="463"/>
      <c r="X146" s="463"/>
      <c r="Y146" s="463"/>
      <c r="Z146" s="463"/>
    </row>
    <row r="147" spans="1:26" outlineLevel="1" x14ac:dyDescent="0.3">
      <c r="A147" s="43" t="s">
        <v>99</v>
      </c>
      <c r="D147" s="85">
        <v>602.70000000000005</v>
      </c>
      <c r="E147" s="85">
        <v>700.6</v>
      </c>
      <c r="F147" s="85">
        <v>573.79999999999995</v>
      </c>
      <c r="G147" s="85">
        <v>800</v>
      </c>
      <c r="H147" s="85">
        <v>771.4</v>
      </c>
      <c r="I147" s="147"/>
      <c r="J147" s="147"/>
      <c r="K147" s="147"/>
      <c r="L147" s="147"/>
      <c r="M147" s="147"/>
      <c r="N147" s="90"/>
      <c r="O147" s="90"/>
      <c r="R147" s="463" t="s">
        <v>45</v>
      </c>
      <c r="S147" s="463">
        <f>+AVERAGE(D147:H147)</f>
        <v>689.7</v>
      </c>
      <c r="T147" s="463"/>
      <c r="U147" s="463"/>
      <c r="V147" s="463"/>
      <c r="W147" s="463"/>
      <c r="X147" s="463"/>
      <c r="Y147" s="463"/>
      <c r="Z147" s="463"/>
    </row>
    <row r="148" spans="1:26" outlineLevel="1" x14ac:dyDescent="0.3">
      <c r="A148" s="20" t="s">
        <v>100</v>
      </c>
      <c r="B148" s="3"/>
      <c r="C148" s="46"/>
      <c r="D148" s="83">
        <f>+D145</f>
        <v>665.6</v>
      </c>
      <c r="E148" s="83">
        <f t="shared" ref="E148:O148" si="77">+E145</f>
        <v>760</v>
      </c>
      <c r="F148" s="83">
        <f t="shared" si="77"/>
        <v>648.19999999999993</v>
      </c>
      <c r="G148" s="83">
        <f t="shared" si="77"/>
        <v>904.9</v>
      </c>
      <c r="H148" s="83">
        <f t="shared" si="77"/>
        <v>868.19999999999993</v>
      </c>
      <c r="I148" s="83">
        <f t="shared" si="77"/>
        <v>567.06900000000007</v>
      </c>
      <c r="J148" s="83">
        <f t="shared" si="77"/>
        <v>593.04076020000014</v>
      </c>
      <c r="K148" s="83">
        <f t="shared" si="77"/>
        <v>632.00520532800022</v>
      </c>
      <c r="L148" s="83">
        <f t="shared" si="77"/>
        <v>660.92963710410015</v>
      </c>
      <c r="M148" s="83">
        <f t="shared" si="77"/>
        <v>681.29269191528317</v>
      </c>
      <c r="N148" s="83">
        <f t="shared" si="77"/>
        <v>697.52185929180166</v>
      </c>
      <c r="O148" s="83">
        <f t="shared" si="77"/>
        <v>708.56832792058617</v>
      </c>
      <c r="R148" s="463"/>
      <c r="S148" s="463"/>
      <c r="T148" s="463"/>
      <c r="U148" s="463"/>
      <c r="V148" s="463"/>
      <c r="W148" s="463"/>
      <c r="X148" s="463"/>
      <c r="Y148" s="463"/>
      <c r="Z148" s="463"/>
    </row>
    <row r="149" spans="1:26" outlineLevel="1" x14ac:dyDescent="0.3">
      <c r="A149" s="31"/>
      <c r="B149" s="5"/>
      <c r="C149" s="23"/>
      <c r="D149" s="84"/>
      <c r="E149" s="84"/>
      <c r="F149" s="84"/>
      <c r="G149" s="84"/>
      <c r="H149" s="84"/>
      <c r="I149" s="31"/>
      <c r="J149" s="31"/>
      <c r="K149" s="31"/>
      <c r="L149" s="31"/>
      <c r="M149" s="31"/>
      <c r="R149" s="463"/>
      <c r="S149" s="463"/>
      <c r="T149" s="463"/>
      <c r="U149" s="463"/>
      <c r="V149" s="463"/>
      <c r="W149" s="463"/>
      <c r="X149" s="463"/>
      <c r="Y149" s="463"/>
      <c r="Z149" s="463"/>
    </row>
    <row r="150" spans="1:26" outlineLevel="1" x14ac:dyDescent="0.3">
      <c r="A150" s="7" t="s">
        <v>101</v>
      </c>
      <c r="D150" s="85"/>
      <c r="E150" s="85"/>
      <c r="F150" s="85"/>
      <c r="G150" s="85"/>
      <c r="H150" s="85"/>
      <c r="I150" s="5"/>
      <c r="J150" s="5"/>
      <c r="K150" s="5"/>
      <c r="L150" s="5"/>
      <c r="M150" s="5"/>
      <c r="R150" s="463"/>
      <c r="S150" s="463"/>
      <c r="T150" s="463"/>
      <c r="U150" s="463"/>
      <c r="V150" s="463"/>
      <c r="W150" s="463"/>
      <c r="X150" s="463"/>
      <c r="Y150" s="463"/>
      <c r="Z150" s="463"/>
    </row>
    <row r="151" spans="1:26" outlineLevel="1" x14ac:dyDescent="0.3">
      <c r="A151" s="6" t="s">
        <v>102</v>
      </c>
      <c r="D151" s="85">
        <v>0</v>
      </c>
      <c r="E151" s="85">
        <v>1</v>
      </c>
      <c r="F151" s="85">
        <v>-1.3</v>
      </c>
      <c r="G151" s="85">
        <v>0</v>
      </c>
      <c r="H151" s="85">
        <v>-239.8</v>
      </c>
      <c r="I151" s="147">
        <v>-48</v>
      </c>
      <c r="J151" s="147">
        <v>-48</v>
      </c>
      <c r="K151" s="147">
        <v>-48</v>
      </c>
      <c r="L151" s="147">
        <v>-48</v>
      </c>
      <c r="M151" s="147">
        <v>-48</v>
      </c>
      <c r="N151" s="147">
        <v>-48</v>
      </c>
      <c r="O151" s="147">
        <v>-48</v>
      </c>
      <c r="R151" s="463" t="s">
        <v>45</v>
      </c>
      <c r="S151" s="463">
        <f t="shared" ref="S151:S153" si="78">+AVERAGE(D151:H151)</f>
        <v>-48.02</v>
      </c>
      <c r="T151" s="463"/>
      <c r="U151" s="463"/>
      <c r="V151" s="463"/>
      <c r="W151" s="463"/>
      <c r="X151" s="463"/>
      <c r="Y151" s="463"/>
      <c r="Z151" s="463"/>
    </row>
    <row r="152" spans="1:26" outlineLevel="1" x14ac:dyDescent="0.3">
      <c r="A152" s="6" t="s">
        <v>103</v>
      </c>
      <c r="D152" s="85">
        <v>455</v>
      </c>
      <c r="E152" s="85">
        <v>409.3</v>
      </c>
      <c r="F152" s="85">
        <v>31.5</v>
      </c>
      <c r="G152" s="85">
        <v>314.8</v>
      </c>
      <c r="H152" s="85">
        <v>597.1</v>
      </c>
      <c r="I152" s="147">
        <v>362</v>
      </c>
      <c r="J152" s="147">
        <v>300</v>
      </c>
      <c r="K152" s="147">
        <v>200</v>
      </c>
      <c r="L152" s="147">
        <v>100</v>
      </c>
      <c r="M152" s="147">
        <v>50</v>
      </c>
      <c r="N152" s="147">
        <v>25</v>
      </c>
      <c r="O152" s="147">
        <v>0</v>
      </c>
      <c r="R152" s="463" t="s">
        <v>45</v>
      </c>
      <c r="S152" s="463">
        <f t="shared" si="78"/>
        <v>361.53999999999996</v>
      </c>
      <c r="T152" s="463"/>
      <c r="U152" s="463"/>
      <c r="V152" s="463"/>
      <c r="W152" s="463"/>
      <c r="X152" s="463"/>
      <c r="Y152" s="463"/>
      <c r="Z152" s="463"/>
    </row>
    <row r="153" spans="1:26" outlineLevel="1" x14ac:dyDescent="0.3">
      <c r="A153" s="6" t="s">
        <v>104</v>
      </c>
      <c r="D153" s="85">
        <v>-58.4</v>
      </c>
      <c r="E153" s="85">
        <v>-362.5</v>
      </c>
      <c r="F153" s="85">
        <v>-70</v>
      </c>
      <c r="G153" s="85">
        <v>116.8</v>
      </c>
      <c r="H153" s="85">
        <v>106.5</v>
      </c>
      <c r="I153" s="147">
        <v>-54</v>
      </c>
      <c r="J153" s="147">
        <v>-54</v>
      </c>
      <c r="K153" s="147">
        <v>-54</v>
      </c>
      <c r="L153" s="147">
        <v>-54</v>
      </c>
      <c r="M153" s="147">
        <v>-54</v>
      </c>
      <c r="N153" s="147">
        <v>-54</v>
      </c>
      <c r="O153" s="147">
        <v>-54</v>
      </c>
      <c r="R153" s="463" t="s">
        <v>45</v>
      </c>
      <c r="S153" s="463">
        <f t="shared" si="78"/>
        <v>-53.519999999999996</v>
      </c>
      <c r="T153" s="463"/>
      <c r="U153" s="463"/>
      <c r="V153" s="463"/>
      <c r="W153" s="463"/>
      <c r="X153" s="463"/>
      <c r="Y153" s="463"/>
      <c r="Z153" s="463"/>
    </row>
    <row r="154" spans="1:26" outlineLevel="1" x14ac:dyDescent="0.3">
      <c r="A154" s="20" t="s">
        <v>105</v>
      </c>
      <c r="B154" s="3"/>
      <c r="C154" s="46"/>
      <c r="D154" s="83">
        <f>SUM(D151:D153)</f>
        <v>396.6</v>
      </c>
      <c r="E154" s="83">
        <f t="shared" ref="E154:H154" si="79">SUM(E151:E153)</f>
        <v>47.800000000000011</v>
      </c>
      <c r="F154" s="83">
        <f t="shared" si="79"/>
        <v>-39.799999999999997</v>
      </c>
      <c r="G154" s="83">
        <f t="shared" si="79"/>
        <v>431.6</v>
      </c>
      <c r="H154" s="83">
        <f t="shared" si="79"/>
        <v>463.8</v>
      </c>
      <c r="I154" s="20">
        <f t="shared" ref="I154:O154" si="80">SUM(I152:I153)</f>
        <v>308</v>
      </c>
      <c r="J154" s="20">
        <f t="shared" si="80"/>
        <v>246</v>
      </c>
      <c r="K154" s="20">
        <f t="shared" si="80"/>
        <v>146</v>
      </c>
      <c r="L154" s="20">
        <f t="shared" si="80"/>
        <v>46</v>
      </c>
      <c r="M154" s="20">
        <f t="shared" si="80"/>
        <v>-4</v>
      </c>
      <c r="N154" s="20">
        <f t="shared" si="80"/>
        <v>-29</v>
      </c>
      <c r="O154" s="20">
        <f t="shared" si="80"/>
        <v>-54</v>
      </c>
      <c r="Q154" s="5"/>
      <c r="R154" s="463"/>
      <c r="S154" s="463"/>
      <c r="T154" s="463"/>
      <c r="U154" s="463"/>
      <c r="V154" s="463"/>
      <c r="W154" s="463"/>
      <c r="X154" s="463"/>
      <c r="Y154" s="463"/>
      <c r="Z154" s="463"/>
    </row>
    <row r="155" spans="1:26" outlineLevel="1" x14ac:dyDescent="0.3">
      <c r="A155" s="31"/>
      <c r="B155" s="5"/>
      <c r="C155" s="23"/>
      <c r="D155" s="84"/>
      <c r="E155" s="84"/>
      <c r="F155" s="84"/>
      <c r="G155" s="84"/>
      <c r="H155" s="84"/>
      <c r="I155" s="31"/>
      <c r="J155" s="31"/>
      <c r="K155" s="31"/>
      <c r="L155" s="31"/>
      <c r="M155" s="31"/>
      <c r="Q155" s="5"/>
      <c r="R155" s="463"/>
      <c r="S155" s="463"/>
      <c r="T155" s="463"/>
      <c r="U155" s="463"/>
      <c r="V155" s="463"/>
      <c r="W155" s="463"/>
      <c r="X155" s="463"/>
      <c r="Y155" s="463"/>
      <c r="Z155" s="463"/>
    </row>
    <row r="156" spans="1:26" outlineLevel="1" x14ac:dyDescent="0.3">
      <c r="A156" s="6" t="s">
        <v>106</v>
      </c>
      <c r="B156" s="5"/>
      <c r="C156" s="23"/>
      <c r="D156" s="85">
        <v>-0.1</v>
      </c>
      <c r="E156" s="85">
        <v>-27.9</v>
      </c>
      <c r="F156" s="85">
        <v>10.8</v>
      </c>
      <c r="G156" s="85">
        <v>-18.7</v>
      </c>
      <c r="H156" s="85">
        <v>24.7</v>
      </c>
      <c r="I156" s="5">
        <v>-2</v>
      </c>
      <c r="J156" s="5">
        <v>-2</v>
      </c>
      <c r="K156" s="5">
        <v>-2</v>
      </c>
      <c r="L156" s="5">
        <v>-2</v>
      </c>
      <c r="M156" s="5">
        <v>-2</v>
      </c>
      <c r="N156" s="5">
        <v>-2</v>
      </c>
      <c r="O156" s="5">
        <v>-2</v>
      </c>
      <c r="Q156" s="5"/>
      <c r="R156" s="463" t="s">
        <v>45</v>
      </c>
      <c r="S156" s="463">
        <f t="shared" ref="S156" si="81">+AVERAGE(D156:H156)</f>
        <v>-2.2399999999999998</v>
      </c>
      <c r="T156" s="463"/>
      <c r="U156" s="463"/>
      <c r="V156" s="463"/>
      <c r="W156" s="463"/>
      <c r="X156" s="463"/>
      <c r="Y156" s="463"/>
      <c r="Z156" s="463"/>
    </row>
    <row r="157" spans="1:26" outlineLevel="1" x14ac:dyDescent="0.3">
      <c r="A157" s="6" t="s">
        <v>107</v>
      </c>
      <c r="D157" s="86">
        <f>D142-D148+D154</f>
        <v>356.00000000000011</v>
      </c>
      <c r="E157" s="86">
        <f t="shared" ref="E157:O157" si="82">E142-E148+E154</f>
        <v>-52.999999999999943</v>
      </c>
      <c r="F157" s="86">
        <f t="shared" si="82"/>
        <v>235.69999999999976</v>
      </c>
      <c r="G157" s="86">
        <f t="shared" si="82"/>
        <v>25.100000000000023</v>
      </c>
      <c r="H157" s="86">
        <f t="shared" si="82"/>
        <v>440.80000000000013</v>
      </c>
      <c r="I157" s="47">
        <f>I142-I148+I154</f>
        <v>639.81947839999987</v>
      </c>
      <c r="J157" s="47">
        <f t="shared" si="82"/>
        <v>607.23280163999993</v>
      </c>
      <c r="K157" s="47">
        <f t="shared" si="82"/>
        <v>530.41533537080022</v>
      </c>
      <c r="L157" s="47">
        <f t="shared" si="82"/>
        <v>457.28328755029645</v>
      </c>
      <c r="M157" s="47">
        <f t="shared" si="82"/>
        <v>425.28145527559525</v>
      </c>
      <c r="N157" s="47">
        <f t="shared" si="82"/>
        <v>418.95255115428733</v>
      </c>
      <c r="O157" s="47">
        <f t="shared" si="82"/>
        <v>410.93069914959756</v>
      </c>
      <c r="Q157" s="5"/>
      <c r="R157" s="5"/>
      <c r="S157" s="5"/>
      <c r="T157" s="5"/>
      <c r="U157" s="5"/>
      <c r="V157" s="5"/>
      <c r="W157" s="5"/>
      <c r="X157" s="5"/>
      <c r="Y157" s="5"/>
      <c r="Z157" s="5"/>
    </row>
    <row r="158" spans="1:26" outlineLevel="1" x14ac:dyDescent="0.3">
      <c r="A158" s="6" t="s">
        <v>108</v>
      </c>
      <c r="D158" s="87">
        <v>255.7</v>
      </c>
      <c r="E158" s="87">
        <f>+D159</f>
        <v>611.60000000000014</v>
      </c>
      <c r="F158" s="87">
        <f t="shared" ref="F158:H158" si="83">+E159</f>
        <v>530.70000000000016</v>
      </c>
      <c r="G158" s="87">
        <f t="shared" si="83"/>
        <v>777.19999999999993</v>
      </c>
      <c r="H158" s="87">
        <f t="shared" si="83"/>
        <v>783.59999999999991</v>
      </c>
      <c r="I158" s="5">
        <f t="shared" ref="I158" si="84">H159</f>
        <v>1249.0999999999999</v>
      </c>
      <c r="J158" s="5">
        <f t="shared" ref="J158" si="85">I159</f>
        <v>1886.9194783999997</v>
      </c>
      <c r="K158" s="5">
        <f t="shared" ref="K158" si="86">J159</f>
        <v>2492.1522800399998</v>
      </c>
      <c r="L158" s="5">
        <f t="shared" ref="L158" si="87">K159</f>
        <v>3020.5676154108</v>
      </c>
      <c r="M158" s="5">
        <f t="shared" ref="M158" si="88">L159</f>
        <v>3475.8509029610964</v>
      </c>
      <c r="N158" s="5">
        <f t="shared" ref="N158" si="89">M159</f>
        <v>3899.1323582366917</v>
      </c>
      <c r="O158" s="5">
        <f t="shared" ref="O158" si="90">N159</f>
        <v>4316.0849093909792</v>
      </c>
      <c r="Q158" s="5"/>
      <c r="R158" s="5"/>
      <c r="S158" s="5"/>
      <c r="T158" s="5"/>
      <c r="U158" s="5"/>
      <c r="V158" s="5"/>
      <c r="W158" s="5"/>
      <c r="X158" s="5"/>
      <c r="Y158" s="5"/>
      <c r="Z158" s="5"/>
    </row>
    <row r="159" spans="1:26" outlineLevel="1" x14ac:dyDescent="0.3">
      <c r="A159" s="20" t="s">
        <v>109</v>
      </c>
      <c r="B159" s="3"/>
      <c r="C159" s="46"/>
      <c r="D159" s="83">
        <f>SUM(D156:D158)</f>
        <v>611.60000000000014</v>
      </c>
      <c r="E159" s="83">
        <f t="shared" ref="E159:H159" si="91">SUM(E156:E158)</f>
        <v>530.70000000000016</v>
      </c>
      <c r="F159" s="83">
        <f t="shared" si="91"/>
        <v>777.19999999999993</v>
      </c>
      <c r="G159" s="83">
        <f t="shared" si="91"/>
        <v>783.59999999999991</v>
      </c>
      <c r="H159" s="83">
        <f t="shared" si="91"/>
        <v>1249.0999999999999</v>
      </c>
      <c r="I159" s="35">
        <f>SUM(I156:I158)</f>
        <v>1886.9194783999997</v>
      </c>
      <c r="J159" s="35">
        <f t="shared" ref="J159:O159" si="92">SUM(J156:J158)</f>
        <v>2492.1522800399998</v>
      </c>
      <c r="K159" s="35">
        <f t="shared" si="92"/>
        <v>3020.5676154108</v>
      </c>
      <c r="L159" s="35">
        <f t="shared" si="92"/>
        <v>3475.8509029610964</v>
      </c>
      <c r="M159" s="35">
        <f t="shared" si="92"/>
        <v>3899.1323582366917</v>
      </c>
      <c r="N159" s="35">
        <f t="shared" si="92"/>
        <v>4316.0849093909792</v>
      </c>
      <c r="O159" s="35">
        <f t="shared" si="92"/>
        <v>4725.015608540577</v>
      </c>
      <c r="Q159" s="5"/>
      <c r="R159" s="5"/>
      <c r="S159" s="5"/>
      <c r="T159" s="5"/>
      <c r="U159" s="5"/>
      <c r="V159" s="5"/>
      <c r="W159" s="5"/>
      <c r="X159" s="5"/>
      <c r="Y159" s="5"/>
      <c r="Z159" s="5"/>
    </row>
    <row r="160" spans="1:26" outlineLevel="1" x14ac:dyDescent="0.3">
      <c r="A160" s="7"/>
      <c r="D160" s="32"/>
      <c r="E160" s="9"/>
      <c r="F160" s="9"/>
      <c r="G160" s="9"/>
      <c r="H160" s="9"/>
      <c r="Q160" s="5"/>
      <c r="R160" s="5"/>
      <c r="S160" s="5"/>
      <c r="T160" s="5"/>
      <c r="U160" s="5"/>
      <c r="V160" s="5"/>
      <c r="W160" s="5"/>
      <c r="X160" s="5"/>
      <c r="Y160" s="5"/>
      <c r="Z160" s="5"/>
    </row>
    <row r="161" spans="1:26" outlineLevel="1" x14ac:dyDescent="0.3">
      <c r="A161" s="7"/>
      <c r="D161" s="32"/>
      <c r="E161" s="9"/>
      <c r="F161" s="9"/>
      <c r="G161" s="9"/>
      <c r="H161" s="9"/>
      <c r="Q161" s="5"/>
      <c r="R161" s="5"/>
      <c r="S161" s="5"/>
      <c r="T161" s="5"/>
      <c r="U161" s="5"/>
      <c r="V161" s="5"/>
      <c r="W161" s="5"/>
      <c r="X161" s="5"/>
      <c r="Y161" s="5"/>
      <c r="Z161" s="5"/>
    </row>
    <row r="162" spans="1:26" x14ac:dyDescent="0.3">
      <c r="D162" s="9"/>
      <c r="E162" s="9"/>
      <c r="F162" s="9"/>
      <c r="G162" s="9"/>
      <c r="H162" s="9"/>
      <c r="Q162" s="5"/>
      <c r="R162" s="5"/>
      <c r="S162" s="5"/>
      <c r="T162" s="5"/>
      <c r="U162" s="5"/>
      <c r="V162" s="5"/>
      <c r="W162" s="5"/>
      <c r="X162" s="5"/>
      <c r="Y162" s="5"/>
      <c r="Z162" s="5"/>
    </row>
    <row r="163" spans="1:26" ht="20.399999999999999" x14ac:dyDescent="0.35">
      <c r="A163" s="60" t="s">
        <v>110</v>
      </c>
      <c r="B163" s="60"/>
      <c r="C163" s="60"/>
      <c r="D163" s="60"/>
      <c r="E163" s="60"/>
      <c r="F163" s="60"/>
      <c r="G163" s="60"/>
      <c r="H163" s="60"/>
      <c r="I163" s="60"/>
      <c r="J163" s="60"/>
      <c r="K163" s="60"/>
      <c r="L163" s="60"/>
      <c r="M163" s="60"/>
      <c r="N163" s="60"/>
      <c r="O163" s="60"/>
    </row>
    <row r="164" spans="1:26" outlineLevel="1" x14ac:dyDescent="0.3">
      <c r="D164" s="9"/>
      <c r="E164" s="9"/>
      <c r="F164" s="9"/>
      <c r="G164" s="9"/>
      <c r="H164" s="9"/>
    </row>
    <row r="165" spans="1:26" outlineLevel="1" x14ac:dyDescent="0.3">
      <c r="A165" s="7" t="s">
        <v>111</v>
      </c>
      <c r="D165" s="9"/>
      <c r="E165" s="9"/>
      <c r="F165" s="9"/>
      <c r="G165" s="9"/>
      <c r="H165" s="9"/>
    </row>
    <row r="166" spans="1:26" outlineLevel="1" x14ac:dyDescent="0.3">
      <c r="A166" s="6" t="s">
        <v>112</v>
      </c>
      <c r="D166" s="134">
        <f>+SUM(D167:D169)</f>
        <v>43.7</v>
      </c>
      <c r="E166" s="134">
        <f t="shared" ref="E166:H166" si="93">+SUM(E167:E169)</f>
        <v>-142.30000000000001</v>
      </c>
      <c r="F166" s="134">
        <f t="shared" si="93"/>
        <v>-20.9</v>
      </c>
      <c r="G166" s="134">
        <f t="shared" si="93"/>
        <v>261.3</v>
      </c>
      <c r="H166" s="134">
        <f t="shared" si="93"/>
        <v>-166.20000000000002</v>
      </c>
      <c r="I166" s="6">
        <f t="shared" ref="I166:O166" si="94">+I70*I62</f>
        <v>158.77932000000004</v>
      </c>
      <c r="J166" s="6">
        <f t="shared" si="94"/>
        <v>166.71828600000006</v>
      </c>
      <c r="K166" s="6">
        <f t="shared" si="94"/>
        <v>178.38856602000007</v>
      </c>
      <c r="L166" s="6">
        <f t="shared" si="94"/>
        <v>187.30799432100008</v>
      </c>
      <c r="M166" s="6">
        <f t="shared" si="94"/>
        <v>193.86377412223507</v>
      </c>
      <c r="N166" s="6">
        <f t="shared" si="94"/>
        <v>199.29195979765765</v>
      </c>
      <c r="O166" s="6">
        <f t="shared" si="94"/>
        <v>203.27779899361079</v>
      </c>
    </row>
    <row r="167" spans="1:26" outlineLevel="1" x14ac:dyDescent="0.3">
      <c r="A167" s="6" t="s">
        <v>61</v>
      </c>
      <c r="D167" s="129">
        <v>31.9</v>
      </c>
      <c r="E167" s="129">
        <v>-61.5</v>
      </c>
      <c r="F167" s="129">
        <v>-18</v>
      </c>
      <c r="G167" s="129">
        <v>182.9</v>
      </c>
      <c r="H167" s="129">
        <v>-45.7</v>
      </c>
      <c r="I167" s="132"/>
      <c r="J167" s="132"/>
      <c r="K167" s="132"/>
      <c r="L167" s="132"/>
      <c r="M167" s="132"/>
    </row>
    <row r="168" spans="1:26" outlineLevel="1" x14ac:dyDescent="0.3">
      <c r="A168" s="43" t="s">
        <v>62</v>
      </c>
      <c r="D168" s="129">
        <v>-5.4</v>
      </c>
      <c r="E168" s="129">
        <v>0.2</v>
      </c>
      <c r="F168" s="129">
        <v>-31.3</v>
      </c>
      <c r="G168" s="129">
        <v>20.2</v>
      </c>
      <c r="H168" s="129">
        <v>10.9</v>
      </c>
      <c r="I168" s="132"/>
      <c r="J168" s="132"/>
      <c r="K168" s="132"/>
      <c r="L168" s="132"/>
      <c r="M168" s="132"/>
    </row>
    <row r="169" spans="1:26" outlineLevel="1" x14ac:dyDescent="0.3">
      <c r="A169" s="43" t="s">
        <v>113</v>
      </c>
      <c r="D169" s="129">
        <v>17.2</v>
      </c>
      <c r="E169" s="129">
        <v>-81</v>
      </c>
      <c r="F169" s="129">
        <v>28.4</v>
      </c>
      <c r="G169" s="129">
        <v>58.2</v>
      </c>
      <c r="H169" s="129">
        <v>-131.4</v>
      </c>
      <c r="I169" s="132"/>
      <c r="J169" s="132"/>
      <c r="K169" s="132"/>
      <c r="L169" s="132"/>
      <c r="M169" s="132"/>
    </row>
    <row r="170" spans="1:26" outlineLevel="1" x14ac:dyDescent="0.3">
      <c r="A170" s="6" t="s">
        <v>114</v>
      </c>
      <c r="D170" s="134">
        <f>+SUM(D171:D172)</f>
        <v>-56.3</v>
      </c>
      <c r="E170" s="134">
        <f t="shared" ref="E170:H170" si="95">+SUM(E171:E172)</f>
        <v>28</v>
      </c>
      <c r="F170" s="134">
        <f t="shared" si="95"/>
        <v>189.39999999999998</v>
      </c>
      <c r="G170" s="134">
        <f t="shared" si="95"/>
        <v>-269.10000000000002</v>
      </c>
      <c r="H170" s="134">
        <f t="shared" si="95"/>
        <v>153.39999999999998</v>
      </c>
      <c r="I170" s="132">
        <f t="shared" ref="I170:O170" si="96">-I70*I63</f>
        <v>-136.09656000000001</v>
      </c>
      <c r="J170" s="132">
        <f t="shared" si="96"/>
        <v>-142.90138800000003</v>
      </c>
      <c r="K170" s="132">
        <f t="shared" si="96"/>
        <v>-152.90448516000004</v>
      </c>
      <c r="L170" s="132">
        <f t="shared" si="96"/>
        <v>-160.54970941800005</v>
      </c>
      <c r="M170" s="132">
        <f t="shared" si="96"/>
        <v>-166.16894924763002</v>
      </c>
      <c r="N170" s="132">
        <f t="shared" si="96"/>
        <v>-170.82167982656367</v>
      </c>
      <c r="O170" s="132">
        <f t="shared" si="96"/>
        <v>-174.23811342309494</v>
      </c>
    </row>
    <row r="171" spans="1:26" outlineLevel="1" x14ac:dyDescent="0.3">
      <c r="A171" s="43" t="s">
        <v>73</v>
      </c>
      <c r="D171" s="129">
        <v>-45.1</v>
      </c>
      <c r="E171" s="129">
        <v>15.2</v>
      </c>
      <c r="F171" s="129">
        <v>3.2</v>
      </c>
      <c r="G171" s="129">
        <v>-49.2</v>
      </c>
      <c r="H171" s="129">
        <v>1.2</v>
      </c>
      <c r="I171" s="132"/>
      <c r="J171" s="132"/>
      <c r="K171" s="132"/>
      <c r="L171" s="132"/>
      <c r="M171" s="132"/>
    </row>
    <row r="172" spans="1:26" ht="15" customHeight="1" outlineLevel="1" x14ac:dyDescent="0.3">
      <c r="A172" s="141" t="s">
        <v>81</v>
      </c>
      <c r="B172" s="36"/>
      <c r="C172" s="37"/>
      <c r="D172" s="142">
        <v>-11.2</v>
      </c>
      <c r="E172" s="142">
        <v>12.8</v>
      </c>
      <c r="F172" s="142">
        <v>186.2</v>
      </c>
      <c r="G172" s="142">
        <v>-219.9</v>
      </c>
      <c r="H172" s="142">
        <v>152.19999999999999</v>
      </c>
      <c r="I172" s="143"/>
      <c r="J172" s="143"/>
      <c r="K172" s="143"/>
      <c r="L172" s="143"/>
      <c r="M172" s="143"/>
      <c r="N172" s="36"/>
      <c r="O172" s="36"/>
    </row>
    <row r="173" spans="1:26" outlineLevel="1" x14ac:dyDescent="0.3">
      <c r="A173" s="3" t="s">
        <v>115</v>
      </c>
      <c r="B173" s="3"/>
      <c r="C173" s="46"/>
      <c r="D173" s="133">
        <f>+D166+D170</f>
        <v>-12.599999999999994</v>
      </c>
      <c r="E173" s="133">
        <f>+E166+E170</f>
        <v>-114.30000000000001</v>
      </c>
      <c r="F173" s="133">
        <f t="shared" ref="F173:O173" si="97">+F166+F170</f>
        <v>168.49999999999997</v>
      </c>
      <c r="G173" s="133">
        <f t="shared" si="97"/>
        <v>-7.8000000000000114</v>
      </c>
      <c r="H173" s="133">
        <f t="shared" si="97"/>
        <v>-12.80000000000004</v>
      </c>
      <c r="I173" s="133">
        <f t="shared" si="97"/>
        <v>22.68276000000003</v>
      </c>
      <c r="J173" s="133">
        <f t="shared" si="97"/>
        <v>23.816898000000037</v>
      </c>
      <c r="K173" s="133">
        <f t="shared" si="97"/>
        <v>25.484080860000034</v>
      </c>
      <c r="L173" s="133">
        <f t="shared" si="97"/>
        <v>26.758284903000032</v>
      </c>
      <c r="M173" s="133">
        <f t="shared" si="97"/>
        <v>27.694824874605047</v>
      </c>
      <c r="N173" s="133">
        <f t="shared" si="97"/>
        <v>28.470279971093987</v>
      </c>
      <c r="O173" s="133">
        <f t="shared" si="97"/>
        <v>29.039685570515843</v>
      </c>
    </row>
    <row r="174" spans="1:26" outlineLevel="1" x14ac:dyDescent="0.3">
      <c r="D174" s="129"/>
      <c r="E174" s="129"/>
      <c r="F174" s="129"/>
      <c r="G174" s="129"/>
      <c r="H174" s="129"/>
      <c r="I174" s="132"/>
      <c r="J174" s="132"/>
      <c r="K174" s="132"/>
      <c r="L174" s="132"/>
      <c r="M174" s="132"/>
    </row>
    <row r="175" spans="1:26" x14ac:dyDescent="0.3">
      <c r="D175" s="9"/>
      <c r="E175" s="9"/>
      <c r="F175" s="9"/>
      <c r="G175" s="9"/>
      <c r="H175" s="9"/>
    </row>
    <row r="176" spans="1:26" ht="20.399999999999999" x14ac:dyDescent="0.35">
      <c r="A176" s="60" t="s">
        <v>116</v>
      </c>
      <c r="B176" s="60"/>
      <c r="C176" s="60"/>
      <c r="D176" s="60"/>
      <c r="E176" s="60"/>
      <c r="F176" s="60"/>
      <c r="G176" s="60"/>
      <c r="H176" s="60"/>
      <c r="I176" s="60"/>
      <c r="J176" s="60"/>
      <c r="K176" s="60"/>
      <c r="L176" s="60"/>
      <c r="M176" s="60"/>
      <c r="N176" s="60"/>
      <c r="O176" s="60"/>
    </row>
    <row r="177" spans="1:31" outlineLevel="1" x14ac:dyDescent="0.3"/>
    <row r="178" spans="1:31" ht="16.2" outlineLevel="1" x14ac:dyDescent="0.35">
      <c r="A178" s="453"/>
      <c r="B178" s="453"/>
      <c r="C178" s="150"/>
      <c r="D178" s="151"/>
      <c r="E178" s="152"/>
      <c r="F178" s="152"/>
      <c r="G178" s="152"/>
      <c r="H178" s="152"/>
      <c r="I178" s="152"/>
      <c r="J178" s="150"/>
      <c r="K178" s="150"/>
      <c r="L178" s="150"/>
      <c r="M178" s="150"/>
      <c r="N178" s="150"/>
    </row>
    <row r="179" spans="1:31" ht="16.2" outlineLevel="1" x14ac:dyDescent="0.35">
      <c r="A179" s="150"/>
      <c r="B179" s="153" t="s">
        <v>6</v>
      </c>
      <c r="C179" s="154"/>
      <c r="D179" s="154"/>
      <c r="E179" s="152"/>
      <c r="F179" s="150"/>
      <c r="G179" s="150"/>
      <c r="H179" s="150"/>
      <c r="I179" s="150"/>
      <c r="J179" s="150"/>
      <c r="K179" s="150"/>
      <c r="L179" s="150"/>
      <c r="M179" s="150"/>
      <c r="N179" s="150"/>
    </row>
    <row r="180" spans="1:31" ht="16.2" outlineLevel="1" x14ac:dyDescent="0.35">
      <c r="A180" s="150"/>
      <c r="B180" s="155" t="s">
        <v>117</v>
      </c>
      <c r="C180" s="152"/>
      <c r="D180" s="156">
        <v>0.4</v>
      </c>
      <c r="E180" s="152"/>
      <c r="F180" s="150"/>
      <c r="G180" s="150"/>
      <c r="H180" s="150"/>
      <c r="I180" s="150"/>
      <c r="J180" s="150"/>
      <c r="K180" s="150"/>
      <c r="L180" s="150"/>
      <c r="M180" s="150"/>
      <c r="N180" s="150"/>
    </row>
    <row r="181" spans="1:31" ht="16.2" outlineLevel="1" x14ac:dyDescent="0.35">
      <c r="A181" s="150"/>
      <c r="B181" s="155" t="s">
        <v>118</v>
      </c>
      <c r="C181" s="150"/>
      <c r="D181" s="156">
        <f>+WACC!E15</f>
        <v>6.2182400000000006E-2</v>
      </c>
      <c r="E181" s="150"/>
      <c r="F181" s="150"/>
      <c r="G181" s="150"/>
      <c r="H181" s="150"/>
      <c r="I181" s="150"/>
      <c r="J181" s="150"/>
      <c r="K181" s="150"/>
      <c r="L181" s="150"/>
      <c r="M181" s="150"/>
      <c r="N181" s="150"/>
      <c r="X181" s="436">
        <f>+$D$217</f>
        <v>62.648695264864337</v>
      </c>
      <c r="Y181" s="108">
        <f t="shared" ref="Y181:Z181" si="98">+Z181-0.5%</f>
        <v>4.7182400000000013E-2</v>
      </c>
      <c r="Z181" s="108">
        <f t="shared" si="98"/>
        <v>5.2182400000000011E-2</v>
      </c>
      <c r="AA181" s="108">
        <f>+AB181-0.5%</f>
        <v>5.7182400000000008E-2</v>
      </c>
      <c r="AB181" s="108">
        <f>+D181</f>
        <v>6.2182400000000006E-2</v>
      </c>
      <c r="AC181" s="108">
        <f>+AB181+0.5%</f>
        <v>6.7182400000000003E-2</v>
      </c>
      <c r="AD181" s="108">
        <f t="shared" ref="AD181:AE181" si="99">+AC181+0.5%</f>
        <v>7.2182400000000008E-2</v>
      </c>
      <c r="AE181" s="108">
        <f t="shared" si="99"/>
        <v>7.7182400000000012E-2</v>
      </c>
    </row>
    <row r="182" spans="1:31" ht="16.2" outlineLevel="1" x14ac:dyDescent="0.35">
      <c r="A182" s="150"/>
      <c r="B182" s="150" t="s">
        <v>119</v>
      </c>
      <c r="C182" s="150"/>
      <c r="D182" s="156">
        <v>0.03</v>
      </c>
      <c r="E182" s="150"/>
      <c r="F182" s="150"/>
      <c r="G182" s="150"/>
      <c r="H182" s="150"/>
      <c r="I182" s="150"/>
      <c r="J182" s="150"/>
      <c r="K182" s="150"/>
      <c r="L182" s="150"/>
      <c r="M182" s="150"/>
      <c r="N182" s="150"/>
      <c r="X182" s="437">
        <f t="shared" ref="X182:X183" si="100">+X183+0.2%</f>
        <v>3.6000000000000004E-2</v>
      </c>
      <c r="Y182" s="254">
        <f t="dataTable" ref="Y182:AE188" dt2D="1" dtr="1" r1="D181" r2="D182" ca="1"/>
        <v>183.80298246932298</v>
      </c>
      <c r="Z182" s="254">
        <v>1781.3734851832339</v>
      </c>
      <c r="AA182" s="254">
        <v>-558.4259330383851</v>
      </c>
      <c r="AB182" s="254">
        <v>-558.4259330383851</v>
      </c>
      <c r="AC182" s="254">
        <v>1781.3734851832339</v>
      </c>
      <c r="AD182" s="254">
        <v>183.80298246932298</v>
      </c>
      <c r="AE182" s="254">
        <v>75.598097600314745</v>
      </c>
    </row>
    <row r="183" spans="1:31" ht="16.2" outlineLevel="1" x14ac:dyDescent="0.35">
      <c r="A183" s="150"/>
      <c r="B183" s="150" t="s">
        <v>120</v>
      </c>
      <c r="C183" s="150"/>
      <c r="D183" s="195">
        <v>22.8</v>
      </c>
      <c r="E183" s="150"/>
      <c r="F183" s="150"/>
      <c r="G183" s="150"/>
      <c r="H183" s="150"/>
      <c r="I183" s="150"/>
      <c r="J183" s="150"/>
      <c r="K183" s="150"/>
      <c r="L183" s="150"/>
      <c r="M183" s="150"/>
      <c r="N183" s="150"/>
      <c r="X183" s="437">
        <f t="shared" si="100"/>
        <v>3.4000000000000002E-2</v>
      </c>
      <c r="Y183" s="254">
        <v>282.44054595509755</v>
      </c>
      <c r="Z183" s="254">
        <v>-737.50004347505387</v>
      </c>
      <c r="AA183" s="254">
        <v>-268.97271043976184</v>
      </c>
      <c r="AB183" s="254">
        <v>-268.97271043976184</v>
      </c>
      <c r="AC183" s="254">
        <v>-737.50004347505387</v>
      </c>
      <c r="AD183" s="254">
        <v>282.44054595509755</v>
      </c>
      <c r="AE183" s="254">
        <v>88.122827287526221</v>
      </c>
    </row>
    <row r="184" spans="1:31" ht="16.2" outlineLevel="1" x14ac:dyDescent="0.35">
      <c r="A184" s="150"/>
      <c r="B184" s="150" t="s">
        <v>121</v>
      </c>
      <c r="C184" s="150"/>
      <c r="D184" s="158">
        <v>44561</v>
      </c>
      <c r="E184" s="150"/>
      <c r="F184" s="150"/>
      <c r="G184" s="150"/>
      <c r="H184" s="150"/>
      <c r="I184" s="150"/>
      <c r="J184" s="150"/>
      <c r="K184" s="150"/>
      <c r="L184" s="150"/>
      <c r="M184" s="150"/>
      <c r="N184" s="150"/>
      <c r="X184" s="437">
        <f>+X185+0.2%</f>
        <v>3.2000000000000001E-2</v>
      </c>
      <c r="Y184" s="254">
        <v>388.85887432837291</v>
      </c>
      <c r="Z184" s="254">
        <v>-428.39218268486781</v>
      </c>
      <c r="AA184" s="254">
        <v>-212.69538081783287</v>
      </c>
      <c r="AB184" s="254">
        <v>-212.69538081783287</v>
      </c>
      <c r="AC184" s="254">
        <v>-428.39218268486781</v>
      </c>
      <c r="AD184" s="254">
        <v>388.85887432837291</v>
      </c>
      <c r="AE184" s="254">
        <v>96.246922602316474</v>
      </c>
    </row>
    <row r="185" spans="1:31" ht="16.2" outlineLevel="1" x14ac:dyDescent="0.35">
      <c r="A185" s="150"/>
      <c r="B185" s="150" t="s">
        <v>122</v>
      </c>
      <c r="C185" s="150"/>
      <c r="D185" s="158">
        <v>47118</v>
      </c>
      <c r="E185" s="150"/>
      <c r="F185" s="150"/>
      <c r="G185" s="150"/>
      <c r="H185" s="150"/>
      <c r="I185" s="150"/>
      <c r="J185" s="150"/>
      <c r="K185" s="150"/>
      <c r="L185" s="150"/>
      <c r="M185" s="150"/>
      <c r="N185" s="150"/>
      <c r="X185" s="437">
        <f>+D182</f>
        <v>0.03</v>
      </c>
      <c r="Y185" s="254">
        <v>388.85887432837291</v>
      </c>
      <c r="Z185" s="254">
        <v>-428.39218268486781</v>
      </c>
      <c r="AA185" s="254">
        <v>-212.69538081783287</v>
      </c>
      <c r="AB185" s="254">
        <v>-212.69538081783287</v>
      </c>
      <c r="AC185" s="254">
        <v>-428.39218268486781</v>
      </c>
      <c r="AD185" s="254">
        <v>388.85887432837291</v>
      </c>
      <c r="AE185" s="254">
        <v>96.246922602316474</v>
      </c>
    </row>
    <row r="186" spans="1:31" ht="16.2" outlineLevel="1" x14ac:dyDescent="0.35">
      <c r="A186" s="150"/>
      <c r="B186" s="150" t="s">
        <v>123</v>
      </c>
      <c r="C186" s="150"/>
      <c r="D186" s="157">
        <v>47.93</v>
      </c>
      <c r="E186" s="279">
        <v>44700</v>
      </c>
      <c r="F186" s="280" t="s">
        <v>124</v>
      </c>
      <c r="G186" s="150"/>
      <c r="H186" s="150"/>
      <c r="I186" s="150"/>
      <c r="J186" s="150"/>
      <c r="K186" s="150"/>
      <c r="L186" s="150"/>
      <c r="M186" s="150"/>
      <c r="N186" s="150"/>
      <c r="X186" s="437">
        <f>+X185-0.2%</f>
        <v>2.7999999999999997E-2</v>
      </c>
      <c r="Y186" s="254">
        <v>282.44054595509755</v>
      </c>
      <c r="Z186" s="254">
        <v>-737.50004347505387</v>
      </c>
      <c r="AA186" s="254">
        <v>-268.97271043976184</v>
      </c>
      <c r="AB186" s="254">
        <v>-268.97271043976184</v>
      </c>
      <c r="AC186" s="254">
        <v>-737.50004347505387</v>
      </c>
      <c r="AD186" s="254">
        <v>282.44054595509755</v>
      </c>
      <c r="AE186" s="254">
        <v>88.122827287526221</v>
      </c>
    </row>
    <row r="187" spans="1:31" ht="16.2" outlineLevel="1" x14ac:dyDescent="0.35">
      <c r="A187" s="150"/>
      <c r="B187" s="150" t="s">
        <v>125</v>
      </c>
      <c r="C187" s="150"/>
      <c r="D187" s="170">
        <v>123.2</v>
      </c>
      <c r="E187" s="150"/>
      <c r="F187" s="150"/>
      <c r="G187" s="150"/>
      <c r="H187" s="150"/>
      <c r="I187" s="150"/>
      <c r="J187" s="150"/>
      <c r="K187" s="150"/>
      <c r="L187" s="150"/>
      <c r="M187" s="150"/>
      <c r="N187" s="150"/>
      <c r="X187" s="437">
        <f t="shared" ref="X187:X188" si="101">+X186-0.2%</f>
        <v>2.5999999999999995E-2</v>
      </c>
      <c r="Y187" s="254">
        <v>183.80298246932298</v>
      </c>
      <c r="Z187" s="254">
        <v>1781.3734851832339</v>
      </c>
      <c r="AA187" s="254">
        <v>-558.4259330383851</v>
      </c>
      <c r="AB187" s="254">
        <v>-558.4259330383851</v>
      </c>
      <c r="AC187" s="254">
        <v>1781.3734851832339</v>
      </c>
      <c r="AD187" s="254">
        <v>183.80298246932298</v>
      </c>
      <c r="AE187" s="254">
        <v>75.598097600314745</v>
      </c>
    </row>
    <row r="188" spans="1:31" ht="16.2" outlineLevel="1" x14ac:dyDescent="0.35">
      <c r="A188" s="150"/>
      <c r="B188" s="150" t="s">
        <v>126</v>
      </c>
      <c r="C188" s="150"/>
      <c r="D188" s="170">
        <v>2068.5</v>
      </c>
      <c r="E188" s="150"/>
      <c r="F188" s="150"/>
      <c r="G188" s="150"/>
      <c r="H188" s="150"/>
      <c r="I188" s="150"/>
      <c r="J188" s="150"/>
      <c r="K188" s="150"/>
      <c r="L188" s="150"/>
      <c r="M188" s="150"/>
      <c r="N188" s="150"/>
      <c r="X188" s="437">
        <f t="shared" si="101"/>
        <v>2.3999999999999994E-2</v>
      </c>
      <c r="Y188" s="254">
        <v>121.95587997081633</v>
      </c>
      <c r="Z188" s="254">
        <v>299.17156360808929</v>
      </c>
      <c r="AA188" s="254">
        <v>996.85461566050424</v>
      </c>
      <c r="AB188" s="254">
        <v>996.85461566050424</v>
      </c>
      <c r="AC188" s="254">
        <v>299.17156360808929</v>
      </c>
      <c r="AD188" s="254">
        <v>121.95587997081633</v>
      </c>
      <c r="AE188" s="254">
        <v>62.648695264864337</v>
      </c>
    </row>
    <row r="189" spans="1:31" ht="16.2" outlineLevel="1" x14ac:dyDescent="0.35">
      <c r="A189" s="150"/>
      <c r="B189" s="150" t="s">
        <v>58</v>
      </c>
      <c r="C189" s="150"/>
      <c r="D189" s="170">
        <v>1494.8</v>
      </c>
      <c r="E189" s="150"/>
      <c r="F189" s="150"/>
      <c r="G189" s="150"/>
      <c r="H189" s="150"/>
      <c r="I189" s="150"/>
      <c r="J189" s="150"/>
      <c r="K189" s="150"/>
      <c r="L189" s="150"/>
      <c r="M189" s="150"/>
      <c r="N189" s="150"/>
    </row>
    <row r="190" spans="1:31" ht="16.2" outlineLevel="1" x14ac:dyDescent="0.35">
      <c r="A190" s="150"/>
      <c r="B190" s="150" t="s">
        <v>127</v>
      </c>
      <c r="C190" s="150"/>
      <c r="D190" s="159"/>
      <c r="E190" s="150"/>
      <c r="F190" s="150"/>
      <c r="G190" s="150"/>
      <c r="H190" s="150"/>
      <c r="I190" s="150"/>
      <c r="J190" s="150"/>
      <c r="K190" s="150"/>
      <c r="L190" s="150"/>
      <c r="M190" s="150"/>
      <c r="N190" s="150"/>
    </row>
    <row r="191" spans="1:31" ht="16.2" outlineLevel="1" x14ac:dyDescent="0.35">
      <c r="A191" s="453"/>
      <c r="B191" s="453"/>
      <c r="C191" s="150"/>
      <c r="D191" s="152"/>
      <c r="E191" s="160"/>
      <c r="F191" s="160"/>
      <c r="G191" s="160"/>
      <c r="H191" s="160"/>
      <c r="I191" s="160"/>
      <c r="J191" s="150"/>
      <c r="K191" s="150"/>
      <c r="L191" s="150"/>
      <c r="M191" s="150"/>
      <c r="N191" s="150"/>
    </row>
    <row r="192" spans="1:31" ht="16.2" outlineLevel="1" x14ac:dyDescent="0.35">
      <c r="A192" s="150"/>
      <c r="B192" s="161" t="s">
        <v>128</v>
      </c>
      <c r="C192" s="162"/>
      <c r="D192" s="163" t="s">
        <v>129</v>
      </c>
      <c r="E192" s="163" t="s">
        <v>130</v>
      </c>
      <c r="F192" s="163" t="s">
        <v>131</v>
      </c>
      <c r="G192" s="163" t="s">
        <v>132</v>
      </c>
      <c r="H192" s="163" t="s">
        <v>133</v>
      </c>
      <c r="I192" s="163" t="s">
        <v>134</v>
      </c>
      <c r="J192" s="163" t="s">
        <v>135</v>
      </c>
      <c r="K192" s="163" t="s">
        <v>136</v>
      </c>
      <c r="L192" s="163" t="s">
        <v>137</v>
      </c>
      <c r="Q192" s="161" t="s">
        <v>138</v>
      </c>
      <c r="R192" s="162"/>
      <c r="S192" s="162"/>
    </row>
    <row r="193" spans="1:19" ht="16.2" outlineLevel="1" x14ac:dyDescent="0.35">
      <c r="A193" s="150"/>
      <c r="B193" s="150" t="s">
        <v>139</v>
      </c>
      <c r="C193" s="150"/>
      <c r="D193" s="164">
        <v>44561</v>
      </c>
      <c r="E193" s="164">
        <v>44926</v>
      </c>
      <c r="F193" s="164">
        <v>45291</v>
      </c>
      <c r="G193" s="164">
        <v>45657</v>
      </c>
      <c r="H193" s="164">
        <v>46022</v>
      </c>
      <c r="I193" s="164">
        <v>46387</v>
      </c>
      <c r="J193" s="164">
        <v>46752</v>
      </c>
      <c r="K193" s="164">
        <v>47118</v>
      </c>
      <c r="L193" s="164">
        <f>+K193</f>
        <v>47118</v>
      </c>
      <c r="Q193" s="150" t="s">
        <v>140</v>
      </c>
      <c r="R193" s="150"/>
      <c r="S193" s="165">
        <f>+K201*(1+D182)/(D181-D182)</f>
        <v>10297.942589892449</v>
      </c>
    </row>
    <row r="194" spans="1:19" ht="16.2" outlineLevel="1" x14ac:dyDescent="0.35">
      <c r="A194" s="150"/>
      <c r="B194" s="166" t="s">
        <v>141</v>
      </c>
      <c r="C194" s="166"/>
      <c r="D194" s="166"/>
      <c r="E194" s="173">
        <v>1</v>
      </c>
      <c r="F194" s="173">
        <v>2</v>
      </c>
      <c r="G194" s="173">
        <v>3</v>
      </c>
      <c r="H194" s="173">
        <v>4</v>
      </c>
      <c r="I194" s="173">
        <v>5</v>
      </c>
      <c r="J194" s="173">
        <v>6</v>
      </c>
      <c r="K194" s="173">
        <v>7</v>
      </c>
      <c r="Q194" s="150" t="s">
        <v>356</v>
      </c>
      <c r="R194" s="150"/>
      <c r="S194" s="165">
        <f>+K196*D183</f>
        <v>14433.885315969183</v>
      </c>
    </row>
    <row r="195" spans="1:19" ht="16.2" outlineLevel="1" x14ac:dyDescent="0.35">
      <c r="A195" s="150"/>
      <c r="B195" s="166"/>
      <c r="C195" s="150"/>
      <c r="D195" s="150"/>
      <c r="E195" s="166"/>
      <c r="F195" s="166"/>
      <c r="G195" s="166"/>
      <c r="H195" s="166"/>
      <c r="I195" s="166"/>
      <c r="J195" s="150"/>
      <c r="K195" s="150"/>
      <c r="Q195" s="171" t="s">
        <v>45</v>
      </c>
      <c r="R195" s="171"/>
      <c r="S195" s="194">
        <f>+AVERAGE(S193:S194)</f>
        <v>12365.913952930816</v>
      </c>
    </row>
    <row r="196" spans="1:19" ht="16.2" outlineLevel="1" x14ac:dyDescent="0.35">
      <c r="A196" s="150"/>
      <c r="B196" s="150" t="s">
        <v>43</v>
      </c>
      <c r="C196" s="150"/>
      <c r="D196" s="150"/>
      <c r="E196" s="168">
        <f t="shared" ref="E196:K196" si="102">+I81</f>
        <v>462.72830399999998</v>
      </c>
      <c r="F196" s="168">
        <f t="shared" si="102"/>
        <v>502.53654780000022</v>
      </c>
      <c r="G196" s="168">
        <f t="shared" si="102"/>
        <v>527.52047380200065</v>
      </c>
      <c r="H196" s="168">
        <f t="shared" si="102"/>
        <v>561.92398296300019</v>
      </c>
      <c r="I196" s="168">
        <f t="shared" si="102"/>
        <v>584.36080485416539</v>
      </c>
      <c r="J196" s="168">
        <f t="shared" si="102"/>
        <v>609.26399138141016</v>
      </c>
      <c r="K196" s="168">
        <f t="shared" si="102"/>
        <v>633.06514543724484</v>
      </c>
      <c r="L196" s="11"/>
      <c r="Q196" s="150"/>
      <c r="R196" s="150"/>
      <c r="S196" s="150"/>
    </row>
    <row r="197" spans="1:19" ht="16.2" outlineLevel="1" x14ac:dyDescent="0.35">
      <c r="A197" s="150"/>
      <c r="B197" s="150" t="s">
        <v>142</v>
      </c>
      <c r="C197" s="150"/>
      <c r="D197" s="150"/>
      <c r="E197" s="168">
        <f>-E196*$D$180</f>
        <v>-185.09132160000001</v>
      </c>
      <c r="F197" s="168">
        <f t="shared" ref="F197:K197" si="103">-F196*$D$180</f>
        <v>-201.01461912000011</v>
      </c>
      <c r="G197" s="168">
        <f t="shared" si="103"/>
        <v>-211.00818952080027</v>
      </c>
      <c r="H197" s="168">
        <f t="shared" si="103"/>
        <v>-224.76959318520008</v>
      </c>
      <c r="I197" s="168">
        <f t="shared" si="103"/>
        <v>-233.74432194166616</v>
      </c>
      <c r="J197" s="168">
        <f t="shared" si="103"/>
        <v>-243.70559655256409</v>
      </c>
      <c r="K197" s="168">
        <f t="shared" si="103"/>
        <v>-253.22605817489796</v>
      </c>
      <c r="L197" s="11"/>
      <c r="Q197" s="192" t="s">
        <v>143</v>
      </c>
      <c r="R197" s="192"/>
      <c r="S197" s="192"/>
    </row>
    <row r="198" spans="1:19" ht="16.2" outlineLevel="1" x14ac:dyDescent="0.35">
      <c r="A198" s="150"/>
      <c r="B198" s="150" t="s">
        <v>144</v>
      </c>
      <c r="C198" s="150"/>
      <c r="D198" s="150"/>
      <c r="E198" s="168">
        <f t="shared" ref="E198:K198" si="104">+I79</f>
        <v>544.38624000000004</v>
      </c>
      <c r="F198" s="168">
        <f t="shared" si="104"/>
        <v>569.2238622000001</v>
      </c>
      <c r="G198" s="168">
        <f t="shared" si="104"/>
        <v>606.52112446800015</v>
      </c>
      <c r="H198" s="168">
        <f t="shared" si="104"/>
        <v>634.17135220110015</v>
      </c>
      <c r="I198" s="168">
        <f t="shared" si="104"/>
        <v>653.59786704067812</v>
      </c>
      <c r="J198" s="168">
        <f t="shared" si="104"/>
        <v>669.05157932070767</v>
      </c>
      <c r="K198" s="168">
        <f t="shared" si="104"/>
        <v>679.52864235007041</v>
      </c>
      <c r="L198" s="11"/>
      <c r="Q198" s="7" t="s">
        <v>145</v>
      </c>
      <c r="R198" s="150"/>
      <c r="S198" s="193">
        <f>+((S195*D181)-K201)/(S195+K201)</f>
        <v>3.5245428226624458E-2</v>
      </c>
    </row>
    <row r="199" spans="1:19" ht="16.2" outlineLevel="1" x14ac:dyDescent="0.35">
      <c r="A199" s="150"/>
      <c r="B199" s="150" t="s">
        <v>146</v>
      </c>
      <c r="C199" s="150"/>
      <c r="D199" s="150"/>
      <c r="E199" s="168">
        <f t="shared" ref="E199:K199" si="105">-I145</f>
        <v>-567.06900000000007</v>
      </c>
      <c r="F199" s="168">
        <f t="shared" si="105"/>
        <v>-593.04076020000014</v>
      </c>
      <c r="G199" s="168">
        <f t="shared" si="105"/>
        <v>-632.00520532800022</v>
      </c>
      <c r="H199" s="168">
        <f t="shared" si="105"/>
        <v>-660.92963710410015</v>
      </c>
      <c r="I199" s="168">
        <f t="shared" si="105"/>
        <v>-681.29269191528317</v>
      </c>
      <c r="J199" s="168">
        <f t="shared" si="105"/>
        <v>-697.52185929180166</v>
      </c>
      <c r="K199" s="168">
        <f t="shared" si="105"/>
        <v>-708.56832792058617</v>
      </c>
      <c r="L199" s="11"/>
      <c r="Q199" s="150"/>
      <c r="R199" s="150"/>
      <c r="S199" s="150"/>
    </row>
    <row r="200" spans="1:19" ht="16.2" outlineLevel="1" x14ac:dyDescent="0.35">
      <c r="A200" s="150"/>
      <c r="B200" s="150" t="s">
        <v>147</v>
      </c>
      <c r="C200" s="150"/>
      <c r="D200" s="150"/>
      <c r="E200" s="174">
        <f t="shared" ref="E200:K200" si="106">-I173</f>
        <v>-22.68276000000003</v>
      </c>
      <c r="F200" s="174">
        <f t="shared" si="106"/>
        <v>-23.816898000000037</v>
      </c>
      <c r="G200" s="174">
        <f t="shared" si="106"/>
        <v>-25.484080860000034</v>
      </c>
      <c r="H200" s="174">
        <f t="shared" si="106"/>
        <v>-26.758284903000032</v>
      </c>
      <c r="I200" s="175">
        <f t="shared" si="106"/>
        <v>-27.694824874605047</v>
      </c>
      <c r="J200" s="175">
        <f t="shared" si="106"/>
        <v>-28.470279971093987</v>
      </c>
      <c r="K200" s="175">
        <f t="shared" si="106"/>
        <v>-29.039685570515843</v>
      </c>
      <c r="L200" s="176"/>
      <c r="Q200" s="150"/>
      <c r="R200" s="150"/>
      <c r="S200" s="150"/>
    </row>
    <row r="201" spans="1:19" ht="16.2" outlineLevel="1" x14ac:dyDescent="0.35">
      <c r="A201" s="150"/>
      <c r="B201" s="150" t="s">
        <v>148</v>
      </c>
      <c r="C201" s="150"/>
      <c r="D201" s="168">
        <f>-I215</f>
        <v>-6487.5759999999991</v>
      </c>
      <c r="E201" s="177">
        <f>+SUM(E196:E200)</f>
        <v>232.2714623999999</v>
      </c>
      <c r="F201" s="177">
        <f t="shared" ref="F201:K201" si="107">+SUM(F196:F200)</f>
        <v>253.88813268000001</v>
      </c>
      <c r="G201" s="177">
        <f t="shared" si="107"/>
        <v>265.54412256120031</v>
      </c>
      <c r="H201" s="177">
        <f t="shared" si="107"/>
        <v>283.63781997180013</v>
      </c>
      <c r="I201" s="177">
        <f>+SUM(I196:I200)</f>
        <v>295.22683316328914</v>
      </c>
      <c r="J201" s="177">
        <f t="shared" si="107"/>
        <v>308.61783488665799</v>
      </c>
      <c r="K201" s="177">
        <f t="shared" si="107"/>
        <v>321.75971612131536</v>
      </c>
      <c r="L201" s="177">
        <f>+S193</f>
        <v>10297.942589892449</v>
      </c>
      <c r="Q201" s="150" t="s">
        <v>149</v>
      </c>
      <c r="R201" s="150"/>
      <c r="S201" s="150"/>
    </row>
    <row r="202" spans="1:19" s="5" customFormat="1" ht="16.2" outlineLevel="1" x14ac:dyDescent="0.35">
      <c r="A202" s="150"/>
      <c r="B202" s="180" t="s">
        <v>145</v>
      </c>
      <c r="C202" s="150"/>
      <c r="D202" s="165"/>
      <c r="E202" s="150"/>
      <c r="F202" s="181">
        <f>+F201/E201-1</f>
        <v>9.30664062500004E-2</v>
      </c>
      <c r="G202" s="181">
        <f t="shared" ref="G202:J202" si="108">+G201/F201-1</f>
        <v>4.5909943714822932E-2</v>
      </c>
      <c r="H202" s="181">
        <f t="shared" si="108"/>
        <v>6.8138195777350585E-2</v>
      </c>
      <c r="I202" s="181">
        <f t="shared" si="108"/>
        <v>4.0858490566036743E-2</v>
      </c>
      <c r="J202" s="181">
        <f t="shared" si="108"/>
        <v>4.5358348968104423E-2</v>
      </c>
      <c r="K202" s="181">
        <f>+K201/J201-1</f>
        <v>4.2583025830259746E-2</v>
      </c>
      <c r="Q202" s="150"/>
      <c r="R202" s="150"/>
      <c r="S202" s="150"/>
    </row>
    <row r="203" spans="1:19" s="5" customFormat="1" ht="16.2" outlineLevel="1" x14ac:dyDescent="0.35">
      <c r="A203" s="150"/>
      <c r="B203" s="150" t="s">
        <v>150</v>
      </c>
      <c r="C203" s="150"/>
      <c r="D203" s="150"/>
      <c r="E203" s="182">
        <f>+$D$181</f>
        <v>6.2182400000000006E-2</v>
      </c>
      <c r="F203" s="182">
        <f t="shared" ref="F203:K203" si="109">+$D$181</f>
        <v>6.2182400000000006E-2</v>
      </c>
      <c r="G203" s="182">
        <f t="shared" si="109"/>
        <v>6.2182400000000006E-2</v>
      </c>
      <c r="H203" s="182">
        <f t="shared" si="109"/>
        <v>6.2182400000000006E-2</v>
      </c>
      <c r="I203" s="182">
        <f t="shared" si="109"/>
        <v>6.2182400000000006E-2</v>
      </c>
      <c r="J203" s="182">
        <f t="shared" si="109"/>
        <v>6.2182400000000006E-2</v>
      </c>
      <c r="K203" s="182">
        <f t="shared" si="109"/>
        <v>6.2182400000000006E-2</v>
      </c>
      <c r="L203" s="3"/>
      <c r="Q203" s="150"/>
      <c r="R203" s="150"/>
      <c r="S203" s="150"/>
    </row>
    <row r="204" spans="1:19" s="5" customFormat="1" ht="16.8" outlineLevel="1" thickBot="1" x14ac:dyDescent="0.4">
      <c r="A204" s="150"/>
      <c r="B204" s="150" t="s">
        <v>151</v>
      </c>
      <c r="C204" s="150"/>
      <c r="D204" s="150"/>
      <c r="E204" s="183">
        <f>1/((1+E203)^E194)</f>
        <v>0.94145788896520977</v>
      </c>
      <c r="F204" s="183">
        <f>+E204*1/(1+F203)</f>
        <v>0.88634295669482921</v>
      </c>
      <c r="G204" s="183">
        <f t="shared" ref="G204:K204" si="110">+F204*1/(1+G203)</f>
        <v>0.83445456890909619</v>
      </c>
      <c r="H204" s="183">
        <f t="shared" si="110"/>
        <v>0.78560383688253188</v>
      </c>
      <c r="I204" s="183">
        <f t="shared" si="110"/>
        <v>0.73961292983439741</v>
      </c>
      <c r="J204" s="183">
        <f t="shared" si="110"/>
        <v>0.69631442757326556</v>
      </c>
      <c r="K204" s="183">
        <f t="shared" si="110"/>
        <v>0.65555071103914508</v>
      </c>
      <c r="L204" s="184"/>
      <c r="Q204" s="150"/>
      <c r="R204" s="150"/>
      <c r="S204" s="150"/>
    </row>
    <row r="205" spans="1:19" s="5" customFormat="1" ht="16.8" outlineLevel="1" thickTop="1" x14ac:dyDescent="0.35">
      <c r="A205" s="150"/>
      <c r="B205" s="150" t="s">
        <v>152</v>
      </c>
      <c r="C205" s="150"/>
      <c r="E205" s="165">
        <f>+E201*E204</f>
        <v>218.67380065796601</v>
      </c>
      <c r="F205" s="165">
        <f t="shared" ref="F205:K205" si="111">+F201*F204</f>
        <v>225.03195818932031</v>
      </c>
      <c r="G205" s="165">
        <f t="shared" si="111"/>
        <v>221.5845063181506</v>
      </c>
      <c r="H205" s="165">
        <f t="shared" si="111"/>
        <v>222.82695965484302</v>
      </c>
      <c r="I205" s="165">
        <f t="shared" si="111"/>
        <v>218.35358304163111</v>
      </c>
      <c r="J205" s="165">
        <f t="shared" si="111"/>
        <v>214.89505103800386</v>
      </c>
      <c r="K205" s="165">
        <f t="shared" si="111"/>
        <v>210.92981068708175</v>
      </c>
      <c r="L205" s="165">
        <f>+K204*L201</f>
        <v>6750.8235870442904</v>
      </c>
      <c r="Q205" s="150"/>
      <c r="R205" s="150"/>
      <c r="S205" s="150"/>
    </row>
    <row r="206" spans="1:19" s="5" customFormat="1" ht="16.2" outlineLevel="1" x14ac:dyDescent="0.35">
      <c r="A206" s="150"/>
      <c r="B206" s="150"/>
      <c r="C206" s="150"/>
      <c r="D206" s="150"/>
      <c r="E206" s="165"/>
      <c r="F206" s="165"/>
      <c r="G206" s="165"/>
      <c r="H206" s="165"/>
      <c r="I206" s="165"/>
      <c r="J206" s="165"/>
      <c r="K206" s="165"/>
      <c r="L206" s="185"/>
      <c r="Q206" s="150"/>
      <c r="R206" s="150"/>
      <c r="S206" s="150"/>
    </row>
    <row r="207" spans="1:19" s="5" customFormat="1" ht="16.2" outlineLevel="1" x14ac:dyDescent="0.35">
      <c r="A207" s="150"/>
      <c r="B207" s="150" t="s">
        <v>38</v>
      </c>
      <c r="C207" s="150"/>
      <c r="D207" s="150"/>
      <c r="E207" s="165">
        <f>+E196+E198</f>
        <v>1007.114544</v>
      </c>
      <c r="F207" s="165">
        <f t="shared" ref="F207:J207" si="112">+F196+F198</f>
        <v>1071.7604100000003</v>
      </c>
      <c r="G207" s="165">
        <f t="shared" si="112"/>
        <v>1134.0415982700008</v>
      </c>
      <c r="H207" s="165">
        <f t="shared" si="112"/>
        <v>1196.0953351641003</v>
      </c>
      <c r="I207" s="165">
        <f t="shared" si="112"/>
        <v>1237.9586718948435</v>
      </c>
      <c r="J207" s="165">
        <f t="shared" si="112"/>
        <v>1278.3155707021178</v>
      </c>
      <c r="K207" s="165">
        <f>+K196+K198</f>
        <v>1312.5937877873153</v>
      </c>
      <c r="L207" s="185"/>
      <c r="Q207" s="150"/>
      <c r="R207" s="150"/>
      <c r="S207" s="150"/>
    </row>
    <row r="208" spans="1:19" s="5" customFormat="1" ht="16.2" outlineLevel="1" x14ac:dyDescent="0.35">
      <c r="A208" s="150"/>
      <c r="B208" s="150" t="s">
        <v>145</v>
      </c>
      <c r="C208" s="150"/>
      <c r="D208" s="165"/>
      <c r="E208" s="165"/>
      <c r="F208" s="186">
        <f>+F207/E207-1</f>
        <v>6.4189189189189477E-2</v>
      </c>
      <c r="G208" s="186">
        <f t="shared" ref="G208:K208" si="113">+G207/F207-1</f>
        <v>5.8111111111111446E-2</v>
      </c>
      <c r="H208" s="186">
        <f t="shared" si="113"/>
        <v>5.4719101123595015E-2</v>
      </c>
      <c r="I208" s="186">
        <f t="shared" si="113"/>
        <v>3.4999999999999698E-2</v>
      </c>
      <c r="J208" s="186">
        <f t="shared" si="113"/>
        <v>3.2599552572706969E-2</v>
      </c>
      <c r="K208" s="186">
        <f t="shared" si="113"/>
        <v>2.6815144766147325E-2</v>
      </c>
      <c r="Q208" s="150"/>
      <c r="R208" s="150"/>
      <c r="S208" s="150"/>
    </row>
    <row r="209" spans="1:19" ht="16.2" outlineLevel="1" x14ac:dyDescent="0.35">
      <c r="A209" s="453"/>
      <c r="B209" s="453"/>
      <c r="C209" s="150"/>
      <c r="D209" s="151"/>
      <c r="E209" s="150"/>
      <c r="F209" s="160"/>
      <c r="G209" s="150"/>
      <c r="H209" s="150"/>
      <c r="I209" s="150"/>
      <c r="J209" s="150"/>
      <c r="K209" s="160"/>
      <c r="Q209" s="150"/>
      <c r="R209" s="150"/>
      <c r="S209" s="150"/>
    </row>
    <row r="210" spans="1:19" ht="16.2" outlineLevel="1" x14ac:dyDescent="0.35">
      <c r="A210" s="150"/>
      <c r="B210" s="161" t="s">
        <v>153</v>
      </c>
      <c r="C210" s="162"/>
      <c r="D210" s="162"/>
      <c r="E210" s="150"/>
      <c r="F210" s="160"/>
      <c r="G210" s="161" t="s">
        <v>154</v>
      </c>
      <c r="H210" s="162"/>
      <c r="I210" s="162"/>
      <c r="J210" s="150"/>
      <c r="K210" s="160"/>
      <c r="Q210" s="161" t="s">
        <v>155</v>
      </c>
      <c r="R210" s="162"/>
      <c r="S210" s="162"/>
    </row>
    <row r="211" spans="1:19" ht="16.2" outlineLevel="1" x14ac:dyDescent="0.35">
      <c r="A211" s="150"/>
      <c r="B211" s="150" t="s">
        <v>156</v>
      </c>
      <c r="C211" s="150"/>
      <c r="D211" s="165">
        <f>+SUM(E205:L205)</f>
        <v>8283.1192566312875</v>
      </c>
      <c r="E211" s="150"/>
      <c r="F211" s="160"/>
      <c r="G211" s="150" t="s">
        <v>157</v>
      </c>
      <c r="H211" s="150"/>
      <c r="I211" s="178">
        <f>+D186*D187</f>
        <v>5904.9759999999997</v>
      </c>
      <c r="J211" s="150"/>
      <c r="K211" s="160"/>
      <c r="Q211" s="457" t="s">
        <v>158</v>
      </c>
      <c r="R211" s="457"/>
      <c r="S211" s="197">
        <f>+D217/I217-1</f>
        <v>0.30708732036019915</v>
      </c>
    </row>
    <row r="212" spans="1:19" ht="16.2" outlineLevel="1" x14ac:dyDescent="0.35">
      <c r="A212" s="150"/>
      <c r="B212" s="150" t="s">
        <v>159</v>
      </c>
      <c r="C212" s="150"/>
      <c r="D212" s="165">
        <f>+D189</f>
        <v>1494.8</v>
      </c>
      <c r="E212" s="150"/>
      <c r="F212" s="160"/>
      <c r="G212" s="150" t="s">
        <v>160</v>
      </c>
      <c r="H212" s="150"/>
      <c r="I212" s="178">
        <f>+D188</f>
        <v>2068.5</v>
      </c>
      <c r="J212" s="150"/>
      <c r="K212" s="160"/>
      <c r="Q212" s="457" t="s">
        <v>161</v>
      </c>
      <c r="R212" s="457"/>
      <c r="S212" s="197">
        <f>+XIRR(D201:L201,D193:L193)</f>
        <v>0.10345476269721984</v>
      </c>
    </row>
    <row r="213" spans="1:19" ht="16.2" outlineLevel="1" x14ac:dyDescent="0.35">
      <c r="A213" s="150"/>
      <c r="B213" s="150" t="s">
        <v>162</v>
      </c>
      <c r="C213" s="150"/>
      <c r="D213" s="165">
        <f>-D188</f>
        <v>-2068.5</v>
      </c>
      <c r="E213" s="150"/>
      <c r="F213" s="160"/>
      <c r="G213" s="150" t="s">
        <v>163</v>
      </c>
      <c r="H213" s="150"/>
      <c r="I213" s="178">
        <f>-D189</f>
        <v>-1494.8</v>
      </c>
      <c r="J213" s="150"/>
      <c r="K213" s="160"/>
      <c r="Q213" s="150"/>
      <c r="R213" s="150"/>
      <c r="S213" s="150"/>
    </row>
    <row r="214" spans="1:19" ht="16.2" outlineLevel="1" x14ac:dyDescent="0.35">
      <c r="A214" s="150"/>
      <c r="B214" s="150" t="s">
        <v>164</v>
      </c>
      <c r="C214" s="150"/>
      <c r="D214" s="165">
        <v>8.9</v>
      </c>
      <c r="E214" s="150"/>
      <c r="F214" s="160"/>
      <c r="G214" s="150" t="s">
        <v>165</v>
      </c>
      <c r="H214" s="150"/>
      <c r="I214" s="178">
        <v>8.9</v>
      </c>
      <c r="J214" s="150"/>
      <c r="K214" s="160"/>
      <c r="Q214" s="150"/>
      <c r="R214" s="150"/>
      <c r="S214" s="150"/>
    </row>
    <row r="215" spans="1:19" ht="16.2" outlineLevel="1" x14ac:dyDescent="0.35">
      <c r="A215" s="150"/>
      <c r="B215" s="150" t="s">
        <v>166</v>
      </c>
      <c r="C215" s="150"/>
      <c r="D215" s="167">
        <f>+SUM(D211:D214)</f>
        <v>7718.3192566312864</v>
      </c>
      <c r="E215" s="150"/>
      <c r="F215" s="160"/>
      <c r="G215" s="150" t="s">
        <v>156</v>
      </c>
      <c r="H215" s="150"/>
      <c r="I215" s="179">
        <f>+SUM(I211:I214)</f>
        <v>6487.5759999999991</v>
      </c>
      <c r="J215" s="150"/>
      <c r="K215" s="160"/>
      <c r="Q215" s="161" t="s">
        <v>167</v>
      </c>
      <c r="R215" s="162"/>
      <c r="S215" s="162"/>
    </row>
    <row r="216" spans="1:19" ht="16.2" outlineLevel="1" x14ac:dyDescent="0.35">
      <c r="A216" s="453"/>
      <c r="B216" s="453"/>
      <c r="C216" s="150"/>
      <c r="D216" s="150"/>
      <c r="E216" s="150"/>
      <c r="F216" s="160"/>
      <c r="G216" s="150"/>
      <c r="H216" s="150"/>
      <c r="I216" s="150"/>
      <c r="J216" s="150"/>
      <c r="K216" s="160"/>
      <c r="Q216" s="171" t="s">
        <v>154</v>
      </c>
      <c r="R216" s="171"/>
      <c r="S216" s="171">
        <f>+I217</f>
        <v>47.929999999999993</v>
      </c>
    </row>
    <row r="217" spans="1:19" ht="16.2" outlineLevel="1" x14ac:dyDescent="0.35">
      <c r="A217" s="150"/>
      <c r="B217" s="187" t="s">
        <v>168</v>
      </c>
      <c r="C217" s="171"/>
      <c r="D217" s="196">
        <f>+D215/D187</f>
        <v>62.648695264864337</v>
      </c>
      <c r="E217" s="150"/>
      <c r="F217" s="160"/>
      <c r="G217" s="171" t="s">
        <v>168</v>
      </c>
      <c r="H217" s="171"/>
      <c r="I217" s="196">
        <f>+I211/D187</f>
        <v>47.929999999999993</v>
      </c>
      <c r="J217" s="150"/>
      <c r="K217" s="160"/>
      <c r="Q217" s="171" t="s">
        <v>158</v>
      </c>
      <c r="R217" s="171"/>
      <c r="S217" s="172">
        <f>+D217-I217</f>
        <v>14.718695264864344</v>
      </c>
    </row>
    <row r="218" spans="1:19" ht="16.2" outlineLevel="1" x14ac:dyDescent="0.35">
      <c r="A218" s="150"/>
      <c r="B218" s="187"/>
      <c r="C218" s="150"/>
      <c r="D218" s="188"/>
      <c r="E218" s="150"/>
      <c r="F218" s="160"/>
      <c r="G218" s="150"/>
      <c r="H218" s="150"/>
      <c r="I218" s="150"/>
      <c r="J218" s="150"/>
      <c r="K218" s="160"/>
      <c r="Q218" s="171" t="s">
        <v>153</v>
      </c>
      <c r="R218" s="171"/>
      <c r="S218" s="172">
        <f>+SUM(S216:S217)</f>
        <v>62.648695264864337</v>
      </c>
    </row>
    <row r="219" spans="1:19" ht="16.2" outlineLevel="1" x14ac:dyDescent="0.35">
      <c r="A219" s="453"/>
      <c r="B219" s="453"/>
      <c r="C219" s="150"/>
      <c r="D219" s="151"/>
      <c r="E219" s="150"/>
      <c r="F219" s="160"/>
      <c r="G219" s="150"/>
      <c r="H219" s="150"/>
      <c r="I219" s="169"/>
      <c r="J219" s="150"/>
      <c r="K219" s="160"/>
      <c r="L219" s="150"/>
      <c r="M219" s="150"/>
      <c r="N219" s="150"/>
    </row>
    <row r="221" spans="1:19" ht="20.399999999999999" x14ac:dyDescent="0.35">
      <c r="A221" s="60" t="s">
        <v>169</v>
      </c>
      <c r="B221" s="60"/>
      <c r="C221" s="60"/>
      <c r="D221" s="60"/>
      <c r="E221" s="60"/>
      <c r="F221" s="60"/>
      <c r="G221" s="60"/>
      <c r="H221" s="60"/>
      <c r="I221" s="60"/>
      <c r="J221" s="60"/>
      <c r="K221" s="60"/>
      <c r="L221" s="60"/>
      <c r="M221" s="60"/>
      <c r="N221" s="60"/>
      <c r="O221" s="60"/>
    </row>
    <row r="223" spans="1:19" x14ac:dyDescent="0.3">
      <c r="B223" s="454" t="s">
        <v>171</v>
      </c>
      <c r="C223" s="451" t="s">
        <v>170</v>
      </c>
      <c r="D223" s="451"/>
      <c r="E223" s="451"/>
      <c r="F223" s="451"/>
      <c r="G223" s="451"/>
      <c r="H223" s="451"/>
      <c r="I223" s="451"/>
      <c r="J223" s="452"/>
    </row>
    <row r="224" spans="1:19" x14ac:dyDescent="0.3">
      <c r="B224" s="455"/>
      <c r="C224" s="265">
        <f>+$D$217</f>
        <v>62.648695264864337</v>
      </c>
      <c r="D224" s="266">
        <v>4.7199999999999999E-2</v>
      </c>
      <c r="E224" s="266">
        <v>5.2200000000000003E-2</v>
      </c>
      <c r="F224" s="266">
        <v>5.7200000000000001E-2</v>
      </c>
      <c r="G224" s="267">
        <v>6.2199999999999998E-2</v>
      </c>
      <c r="H224" s="266">
        <v>6.7199999999999996E-2</v>
      </c>
      <c r="I224" s="266">
        <v>7.22E-2</v>
      </c>
      <c r="J224" s="268">
        <v>7.7200000000000005E-2</v>
      </c>
      <c r="L224" s="250"/>
      <c r="M224" s="248"/>
      <c r="N224" s="248"/>
      <c r="O224" s="248"/>
      <c r="P224" s="248"/>
      <c r="Q224" s="248"/>
      <c r="R224" s="248"/>
      <c r="S224" s="248"/>
    </row>
    <row r="225" spans="2:19" ht="15.75" customHeight="1" x14ac:dyDescent="0.3">
      <c r="B225" s="455"/>
      <c r="C225" s="266">
        <v>3.5999999999999997E-2</v>
      </c>
      <c r="D225" s="269">
        <f t="dataTable" ref="D225:J231" dt2D="1" dtr="1" r1="D181" r2="D182" ca="1"/>
        <v>183.50616147260934</v>
      </c>
      <c r="E225" s="269">
        <v>125.30119653845972</v>
      </c>
      <c r="F225" s="269">
        <v>94.553793357467967</v>
      </c>
      <c r="G225" s="269">
        <v>75.543919676704618</v>
      </c>
      <c r="H225" s="269">
        <v>62.628488559229048</v>
      </c>
      <c r="I225" s="269">
        <v>53.28214195151714</v>
      </c>
      <c r="J225" s="270">
        <v>46.205424859295903</v>
      </c>
      <c r="L225" s="248"/>
      <c r="M225" s="249"/>
      <c r="N225" s="249"/>
      <c r="O225" s="249"/>
      <c r="P225" s="249"/>
      <c r="Q225" s="249"/>
      <c r="R225" s="249"/>
      <c r="S225" s="249"/>
    </row>
    <row r="226" spans="2:19" ht="15.75" customHeight="1" x14ac:dyDescent="0.3">
      <c r="B226" s="455"/>
      <c r="C226" s="266">
        <v>3.4000000000000002E-2</v>
      </c>
      <c r="D226" s="269">
        <v>156.71563780156654</v>
      </c>
      <c r="E226" s="271">
        <v>112.24625983105338</v>
      </c>
      <c r="F226" s="271">
        <v>86.947305341963741</v>
      </c>
      <c r="G226" s="271">
        <v>70.621679784976124</v>
      </c>
      <c r="H226" s="271">
        <v>59.215118452349834</v>
      </c>
      <c r="I226" s="271">
        <v>50.796009816614387</v>
      </c>
      <c r="J226" s="270">
        <v>44.327008219962096</v>
      </c>
      <c r="L226" s="248"/>
      <c r="M226" s="249"/>
      <c r="N226" s="249"/>
      <c r="O226" s="249"/>
      <c r="P226" s="249"/>
      <c r="Q226" s="249"/>
      <c r="R226" s="249"/>
      <c r="S226" s="249"/>
    </row>
    <row r="227" spans="2:19" x14ac:dyDescent="0.3">
      <c r="B227" s="455"/>
      <c r="C227" s="266">
        <v>3.2000000000000001E-2</v>
      </c>
      <c r="D227" s="269">
        <v>136.97525193869285</v>
      </c>
      <c r="E227" s="271">
        <v>101.77645910531162</v>
      </c>
      <c r="F227" s="272">
        <v>80.548196376539522</v>
      </c>
      <c r="G227" s="272">
        <v>66.351392196787785</v>
      </c>
      <c r="H227" s="272">
        <v>56.189631312161424</v>
      </c>
      <c r="I227" s="271">
        <v>48.557254013542746</v>
      </c>
      <c r="J227" s="270">
        <v>42.61482314163127</v>
      </c>
      <c r="L227" s="248"/>
      <c r="M227" s="249"/>
      <c r="N227" s="249"/>
      <c r="O227" s="249"/>
      <c r="P227" s="249"/>
      <c r="Q227" s="249"/>
      <c r="R227" s="249"/>
      <c r="S227" s="249"/>
    </row>
    <row r="228" spans="2:19" x14ac:dyDescent="0.3">
      <c r="B228" s="455"/>
      <c r="C228" s="267">
        <v>0.03</v>
      </c>
      <c r="D228" s="269">
        <v>121.82565348578976</v>
      </c>
      <c r="E228" s="271">
        <v>93.193108960784585</v>
      </c>
      <c r="F228" s="272">
        <v>75.090132847207087</v>
      </c>
      <c r="G228" s="273">
        <v>62.611575116448954</v>
      </c>
      <c r="H228" s="272">
        <v>53.489465369842748</v>
      </c>
      <c r="I228" s="271">
        <v>46.53070255199448</v>
      </c>
      <c r="J228" s="270">
        <v>41.047738493667467</v>
      </c>
      <c r="L228" s="248"/>
      <c r="M228" s="249"/>
      <c r="N228" s="249"/>
      <c r="O228" s="249"/>
      <c r="P228" s="249"/>
      <c r="Q228" s="249"/>
      <c r="R228" s="249"/>
      <c r="S228" s="249"/>
    </row>
    <row r="229" spans="2:19" x14ac:dyDescent="0.3">
      <c r="B229" s="455"/>
      <c r="C229" s="266">
        <v>2.8000000000000001E-2</v>
      </c>
      <c r="D229" s="269">
        <v>109.83222137724152</v>
      </c>
      <c r="E229" s="271">
        <v>86.028494377336429</v>
      </c>
      <c r="F229" s="272">
        <v>70.379749253399652</v>
      </c>
      <c r="G229" s="272">
        <v>59.30916354258251</v>
      </c>
      <c r="H229" s="272">
        <v>51.064826564495355</v>
      </c>
      <c r="I229" s="271">
        <v>44.687549412758273</v>
      </c>
      <c r="J229" s="270">
        <v>39.608059101635689</v>
      </c>
      <c r="L229" s="248"/>
      <c r="M229" s="249"/>
      <c r="N229" s="249"/>
      <c r="O229" s="249"/>
      <c r="P229" s="249"/>
      <c r="Q229" s="249"/>
      <c r="R229" s="249"/>
      <c r="S229" s="249"/>
    </row>
    <row r="230" spans="2:19" x14ac:dyDescent="0.3">
      <c r="B230" s="455"/>
      <c r="C230" s="266">
        <v>2.5999999999999999E-2</v>
      </c>
      <c r="D230" s="269">
        <v>100.10170098728727</v>
      </c>
      <c r="E230" s="271">
        <v>79.957714081437558</v>
      </c>
      <c r="F230" s="271">
        <v>66.273260992131611</v>
      </c>
      <c r="G230" s="271">
        <v>56.371659324944375</v>
      </c>
      <c r="H230" s="271">
        <v>48.875589584909854</v>
      </c>
      <c r="I230" s="271">
        <v>43.003976631897494</v>
      </c>
      <c r="J230" s="270">
        <v>38.280854662106378</v>
      </c>
      <c r="L230" s="248"/>
      <c r="M230" s="249"/>
      <c r="N230" s="249"/>
      <c r="O230" s="249"/>
      <c r="P230" s="249"/>
      <c r="Q230" s="249"/>
      <c r="R230" s="249"/>
      <c r="S230" s="249"/>
    </row>
    <row r="231" spans="2:19" x14ac:dyDescent="0.3">
      <c r="B231" s="456"/>
      <c r="C231" s="266">
        <v>2.4E-2</v>
      </c>
      <c r="D231" s="274">
        <v>92.04885652663549</v>
      </c>
      <c r="E231" s="274">
        <v>74.748037373609506</v>
      </c>
      <c r="F231" s="274">
        <v>62.661530352703124</v>
      </c>
      <c r="G231" s="274">
        <v>53.741747171980407</v>
      </c>
      <c r="H231" s="274">
        <v>46.88905973306376</v>
      </c>
      <c r="I231" s="274">
        <v>41.460119434510652</v>
      </c>
      <c r="J231" s="275">
        <v>37.053440030060486</v>
      </c>
      <c r="L231" s="248"/>
      <c r="M231" s="249"/>
      <c r="N231" s="249"/>
      <c r="O231" s="249"/>
      <c r="P231" s="249"/>
      <c r="Q231" s="249"/>
      <c r="R231" s="249"/>
      <c r="S231" s="249"/>
    </row>
    <row r="234" spans="2:19" x14ac:dyDescent="0.3">
      <c r="D234" s="248"/>
      <c r="E234" s="248"/>
      <c r="F234" s="248"/>
      <c r="G234" s="248"/>
      <c r="H234" s="248"/>
      <c r="I234" s="248"/>
      <c r="J234" s="248"/>
    </row>
    <row r="235" spans="2:19" x14ac:dyDescent="0.3">
      <c r="C235" s="435"/>
    </row>
    <row r="236" spans="2:19" x14ac:dyDescent="0.3">
      <c r="C236" s="435"/>
    </row>
    <row r="237" spans="2:19" x14ac:dyDescent="0.3">
      <c r="C237" s="435"/>
    </row>
    <row r="238" spans="2:19" x14ac:dyDescent="0.3">
      <c r="C238" s="435"/>
    </row>
    <row r="239" spans="2:19" x14ac:dyDescent="0.3">
      <c r="C239" s="435"/>
    </row>
    <row r="240" spans="2:19" x14ac:dyDescent="0.3">
      <c r="C240" s="435"/>
    </row>
    <row r="241" spans="3:3" x14ac:dyDescent="0.3">
      <c r="C241" s="435"/>
    </row>
  </sheetData>
  <sheetProtection formatCells="0" formatColumns="0" formatRows="0" insertColumns="0" insertRows="0" insertHyperlinks="0" deleteColumns="0" deleteRows="0" sort="0" autoFilter="0" pivotTables="0"/>
  <customSheetViews>
    <customSheetView guid="{66FAC9CC-22A3-466B-8EC3-835518DDE015}" scale="107" showGridLines="0">
      <pane ySplit="4" topLeftCell="A5" activePane="bottomLeft" state="frozen"/>
      <selection pane="bottomLeft" activeCell="B6" sqref="B6"/>
      <pageMargins left="0" right="0" top="0" bottom="0" header="0" footer="0"/>
      <pageSetup scale="78" orientation="landscape" r:id="rId1"/>
    </customSheetView>
  </customSheetViews>
  <mergeCells count="10">
    <mergeCell ref="C223:J223"/>
    <mergeCell ref="A216:B216"/>
    <mergeCell ref="A219:B219"/>
    <mergeCell ref="B223:B231"/>
    <mergeCell ref="R6:Z6"/>
    <mergeCell ref="Q211:R211"/>
    <mergeCell ref="Q212:R212"/>
    <mergeCell ref="A178:B178"/>
    <mergeCell ref="A191:B191"/>
    <mergeCell ref="A209:B209"/>
  </mergeCells>
  <conditionalFormatting sqref="N3:O3 D3:M4">
    <cfRule type="containsText" dxfId="1" priority="1" operator="containsText" text="OK">
      <formula>NOT(ISERROR(SEARCH("OK",D3)))</formula>
    </cfRule>
    <cfRule type="containsText" dxfId="0" priority="2" operator="containsText" text="ERROR">
      <formula>NOT(ISERROR(SEARCH("ERROR",D3)))</formula>
    </cfRule>
  </conditionalFormatting>
  <pageMargins left="0.70866141732283472" right="0.70866141732283472" top="0.74803149606299213" bottom="0.74803149606299213" header="0.31496062992125984" footer="0.31496062992125984"/>
  <pageSetup scale="78" orientation="landscape" r:id="rId2"/>
  <customProperties>
    <customPr name="Guid" r:id="rId3"/>
  </customProperties>
  <drawing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'Additional Assumptions'!$O$4:$O$6</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E1B3-F458-45D3-A7B4-93CE45A28973}">
  <dimension ref="A1:J87"/>
  <sheetViews>
    <sheetView showGridLines="0" topLeftCell="A38" zoomScale="85" zoomScaleNormal="85" workbookViewId="0">
      <selection activeCell="M21" sqref="M21"/>
    </sheetView>
  </sheetViews>
  <sheetFormatPr defaultColWidth="11.5546875" defaultRowHeight="14.4" x14ac:dyDescent="0.3"/>
  <cols>
    <col min="1" max="1" width="51.109375" bestFit="1" customWidth="1"/>
    <col min="2" max="2" width="11.77734375" customWidth="1"/>
    <col min="4" max="4" width="12.109375" bestFit="1" customWidth="1"/>
  </cols>
  <sheetData>
    <row r="1" spans="1:9" x14ac:dyDescent="0.3">
      <c r="A1" s="276"/>
      <c r="B1" s="458" t="s">
        <v>174</v>
      </c>
      <c r="C1" s="458"/>
      <c r="D1" s="458"/>
      <c r="E1" s="458"/>
      <c r="F1" s="458"/>
      <c r="G1" s="458"/>
      <c r="H1" s="458"/>
    </row>
    <row r="2" spans="1:9" x14ac:dyDescent="0.3">
      <c r="A2" s="277" t="s">
        <v>324</v>
      </c>
      <c r="B2" s="278" t="s">
        <v>130</v>
      </c>
      <c r="C2" s="278" t="s">
        <v>131</v>
      </c>
      <c r="D2" s="278" t="s">
        <v>132</v>
      </c>
      <c r="E2" s="278" t="s">
        <v>133</v>
      </c>
      <c r="F2" s="278" t="s">
        <v>134</v>
      </c>
      <c r="G2" s="278" t="s">
        <v>135</v>
      </c>
      <c r="H2" s="278">
        <v>2028</v>
      </c>
      <c r="I2">
        <v>2019</v>
      </c>
    </row>
    <row r="3" spans="1:9" x14ac:dyDescent="0.3">
      <c r="A3" t="s">
        <v>325</v>
      </c>
      <c r="B3" s="252">
        <v>1.5</v>
      </c>
    </row>
    <row r="4" spans="1:9" x14ac:dyDescent="0.3">
      <c r="A4" t="s">
        <v>326</v>
      </c>
      <c r="B4" s="254">
        <f>+B3*E38</f>
        <v>253.40764760263585</v>
      </c>
    </row>
    <row r="5" spans="1:9" x14ac:dyDescent="0.3">
      <c r="A5" t="s">
        <v>327</v>
      </c>
      <c r="C5" s="108">
        <v>0.66777699999999995</v>
      </c>
      <c r="D5" s="108">
        <v>0.33333000000000002</v>
      </c>
      <c r="E5" s="108">
        <v>0</v>
      </c>
      <c r="F5" s="108">
        <v>0</v>
      </c>
    </row>
    <row r="7" spans="1:9" x14ac:dyDescent="0.3">
      <c r="A7" t="s">
        <v>328</v>
      </c>
      <c r="B7" s="108">
        <f>+WACC!E5</f>
        <v>1.3899999999999999E-2</v>
      </c>
    </row>
    <row r="8" spans="1:9" x14ac:dyDescent="0.3">
      <c r="A8" t="s">
        <v>329</v>
      </c>
      <c r="B8" s="108">
        <f>+WACC!E6</f>
        <v>9.3700000000000006E-2</v>
      </c>
    </row>
    <row r="9" spans="1:9" x14ac:dyDescent="0.3">
      <c r="A9" t="s">
        <v>330</v>
      </c>
      <c r="B9">
        <v>0.77</v>
      </c>
    </row>
    <row r="11" spans="1:9" x14ac:dyDescent="0.3">
      <c r="A11" t="s">
        <v>331</v>
      </c>
      <c r="B11" s="108">
        <f>+B7+B9*(B8-B7)</f>
        <v>7.534600000000001E-2</v>
      </c>
    </row>
    <row r="13" spans="1:9" x14ac:dyDescent="0.3">
      <c r="A13" t="s">
        <v>332</v>
      </c>
      <c r="B13" s="252">
        <v>3.3316999999999999E-2</v>
      </c>
    </row>
    <row r="14" spans="1:9" x14ac:dyDescent="0.3">
      <c r="A14" t="s">
        <v>333</v>
      </c>
      <c r="B14" s="108">
        <f>1-B15</f>
        <v>0.53360000000000007</v>
      </c>
    </row>
    <row r="15" spans="1:9" x14ac:dyDescent="0.3">
      <c r="A15" t="s">
        <v>334</v>
      </c>
      <c r="B15" s="108">
        <v>0.46639999999999998</v>
      </c>
    </row>
    <row r="17" spans="1:10" x14ac:dyDescent="0.3">
      <c r="A17" t="s">
        <v>335</v>
      </c>
      <c r="B17" s="108">
        <f>+B11*B14+B13*B15*(1-0.4)</f>
        <v>4.9528054880000005E-2</v>
      </c>
    </row>
    <row r="18" spans="1:10" x14ac:dyDescent="0.3">
      <c r="A18" t="s">
        <v>336</v>
      </c>
      <c r="B18" s="252">
        <v>0.02</v>
      </c>
    </row>
    <row r="21" spans="1:10" x14ac:dyDescent="0.3">
      <c r="A21" s="278" t="s">
        <v>337</v>
      </c>
      <c r="B21" s="278" t="s">
        <v>130</v>
      </c>
      <c r="C21" s="278" t="s">
        <v>131</v>
      </c>
      <c r="D21" s="278" t="s">
        <v>132</v>
      </c>
      <c r="E21" s="278" t="s">
        <v>133</v>
      </c>
      <c r="F21" s="278" t="s">
        <v>134</v>
      </c>
      <c r="G21" s="278" t="s">
        <v>135</v>
      </c>
      <c r="H21" s="278" t="s">
        <v>136</v>
      </c>
      <c r="J21" s="253" t="s">
        <v>309</v>
      </c>
    </row>
    <row r="23" spans="1:10" x14ac:dyDescent="0.3">
      <c r="A23" t="s">
        <v>254</v>
      </c>
      <c r="B23" s="108"/>
      <c r="C23" s="108">
        <v>0.02</v>
      </c>
      <c r="D23" s="108">
        <f>+C23+1%</f>
        <v>0.03</v>
      </c>
      <c r="E23" s="108">
        <f t="shared" ref="E23:G23" si="0">+D23+1%</f>
        <v>0.04</v>
      </c>
      <c r="F23" s="108">
        <f t="shared" si="0"/>
        <v>0.05</v>
      </c>
      <c r="G23" s="108">
        <f t="shared" si="0"/>
        <v>6.0000000000000005E-2</v>
      </c>
      <c r="H23" s="108"/>
    </row>
    <row r="25" spans="1:10" x14ac:dyDescent="0.3">
      <c r="A25" s="251" t="s">
        <v>338</v>
      </c>
      <c r="C25" s="254">
        <f>+C23*'DCF &amp; Sensitivity Model'!J70</f>
        <v>47.633796000000011</v>
      </c>
      <c r="D25" s="254">
        <f>+D23*'DCF &amp; Sensitivity Model'!K70</f>
        <v>76.452242580000018</v>
      </c>
      <c r="E25" s="254">
        <f>+E23*'DCF &amp; Sensitivity Model'!L70</f>
        <v>107.03313961200003</v>
      </c>
      <c r="F25" s="254">
        <f>+F23*'DCF &amp; Sensitivity Model'!M70</f>
        <v>138.47412437302503</v>
      </c>
      <c r="G25" s="254">
        <f>+G23*'DCF &amp; Sensitivity Model'!N70</f>
        <v>170.8216798265637</v>
      </c>
    </row>
    <row r="26" spans="1:10" x14ac:dyDescent="0.3">
      <c r="A26" s="251" t="s">
        <v>339</v>
      </c>
      <c r="C26" s="254">
        <f>-C25*'DCF &amp; Sensitivity Model'!J56</f>
        <v>-7.1450694000000015</v>
      </c>
      <c r="D26" s="254">
        <f>-D25*'DCF &amp; Sensitivity Model'!K56</f>
        <v>-11.467836387000002</v>
      </c>
      <c r="E26" s="254">
        <f>-E25*'DCF &amp; Sensitivity Model'!L56</f>
        <v>-16.054970941800004</v>
      </c>
      <c r="F26" s="254">
        <f>-F25*'DCF &amp; Sensitivity Model'!M56</f>
        <v>-20.771118655953753</v>
      </c>
      <c r="G26" s="254">
        <f>-G25*'DCF &amp; Sensitivity Model'!N56</f>
        <v>-25.623251973984555</v>
      </c>
    </row>
    <row r="27" spans="1:10" x14ac:dyDescent="0.3">
      <c r="A27" s="251" t="s">
        <v>322</v>
      </c>
      <c r="C27" s="254">
        <f>-C25*('DCF &amp; Sensitivity Model'!J57+'DCF &amp; Sensitivity Model'!J58)</f>
        <v>-19.053518400000005</v>
      </c>
      <c r="D27" s="254">
        <f>-D25*('DCF &amp; Sensitivity Model'!K57+'DCF &amp; Sensitivity Model'!K58)</f>
        <v>-30.963158244900004</v>
      </c>
      <c r="E27" s="254">
        <f>-E25*('DCF &amp; Sensitivity Model'!L57+'DCF &amp; Sensitivity Model'!L58)</f>
        <v>-43.13435526363601</v>
      </c>
      <c r="F27" s="254">
        <f>-F25*('DCF &amp; Sensitivity Model'!M57+'DCF &amp; Sensitivity Model'!M58)</f>
        <v>-55.805072122329094</v>
      </c>
      <c r="G27" s="254">
        <f>-G25*('DCF &amp; Sensitivity Model'!N57+'DCF &amp; Sensitivity Model'!N58)</f>
        <v>-68.499493610452049</v>
      </c>
    </row>
    <row r="28" spans="1:10" x14ac:dyDescent="0.3">
      <c r="A28" s="256" t="s">
        <v>323</v>
      </c>
      <c r="B28" s="256"/>
      <c r="C28" s="257">
        <f>+SUM(C25:C27)</f>
        <v>21.435208200000002</v>
      </c>
      <c r="D28" s="257">
        <f t="shared" ref="D28:G28" si="1">+SUM(D25:D27)</f>
        <v>34.021247948100012</v>
      </c>
      <c r="E28" s="257">
        <f t="shared" si="1"/>
        <v>47.84381340656401</v>
      </c>
      <c r="F28" s="257">
        <f t="shared" si="1"/>
        <v>61.897933594742184</v>
      </c>
      <c r="G28" s="257">
        <f t="shared" si="1"/>
        <v>76.698934242127081</v>
      </c>
      <c r="H28" s="255"/>
      <c r="J28" s="254">
        <f>+SUM(C28:G28)</f>
        <v>241.89713739153328</v>
      </c>
    </row>
    <row r="31" spans="1:10" x14ac:dyDescent="0.3">
      <c r="A31" s="278" t="s">
        <v>340</v>
      </c>
      <c r="B31" s="278" t="s">
        <v>130</v>
      </c>
      <c r="C31" s="278" t="s">
        <v>131</v>
      </c>
      <c r="D31" s="278" t="s">
        <v>132</v>
      </c>
      <c r="E31" s="278" t="s">
        <v>133</v>
      </c>
      <c r="F31" s="278" t="s">
        <v>134</v>
      </c>
      <c r="G31" s="278" t="s">
        <v>135</v>
      </c>
      <c r="H31" s="278" t="s">
        <v>136</v>
      </c>
      <c r="J31" s="278" t="s">
        <v>357</v>
      </c>
    </row>
    <row r="32" spans="1:10" x14ac:dyDescent="0.3">
      <c r="A32" s="253"/>
      <c r="B32" s="253"/>
      <c r="C32" s="253"/>
      <c r="D32" s="253"/>
      <c r="E32" s="253"/>
      <c r="F32" s="253"/>
      <c r="G32" s="253"/>
      <c r="H32" s="253"/>
    </row>
    <row r="33" spans="1:10" x14ac:dyDescent="0.3">
      <c r="A33" s="140" t="s">
        <v>345</v>
      </c>
      <c r="B33" s="253"/>
      <c r="C33" s="258">
        <v>2.5000000000000001E-2</v>
      </c>
      <c r="D33" s="258">
        <f>+C33+1%</f>
        <v>3.5000000000000003E-2</v>
      </c>
      <c r="E33" s="258">
        <f t="shared" ref="E33:G33" si="2">+D33+1%</f>
        <v>4.5000000000000005E-2</v>
      </c>
      <c r="F33" s="258">
        <f t="shared" si="2"/>
        <v>5.5000000000000007E-2</v>
      </c>
      <c r="G33" s="258">
        <f t="shared" si="2"/>
        <v>6.5000000000000002E-2</v>
      </c>
      <c r="H33" s="253"/>
    </row>
    <row r="34" spans="1:10" x14ac:dyDescent="0.3">
      <c r="A34" s="140"/>
      <c r="B34" s="253"/>
      <c r="C34" s="258"/>
      <c r="D34" s="258"/>
      <c r="E34" s="258"/>
      <c r="F34" s="258"/>
      <c r="G34" s="258"/>
      <c r="H34" s="253"/>
    </row>
    <row r="35" spans="1:10" x14ac:dyDescent="0.3">
      <c r="A35" s="263" t="s">
        <v>341</v>
      </c>
      <c r="B35" s="253"/>
      <c r="C35" s="260">
        <f>+'DCF &amp; Sensitivity Model'!J70*Synergy!C33</f>
        <v>59.542245000000015</v>
      </c>
      <c r="D35" s="260">
        <f>+'DCF &amp; Sensitivity Model'!K70*Synergy!D33</f>
        <v>89.194283010000035</v>
      </c>
      <c r="E35" s="260">
        <f>+'DCF &amp; Sensitivity Model'!L70*Synergy!E33</f>
        <v>120.41228206350004</v>
      </c>
      <c r="F35" s="260">
        <f>+'DCF &amp; Sensitivity Model'!M70*Synergy!F33</f>
        <v>152.32153681032756</v>
      </c>
      <c r="G35" s="260">
        <f>+'DCF &amp; Sensitivity Model'!N70*Synergy!G33</f>
        <v>185.05681981211066</v>
      </c>
      <c r="H35" s="253"/>
      <c r="J35" s="254">
        <f>+SUM(C35:G35)</f>
        <v>606.52716669593838</v>
      </c>
    </row>
    <row r="36" spans="1:10" x14ac:dyDescent="0.3">
      <c r="A36" s="263" t="s">
        <v>342</v>
      </c>
      <c r="B36" s="253"/>
      <c r="C36" s="260">
        <f>+'DCF &amp; Sensitivity Model'!J76*Synergy!C33</f>
        <v>7.1450694000000015</v>
      </c>
      <c r="D36" s="260">
        <f>+'DCF &amp; Sensitivity Model'!K76*Synergy!D33</f>
        <v>10.703313961200003</v>
      </c>
      <c r="E36" s="260">
        <f>+'DCF &amp; Sensitivity Model'!L76*Synergy!E33</f>
        <v>14.569886129683505</v>
      </c>
      <c r="F36" s="260">
        <f>+'DCF &amp; Sensitivity Model'!M76*Synergy!F33</f>
        <v>18.735549027670288</v>
      </c>
      <c r="G36" s="260">
        <f>+'DCF &amp; Sensitivity Model'!N76*Synergy!G33</f>
        <v>22.5769320170775</v>
      </c>
      <c r="H36" s="253"/>
      <c r="J36" s="254">
        <f>+SUM(C36:G36)</f>
        <v>73.730750535631302</v>
      </c>
    </row>
    <row r="37" spans="1:10" x14ac:dyDescent="0.3">
      <c r="A37" s="264" t="s">
        <v>343</v>
      </c>
      <c r="B37" s="261"/>
      <c r="C37" s="262">
        <f>+'DCF &amp; Sensitivity Model'!J75*C33</f>
        <v>16.671828600000008</v>
      </c>
      <c r="D37" s="262">
        <f>+'DCF &amp; Sensitivity Model'!K75*D33</f>
        <v>25.420370657850007</v>
      </c>
      <c r="E37" s="262">
        <f>+'DCF &amp; Sensitivity Model'!L75*E33</f>
        <v>33.956263541907013</v>
      </c>
      <c r="F37" s="262">
        <f>+'DCF &amp; Sensitivity Model'!M75*F33</f>
        <v>42.650030306891722</v>
      </c>
      <c r="G37" s="262">
        <f>+'DCF &amp; Sensitivity Model'!N75*G33</f>
        <v>51.630852727578876</v>
      </c>
      <c r="H37" s="261"/>
      <c r="J37" s="254">
        <f>+SUM(C37:G37)</f>
        <v>170.32934583422764</v>
      </c>
    </row>
    <row r="38" spans="1:10" x14ac:dyDescent="0.3">
      <c r="A38" s="253" t="s">
        <v>344</v>
      </c>
      <c r="B38" s="253"/>
      <c r="C38" s="259">
        <f>+SUM(C35:C37)</f>
        <v>83.359143000000032</v>
      </c>
      <c r="D38" s="259">
        <f t="shared" ref="D38:G38" si="3">+SUM(D35:D37)</f>
        <v>125.31796762905006</v>
      </c>
      <c r="E38" s="259">
        <f t="shared" si="3"/>
        <v>168.93843173509057</v>
      </c>
      <c r="F38" s="259">
        <f t="shared" si="3"/>
        <v>213.70711614488957</v>
      </c>
      <c r="G38" s="259">
        <f t="shared" si="3"/>
        <v>259.26460455676704</v>
      </c>
      <c r="H38" s="253"/>
    </row>
    <row r="39" spans="1:10" x14ac:dyDescent="0.3">
      <c r="A39" s="253"/>
      <c r="B39" s="253"/>
      <c r="C39" s="253"/>
      <c r="D39" s="253"/>
      <c r="E39" s="253"/>
      <c r="F39" s="253"/>
      <c r="G39" s="253"/>
      <c r="H39" s="253"/>
    </row>
    <row r="40" spans="1:10" x14ac:dyDescent="0.3">
      <c r="A40" s="253" t="s">
        <v>346</v>
      </c>
      <c r="B40" s="253"/>
      <c r="C40" s="259">
        <f>+C5*$B$4</f>
        <v>169.21979869314535</v>
      </c>
      <c r="D40" s="259">
        <f t="shared" ref="D40:G40" si="4">+D5*$B$4</f>
        <v>84.468371175386608</v>
      </c>
      <c r="E40" s="259">
        <f t="shared" si="4"/>
        <v>0</v>
      </c>
      <c r="F40" s="259">
        <f t="shared" si="4"/>
        <v>0</v>
      </c>
      <c r="G40" s="259">
        <f t="shared" si="4"/>
        <v>0</v>
      </c>
      <c r="H40" s="253"/>
    </row>
    <row r="43" spans="1:10" x14ac:dyDescent="0.3">
      <c r="A43" s="278" t="s">
        <v>347</v>
      </c>
      <c r="B43" s="278" t="s">
        <v>130</v>
      </c>
      <c r="C43" s="278" t="s">
        <v>131</v>
      </c>
      <c r="D43" s="278" t="s">
        <v>132</v>
      </c>
      <c r="E43" s="278" t="s">
        <v>133</v>
      </c>
      <c r="F43" s="278" t="s">
        <v>134</v>
      </c>
      <c r="G43" s="278" t="s">
        <v>135</v>
      </c>
      <c r="H43" s="278" t="s">
        <v>136</v>
      </c>
      <c r="I43" s="278" t="s">
        <v>137</v>
      </c>
    </row>
    <row r="45" spans="1:10" x14ac:dyDescent="0.3">
      <c r="A45" t="s">
        <v>348</v>
      </c>
      <c r="B45">
        <v>0</v>
      </c>
      <c r="C45" s="254">
        <f>+(C28+C38-C40)</f>
        <v>-64.425447493145313</v>
      </c>
      <c r="D45" s="254">
        <f t="shared" ref="D45:G45" si="5">+(D28+D38-D40)</f>
        <v>74.870844401763463</v>
      </c>
      <c r="E45" s="254">
        <f t="shared" si="5"/>
        <v>216.78224514165458</v>
      </c>
      <c r="F45" s="254">
        <f t="shared" si="5"/>
        <v>275.60504973963174</v>
      </c>
      <c r="G45" s="254">
        <f t="shared" si="5"/>
        <v>335.96353879889409</v>
      </c>
    </row>
    <row r="46" spans="1:10" x14ac:dyDescent="0.3">
      <c r="A46" t="s">
        <v>349</v>
      </c>
      <c r="B46">
        <v>0</v>
      </c>
      <c r="C46" s="254">
        <f>+C45*0.6</f>
        <v>-38.655268495887185</v>
      </c>
      <c r="D46" s="254">
        <f t="shared" ref="D46:G46" si="6">+D45*0.6</f>
        <v>44.922506641058078</v>
      </c>
      <c r="E46" s="254">
        <f t="shared" si="6"/>
        <v>130.06934708499276</v>
      </c>
      <c r="F46" s="254">
        <f t="shared" si="6"/>
        <v>165.36302984377903</v>
      </c>
      <c r="G46" s="254">
        <f t="shared" si="6"/>
        <v>201.57812327933644</v>
      </c>
      <c r="H46" s="254">
        <f>+G46*(1+B18)</f>
        <v>205.60968574492318</v>
      </c>
    </row>
    <row r="47" spans="1:10" x14ac:dyDescent="0.3">
      <c r="C47" s="254"/>
      <c r="D47" s="254"/>
      <c r="E47" s="254"/>
      <c r="F47" s="254"/>
      <c r="G47" s="254"/>
      <c r="H47" s="254"/>
    </row>
    <row r="48" spans="1:10" x14ac:dyDescent="0.3">
      <c r="A48" t="s">
        <v>353</v>
      </c>
      <c r="B48">
        <v>1</v>
      </c>
      <c r="C48">
        <v>2</v>
      </c>
      <c r="D48">
        <v>3</v>
      </c>
      <c r="E48">
        <v>4</v>
      </c>
      <c r="F48">
        <v>5</v>
      </c>
      <c r="G48">
        <v>6</v>
      </c>
      <c r="H48">
        <v>7</v>
      </c>
    </row>
    <row r="49" spans="1:9" ht="15.6" x14ac:dyDescent="0.3">
      <c r="A49" s="211" t="s">
        <v>352</v>
      </c>
      <c r="B49" s="108">
        <f>+$B$17</f>
        <v>4.9528054880000005E-2</v>
      </c>
      <c r="C49" s="108">
        <f t="shared" ref="C49:H49" si="7">+$B$17</f>
        <v>4.9528054880000005E-2</v>
      </c>
      <c r="D49" s="108">
        <f t="shared" si="7"/>
        <v>4.9528054880000005E-2</v>
      </c>
      <c r="E49" s="108">
        <f t="shared" si="7"/>
        <v>4.9528054880000005E-2</v>
      </c>
      <c r="F49" s="108">
        <f t="shared" si="7"/>
        <v>4.9528054880000005E-2</v>
      </c>
      <c r="G49" s="108">
        <f t="shared" si="7"/>
        <v>4.9528054880000005E-2</v>
      </c>
      <c r="H49" s="108">
        <f t="shared" si="7"/>
        <v>4.9528054880000005E-2</v>
      </c>
    </row>
    <row r="50" spans="1:9" ht="15.6" x14ac:dyDescent="0.3">
      <c r="A50" s="211" t="s">
        <v>151</v>
      </c>
      <c r="B50" s="254">
        <f>1/((1+B49)^B48)</f>
        <v>0.9528092130079715</v>
      </c>
      <c r="C50" s="254">
        <f>+B50*1/(1+C49)</f>
        <v>0.90784539639286999</v>
      </c>
      <c r="D50" s="254">
        <f t="shared" ref="D50:H50" si="8">+C50*1/(1+D49)</f>
        <v>0.86500345767000031</v>
      </c>
      <c r="E50" s="254">
        <f t="shared" si="8"/>
        <v>0.82418326375172712</v>
      </c>
      <c r="F50" s="254">
        <f t="shared" si="8"/>
        <v>0.78528940690962445</v>
      </c>
      <c r="G50" s="254">
        <f t="shared" si="8"/>
        <v>0.74823098178105596</v>
      </c>
      <c r="H50" s="254">
        <f t="shared" si="8"/>
        <v>0.71292137289898971</v>
      </c>
    </row>
    <row r="51" spans="1:9" ht="15.6" x14ac:dyDescent="0.3">
      <c r="A51" s="211"/>
      <c r="B51" s="254"/>
      <c r="C51" s="254"/>
      <c r="D51" s="254"/>
      <c r="E51" s="254"/>
      <c r="F51" s="254"/>
      <c r="G51" s="254"/>
      <c r="H51" s="254"/>
    </row>
    <row r="52" spans="1:9" ht="15.6" x14ac:dyDescent="0.3">
      <c r="A52" s="211" t="s">
        <v>354</v>
      </c>
      <c r="B52" s="254"/>
      <c r="C52" s="254">
        <f>+C46*C50</f>
        <v>-35.093007550321524</v>
      </c>
      <c r="D52" s="254">
        <f t="shared" ref="D52:H52" si="9">+D46*D50</f>
        <v>38.858123571718792</v>
      </c>
      <c r="E52" s="254">
        <f t="shared" si="9"/>
        <v>107.20097899456553</v>
      </c>
      <c r="F52" s="254">
        <f t="shared" si="9"/>
        <v>129.85783563079977</v>
      </c>
      <c r="G52" s="254">
        <f t="shared" si="9"/>
        <v>150.82699708688062</v>
      </c>
      <c r="H52" s="254">
        <f t="shared" si="9"/>
        <v>146.58353944260048</v>
      </c>
      <c r="I52" s="254">
        <f>+H55*H50</f>
        <v>3018.7840891698434</v>
      </c>
    </row>
    <row r="53" spans="1:9" ht="15.6" x14ac:dyDescent="0.3">
      <c r="A53" s="211" t="s">
        <v>156</v>
      </c>
    </row>
    <row r="54" spans="1:9" ht="15.6" x14ac:dyDescent="0.3">
      <c r="A54" s="211"/>
    </row>
    <row r="55" spans="1:9" x14ac:dyDescent="0.3">
      <c r="A55" t="s">
        <v>350</v>
      </c>
      <c r="H55" s="254">
        <f>+(H46*(1+B18))/B17-B18</f>
        <v>4234.3857316191861</v>
      </c>
    </row>
    <row r="56" spans="1:9" x14ac:dyDescent="0.3">
      <c r="A56" t="s">
        <v>351</v>
      </c>
      <c r="B56" s="254"/>
    </row>
    <row r="58" spans="1:9" x14ac:dyDescent="0.3">
      <c r="A58" t="s">
        <v>156</v>
      </c>
      <c r="B58" s="254">
        <f>+SUM(C52:I52)</f>
        <v>3557.0185563460873</v>
      </c>
    </row>
    <row r="59" spans="1:9" x14ac:dyDescent="0.3">
      <c r="A59" t="s">
        <v>355</v>
      </c>
      <c r="B59">
        <f>+(B58+'DCF &amp; Sensitivity Model'!D211)/'DCF &amp; Sensitivity Model'!D211</f>
        <v>1.4294298374973189</v>
      </c>
    </row>
    <row r="74" spans="1:1" x14ac:dyDescent="0.3">
      <c r="A74" t="s">
        <v>308</v>
      </c>
    </row>
    <row r="75" spans="1:1" x14ac:dyDescent="0.3">
      <c r="A75" t="s">
        <v>310</v>
      </c>
    </row>
    <row r="76" spans="1:1" x14ac:dyDescent="0.3">
      <c r="A76" t="s">
        <v>320</v>
      </c>
    </row>
    <row r="77" spans="1:1" x14ac:dyDescent="0.3">
      <c r="A77" t="s">
        <v>311</v>
      </c>
    </row>
    <row r="78" spans="1:1" x14ac:dyDescent="0.3">
      <c r="A78" t="s">
        <v>321</v>
      </c>
    </row>
    <row r="79" spans="1:1" x14ac:dyDescent="0.3">
      <c r="A79" t="s">
        <v>319</v>
      </c>
    </row>
    <row r="81" spans="1:1" x14ac:dyDescent="0.3">
      <c r="A81" t="s">
        <v>312</v>
      </c>
    </row>
    <row r="82" spans="1:1" x14ac:dyDescent="0.3">
      <c r="A82" t="s">
        <v>313</v>
      </c>
    </row>
    <row r="83" spans="1:1" x14ac:dyDescent="0.3">
      <c r="A83" t="s">
        <v>314</v>
      </c>
    </row>
    <row r="84" spans="1:1" x14ac:dyDescent="0.3">
      <c r="A84" t="s">
        <v>315</v>
      </c>
    </row>
    <row r="85" spans="1:1" x14ac:dyDescent="0.3">
      <c r="A85" t="s">
        <v>316</v>
      </c>
    </row>
    <row r="86" spans="1:1" x14ac:dyDescent="0.3">
      <c r="A86" t="s">
        <v>317</v>
      </c>
    </row>
    <row r="87" spans="1:1" x14ac:dyDescent="0.3">
      <c r="A87" t="s">
        <v>318</v>
      </c>
    </row>
  </sheetData>
  <mergeCells count="1">
    <mergeCell ref="B1:H1"/>
  </mergeCells>
  <pageMargins left="0.7" right="0.7" top="0.78740157499999996" bottom="0.78740157499999996" header="0.3" footer="0.3"/>
  <customProperties>
    <customPr name="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5681-9C98-40C7-94B1-3B8FFCB431AD}">
  <dimension ref="A1:AQ59"/>
  <sheetViews>
    <sheetView showGridLines="0" topLeftCell="A14" zoomScale="74" zoomScaleNormal="70" workbookViewId="0">
      <selection activeCell="R12" sqref="R12"/>
    </sheetView>
  </sheetViews>
  <sheetFormatPr defaultColWidth="11.44140625" defaultRowHeight="14.4" x14ac:dyDescent="0.3"/>
  <cols>
    <col min="5" max="5" width="13" customWidth="1"/>
  </cols>
  <sheetData>
    <row r="1" spans="2:34" ht="15.6" x14ac:dyDescent="0.3">
      <c r="B1" s="242"/>
      <c r="C1" s="242"/>
      <c r="D1" s="242"/>
      <c r="E1" s="242"/>
      <c r="F1" s="242"/>
      <c r="G1" s="460" t="s">
        <v>173</v>
      </c>
      <c r="H1" s="460"/>
      <c r="I1" s="460"/>
      <c r="J1" s="460"/>
      <c r="K1" s="461"/>
      <c r="L1" s="462" t="s">
        <v>174</v>
      </c>
      <c r="M1" s="462"/>
      <c r="N1" s="462"/>
      <c r="O1" s="462"/>
      <c r="P1" s="462"/>
      <c r="Q1" s="462"/>
      <c r="R1" s="462"/>
      <c r="S1" s="459"/>
      <c r="T1" s="459"/>
      <c r="U1" s="459"/>
      <c r="V1" s="211"/>
      <c r="W1" s="211"/>
      <c r="X1" s="211"/>
      <c r="Y1" s="211"/>
      <c r="Z1" s="211"/>
      <c r="AA1" s="211"/>
      <c r="AB1" s="211"/>
      <c r="AC1" s="211"/>
      <c r="AD1" s="211"/>
      <c r="AE1" s="211"/>
      <c r="AF1" s="211"/>
      <c r="AG1" s="211"/>
      <c r="AH1" s="211"/>
    </row>
    <row r="2" spans="2:34" ht="15.6" x14ac:dyDescent="0.3">
      <c r="B2" s="242" t="s">
        <v>182</v>
      </c>
      <c r="C2" s="242"/>
      <c r="D2" s="242"/>
      <c r="E2" s="242"/>
      <c r="F2" s="245" t="s">
        <v>175</v>
      </c>
      <c r="G2" s="246" t="s">
        <v>176</v>
      </c>
      <c r="H2" s="246" t="s">
        <v>177</v>
      </c>
      <c r="I2" s="246" t="s">
        <v>178</v>
      </c>
      <c r="J2" s="246" t="s">
        <v>179</v>
      </c>
      <c r="K2" s="247" t="s">
        <v>180</v>
      </c>
      <c r="L2" s="246" t="s">
        <v>282</v>
      </c>
      <c r="M2" s="246" t="s">
        <v>183</v>
      </c>
      <c r="N2" s="246" t="s">
        <v>184</v>
      </c>
      <c r="O2" s="246" t="s">
        <v>185</v>
      </c>
      <c r="P2" s="246" t="s">
        <v>186</v>
      </c>
      <c r="Q2" s="246" t="s">
        <v>187</v>
      </c>
      <c r="R2" s="246" t="s">
        <v>188</v>
      </c>
      <c r="S2" s="459"/>
      <c r="T2" s="459"/>
      <c r="U2" s="459"/>
      <c r="V2" s="211"/>
      <c r="W2" s="211"/>
      <c r="X2" s="211"/>
      <c r="Y2" s="211"/>
      <c r="Z2" s="211"/>
      <c r="AA2" s="211"/>
      <c r="AB2" s="211"/>
      <c r="AC2" s="211"/>
      <c r="AD2" s="211"/>
      <c r="AE2" s="211"/>
      <c r="AF2" s="211"/>
      <c r="AG2" s="211"/>
      <c r="AH2" s="211"/>
    </row>
    <row r="3" spans="2:34" ht="15.6" x14ac:dyDescent="0.3">
      <c r="B3" s="459"/>
      <c r="C3" s="459"/>
      <c r="D3" s="211"/>
      <c r="E3" s="211"/>
      <c r="F3" s="211"/>
      <c r="G3" s="211"/>
      <c r="H3" s="211"/>
      <c r="I3" s="211"/>
      <c r="J3" s="212"/>
      <c r="K3" s="212"/>
      <c r="L3" s="212"/>
      <c r="M3" s="212"/>
      <c r="N3" s="212"/>
      <c r="O3" s="211"/>
      <c r="P3" s="211"/>
      <c r="Q3" s="211"/>
      <c r="R3" s="211"/>
      <c r="S3" s="459"/>
      <c r="T3" s="459"/>
      <c r="U3" s="459"/>
      <c r="V3" s="211"/>
      <c r="W3" s="211"/>
      <c r="X3" s="211"/>
      <c r="Y3" s="211"/>
      <c r="Z3" s="211"/>
      <c r="AA3" s="211"/>
      <c r="AB3" s="211"/>
      <c r="AC3" s="211"/>
      <c r="AD3" s="211"/>
      <c r="AE3" s="211"/>
      <c r="AF3" s="211"/>
      <c r="AG3" s="211"/>
      <c r="AH3" s="211"/>
    </row>
    <row r="4" spans="2:34" ht="15.6" x14ac:dyDescent="0.3">
      <c r="B4" s="211"/>
      <c r="C4" s="212" t="s">
        <v>189</v>
      </c>
      <c r="D4" s="211"/>
      <c r="E4" s="211"/>
      <c r="F4" s="213" t="s">
        <v>190</v>
      </c>
      <c r="G4" s="233">
        <f>+'DCF &amp; Sensitivity Model'!D70</f>
        <v>1459.9</v>
      </c>
      <c r="H4" s="233">
        <f>+'DCF &amp; Sensitivity Model'!E70</f>
        <v>1731.9</v>
      </c>
      <c r="I4" s="233">
        <f>+'DCF &amp; Sensitivity Model'!F70</f>
        <v>1845.5</v>
      </c>
      <c r="J4" s="233">
        <f>+'DCF &amp; Sensitivity Model'!G70</f>
        <v>1594.8</v>
      </c>
      <c r="K4" s="233">
        <f>+'DCF &amp; Sensitivity Model'!H70</f>
        <v>2223.8000000000002</v>
      </c>
      <c r="L4" s="233">
        <f>+'DCF &amp; Sensitivity Model'!I70</f>
        <v>2268.2760000000003</v>
      </c>
      <c r="M4" s="233">
        <f>+'DCF &amp; Sensitivity Model'!J70</f>
        <v>2381.6898000000006</v>
      </c>
      <c r="N4" s="233">
        <f>+'DCF &amp; Sensitivity Model'!K70</f>
        <v>2548.4080860000008</v>
      </c>
      <c r="O4" s="233">
        <f>+'DCF &amp; Sensitivity Model'!L70</f>
        <v>2675.8284903000008</v>
      </c>
      <c r="P4" s="233">
        <f>+'DCF &amp; Sensitivity Model'!M70</f>
        <v>2769.4824874605006</v>
      </c>
      <c r="Q4" s="233">
        <f>+'DCF &amp; Sensitivity Model'!N70</f>
        <v>2847.0279971093946</v>
      </c>
      <c r="R4" s="233">
        <f>+'DCF &amp; Sensitivity Model'!O70</f>
        <v>2903.9685570515826</v>
      </c>
      <c r="S4" s="459"/>
      <c r="T4" s="459"/>
      <c r="U4" s="459"/>
      <c r="V4" s="211"/>
      <c r="W4" s="211"/>
      <c r="X4" s="211"/>
      <c r="Y4" s="211"/>
      <c r="Z4" s="211"/>
      <c r="AA4" s="211"/>
      <c r="AB4" s="211"/>
      <c r="AC4" s="211"/>
      <c r="AD4" s="211"/>
      <c r="AE4" s="211"/>
      <c r="AF4" s="211"/>
      <c r="AG4" s="211"/>
      <c r="AH4" s="211"/>
    </row>
    <row r="5" spans="2:34" ht="15.6" x14ac:dyDescent="0.3">
      <c r="B5" s="211"/>
      <c r="C5" s="214" t="s">
        <v>191</v>
      </c>
      <c r="D5" s="211"/>
      <c r="E5" s="211"/>
      <c r="F5" s="215" t="s">
        <v>181</v>
      </c>
      <c r="G5" s="228"/>
      <c r="H5" s="228">
        <f>+H4/G4-1</f>
        <v>0.18631413110487016</v>
      </c>
      <c r="I5" s="228">
        <f t="shared" ref="I5:L5" si="0">+I4/H4-1</f>
        <v>6.5592701657139596E-2</v>
      </c>
      <c r="J5" s="228">
        <f t="shared" si="0"/>
        <v>-0.13584394473042538</v>
      </c>
      <c r="K5" s="228">
        <f t="shared" si="0"/>
        <v>0.39440682217205936</v>
      </c>
      <c r="L5" s="228">
        <f t="shared" si="0"/>
        <v>2.0000000000000018E-2</v>
      </c>
      <c r="M5" s="228">
        <f t="shared" ref="M5" si="1">+M4/L4-1</f>
        <v>5.0000000000000044E-2</v>
      </c>
      <c r="N5" s="228">
        <f t="shared" ref="N5" si="2">+N4/M4-1</f>
        <v>7.0000000000000062E-2</v>
      </c>
      <c r="O5" s="228">
        <f t="shared" ref="O5:P5" si="3">+O4/N4-1</f>
        <v>5.0000000000000044E-2</v>
      </c>
      <c r="P5" s="228">
        <f t="shared" si="3"/>
        <v>3.499999999999992E-2</v>
      </c>
      <c r="Q5" s="228">
        <f t="shared" ref="Q5" si="4">+Q4/P4-1</f>
        <v>2.8000000000000025E-2</v>
      </c>
      <c r="R5" s="228">
        <f t="shared" ref="R5" si="5">+R4/Q4-1</f>
        <v>2.0000000000000018E-2</v>
      </c>
      <c r="S5" s="459"/>
      <c r="T5" s="459"/>
      <c r="U5" s="459"/>
      <c r="V5" s="211"/>
      <c r="W5" s="211"/>
      <c r="X5" s="211"/>
      <c r="Y5" s="211"/>
      <c r="Z5" s="211"/>
      <c r="AA5" s="211"/>
      <c r="AB5" s="211"/>
      <c r="AC5" s="211"/>
      <c r="AD5" s="211"/>
      <c r="AE5" s="211"/>
      <c r="AF5" s="211"/>
      <c r="AG5" s="211"/>
      <c r="AH5" s="211"/>
    </row>
    <row r="6" spans="2:34" ht="15.6" x14ac:dyDescent="0.3">
      <c r="B6" s="459"/>
      <c r="C6" s="459"/>
      <c r="D6" s="211"/>
      <c r="E6" s="211"/>
      <c r="F6" s="211"/>
      <c r="G6" s="229"/>
      <c r="H6" s="229"/>
      <c r="I6" s="229"/>
      <c r="J6" s="229"/>
      <c r="K6" s="229"/>
      <c r="L6" s="229"/>
      <c r="M6" s="229"/>
      <c r="N6" s="229"/>
      <c r="O6" s="229"/>
      <c r="P6" s="229"/>
      <c r="Q6" s="229"/>
      <c r="R6" s="229"/>
      <c r="S6" s="459"/>
      <c r="T6" s="459"/>
      <c r="U6" s="459"/>
      <c r="V6" s="211"/>
      <c r="W6" s="211"/>
      <c r="X6" s="211"/>
      <c r="Y6" s="211"/>
      <c r="Z6" s="211"/>
      <c r="AA6" s="211"/>
      <c r="AB6" s="211"/>
      <c r="AC6" s="211"/>
      <c r="AD6" s="211"/>
      <c r="AE6" s="211"/>
      <c r="AF6" s="211"/>
      <c r="AG6" s="211"/>
      <c r="AH6" s="211"/>
    </row>
    <row r="7" spans="2:34" ht="15.6" x14ac:dyDescent="0.3">
      <c r="B7" s="211"/>
      <c r="C7" s="218" t="s">
        <v>38</v>
      </c>
      <c r="D7" s="211"/>
      <c r="E7" s="211"/>
      <c r="F7" s="213" t="s">
        <v>190</v>
      </c>
      <c r="G7" s="234">
        <f>+'DCF &amp; Sensitivity Model'!D77</f>
        <v>654.9</v>
      </c>
      <c r="H7" s="234">
        <f>+'DCF &amp; Sensitivity Model'!E77</f>
        <v>772.50000000000023</v>
      </c>
      <c r="I7" s="234">
        <f>+'DCF &amp; Sensitivity Model'!F77</f>
        <v>743.8</v>
      </c>
      <c r="J7" s="234">
        <f>+'DCF &amp; Sensitivity Model'!G77</f>
        <v>560.1</v>
      </c>
      <c r="K7" s="234">
        <f>+'DCF &amp; Sensitivity Model'!H77</f>
        <v>947.90000000000009</v>
      </c>
      <c r="L7" s="234">
        <f>+'DCF &amp; Sensitivity Model'!I77</f>
        <v>1007.114544</v>
      </c>
      <c r="M7" s="234">
        <f>+'DCF &amp; Sensitivity Model'!J77</f>
        <v>1071.7604100000003</v>
      </c>
      <c r="N7" s="234">
        <f>+'DCF &amp; Sensitivity Model'!K77</f>
        <v>1134.0415982700008</v>
      </c>
      <c r="O7" s="234">
        <f>+'DCF &amp; Sensitivity Model'!L77</f>
        <v>1196.0953351641003</v>
      </c>
      <c r="P7" s="234">
        <f>+'DCF &amp; Sensitivity Model'!M77</f>
        <v>1237.9586718948435</v>
      </c>
      <c r="Q7" s="234">
        <f>+'DCF &amp; Sensitivity Model'!N77</f>
        <v>1278.3155707021178</v>
      </c>
      <c r="R7" s="234">
        <f>+'DCF &amp; Sensitivity Model'!O77</f>
        <v>1312.5937877873153</v>
      </c>
      <c r="S7" s="459"/>
      <c r="T7" s="459"/>
      <c r="U7" s="459"/>
      <c r="V7" s="211"/>
      <c r="W7" s="211"/>
      <c r="X7" s="211"/>
      <c r="Y7" s="211"/>
      <c r="Z7" s="211"/>
      <c r="AA7" s="211"/>
      <c r="AB7" s="211"/>
      <c r="AC7" s="211"/>
      <c r="AD7" s="211"/>
      <c r="AE7" s="211"/>
      <c r="AF7" s="211"/>
      <c r="AG7" s="211"/>
      <c r="AH7" s="211"/>
    </row>
    <row r="8" spans="2:34" ht="15.6" x14ac:dyDescent="0.3">
      <c r="B8" s="211"/>
      <c r="C8" s="214" t="s">
        <v>192</v>
      </c>
      <c r="D8" s="211"/>
      <c r="E8" s="211"/>
      <c r="F8" s="215" t="s">
        <v>181</v>
      </c>
      <c r="G8" s="228">
        <f>+G7/G4</f>
        <v>0.44859236934036573</v>
      </c>
      <c r="H8" s="228">
        <f t="shared" ref="H8:P8" si="6">+H7/H4</f>
        <v>0.44604191927940423</v>
      </c>
      <c r="I8" s="228">
        <f t="shared" si="6"/>
        <v>0.40303440801950691</v>
      </c>
      <c r="J8" s="228">
        <f t="shared" si="6"/>
        <v>0.35120391271632811</v>
      </c>
      <c r="K8" s="228">
        <f t="shared" si="6"/>
        <v>0.42625236082381512</v>
      </c>
      <c r="L8" s="228">
        <f>+L7/L4</f>
        <v>0.44399999999999995</v>
      </c>
      <c r="M8" s="228">
        <f t="shared" si="6"/>
        <v>0.45</v>
      </c>
      <c r="N8" s="228">
        <f>+N7/N4</f>
        <v>0.44500000000000017</v>
      </c>
      <c r="O8" s="228">
        <f>+O7/O4</f>
        <v>0.44700000000000001</v>
      </c>
      <c r="P8" s="228">
        <f t="shared" si="6"/>
        <v>0.4469999999999999</v>
      </c>
      <c r="Q8" s="228">
        <f>+Q7/Q4</f>
        <v>0.4489999999999999</v>
      </c>
      <c r="R8" s="228">
        <f>+R7/R4</f>
        <v>0.45199999999999996</v>
      </c>
      <c r="S8" s="459"/>
      <c r="T8" s="459"/>
      <c r="U8" s="459"/>
      <c r="V8" s="211"/>
      <c r="W8" s="211"/>
      <c r="X8" s="211"/>
      <c r="Y8" s="211"/>
      <c r="Z8" s="211"/>
      <c r="AA8" s="211"/>
      <c r="AB8" s="211"/>
      <c r="AC8" s="211"/>
      <c r="AD8" s="211"/>
      <c r="AE8" s="211"/>
      <c r="AF8" s="211"/>
      <c r="AG8" s="211"/>
      <c r="AH8" s="211"/>
    </row>
    <row r="9" spans="2:34" ht="15.6" x14ac:dyDescent="0.3">
      <c r="B9" s="211"/>
      <c r="C9" s="214" t="s">
        <v>193</v>
      </c>
      <c r="D9" s="211"/>
      <c r="E9" s="211"/>
      <c r="F9" s="215" t="s">
        <v>181</v>
      </c>
      <c r="G9" s="228"/>
      <c r="H9" s="228">
        <f>+H7/G7-1</f>
        <v>0.17956939990838339</v>
      </c>
      <c r="I9" s="228">
        <f t="shared" ref="I9:R9" si="7">+I7/H7-1</f>
        <v>-3.7152103559870864E-2</v>
      </c>
      <c r="J9" s="228">
        <f t="shared" si="7"/>
        <v>-0.24697499327776273</v>
      </c>
      <c r="K9" s="228">
        <f t="shared" si="7"/>
        <v>0.69237636136404213</v>
      </c>
      <c r="L9" s="228">
        <f t="shared" si="7"/>
        <v>6.2469188732988679E-2</v>
      </c>
      <c r="M9" s="228">
        <f t="shared" si="7"/>
        <v>6.4189189189189477E-2</v>
      </c>
      <c r="N9" s="228">
        <f t="shared" si="7"/>
        <v>5.8111111111111446E-2</v>
      </c>
      <c r="O9" s="228">
        <f t="shared" si="7"/>
        <v>5.4719101123595015E-2</v>
      </c>
      <c r="P9" s="228">
        <f t="shared" si="7"/>
        <v>3.4999999999999698E-2</v>
      </c>
      <c r="Q9" s="228">
        <f t="shared" si="7"/>
        <v>3.2599552572706969E-2</v>
      </c>
      <c r="R9" s="228">
        <f t="shared" si="7"/>
        <v>2.6815144766147325E-2</v>
      </c>
      <c r="S9" s="459"/>
      <c r="T9" s="459"/>
      <c r="U9" s="459"/>
      <c r="V9" s="211"/>
      <c r="W9" s="211"/>
      <c r="X9" s="211"/>
      <c r="Y9" s="211"/>
      <c r="Z9" s="211"/>
      <c r="AA9" s="211"/>
      <c r="AB9" s="211"/>
      <c r="AC9" s="211"/>
      <c r="AD9" s="211"/>
      <c r="AE9" s="211"/>
      <c r="AF9" s="211"/>
      <c r="AG9" s="211"/>
      <c r="AH9" s="211"/>
    </row>
    <row r="10" spans="2:34" ht="15.6" x14ac:dyDescent="0.3">
      <c r="B10" s="459"/>
      <c r="C10" s="459"/>
      <c r="D10" s="211"/>
      <c r="E10" s="211"/>
      <c r="F10" s="211"/>
      <c r="G10" s="229"/>
      <c r="H10" s="229"/>
      <c r="I10" s="229"/>
      <c r="J10" s="229"/>
      <c r="K10" s="229"/>
      <c r="L10" s="229"/>
      <c r="M10" s="229"/>
      <c r="N10" s="229"/>
      <c r="O10" s="229"/>
      <c r="P10" s="229"/>
      <c r="Q10" s="229"/>
      <c r="R10" s="229"/>
      <c r="S10" s="459"/>
      <c r="T10" s="459"/>
      <c r="U10" s="459"/>
      <c r="V10" s="211"/>
      <c r="W10" s="211"/>
      <c r="X10" s="211"/>
      <c r="Y10" s="211"/>
      <c r="Z10" s="211"/>
      <c r="AA10" s="211"/>
      <c r="AB10" s="211"/>
      <c r="AC10" s="211"/>
      <c r="AD10" s="211"/>
      <c r="AE10" s="211"/>
      <c r="AF10" s="211"/>
      <c r="AG10" s="211"/>
      <c r="AH10" s="211"/>
    </row>
    <row r="11" spans="2:34" ht="15.6" x14ac:dyDescent="0.3">
      <c r="B11" s="211"/>
      <c r="C11" s="218" t="s">
        <v>194</v>
      </c>
      <c r="D11" s="211"/>
      <c r="E11" s="211"/>
      <c r="F11" s="211"/>
      <c r="G11" s="235">
        <f>+'DCF &amp; Sensitivity Model'!D81</f>
        <v>200.89999999999998</v>
      </c>
      <c r="H11" s="235">
        <f>+'DCF &amp; Sensitivity Model'!E81</f>
        <v>260.60000000000025</v>
      </c>
      <c r="I11" s="235">
        <f>+'DCF &amp; Sensitivity Model'!F81</f>
        <v>208.19999999999993</v>
      </c>
      <c r="J11" s="235">
        <f>+'DCF &amp; Sensitivity Model'!G81</f>
        <v>41.300000000000068</v>
      </c>
      <c r="K11" s="235">
        <f>+'DCF &amp; Sensitivity Model'!H81</f>
        <v>399.80000000000007</v>
      </c>
      <c r="L11" s="235">
        <f>+'DCF &amp; Sensitivity Model'!I81</f>
        <v>462.72830399999998</v>
      </c>
      <c r="M11" s="235">
        <f>+'DCF &amp; Sensitivity Model'!J81</f>
        <v>502.53654780000022</v>
      </c>
      <c r="N11" s="235">
        <f>+'DCF &amp; Sensitivity Model'!K81</f>
        <v>527.52047380200065</v>
      </c>
      <c r="O11" s="235">
        <f>+'DCF &amp; Sensitivity Model'!L81</f>
        <v>561.92398296300019</v>
      </c>
      <c r="P11" s="235">
        <f>+'DCF &amp; Sensitivity Model'!M81</f>
        <v>584.36080485416539</v>
      </c>
      <c r="Q11" s="235">
        <f>+'DCF &amp; Sensitivity Model'!N81</f>
        <v>609.26399138141016</v>
      </c>
      <c r="R11" s="235">
        <f>+'DCF &amp; Sensitivity Model'!O81</f>
        <v>633.06514543724484</v>
      </c>
      <c r="S11" s="211"/>
      <c r="T11" s="211"/>
      <c r="U11" s="211"/>
      <c r="V11" s="211"/>
      <c r="W11" s="211"/>
      <c r="X11" s="211"/>
      <c r="Y11" s="211"/>
      <c r="Z11" s="211"/>
      <c r="AA11" s="211"/>
      <c r="AB11" s="211"/>
      <c r="AC11" s="211"/>
      <c r="AD11" s="211"/>
      <c r="AE11" s="211"/>
      <c r="AF11" s="211"/>
      <c r="AG11" s="211"/>
      <c r="AH11" s="211"/>
    </row>
    <row r="12" spans="2:34" ht="15.6" x14ac:dyDescent="0.3">
      <c r="B12" s="211"/>
      <c r="C12" s="211" t="s">
        <v>195</v>
      </c>
      <c r="D12" s="211"/>
      <c r="E12" s="211"/>
      <c r="F12" s="213" t="s">
        <v>190</v>
      </c>
      <c r="G12" s="236">
        <f>-G11*'DCF &amp; Sensitivity Model'!$D$180</f>
        <v>-80.36</v>
      </c>
      <c r="H12" s="236">
        <f>-H11*'DCF &amp; Sensitivity Model'!$D$180</f>
        <v>-104.24000000000011</v>
      </c>
      <c r="I12" s="236">
        <f>-I11*'DCF &amp; Sensitivity Model'!$D$180</f>
        <v>-83.279999999999973</v>
      </c>
      <c r="J12" s="236">
        <f>-J11*'DCF &amp; Sensitivity Model'!$D$180</f>
        <v>-16.520000000000028</v>
      </c>
      <c r="K12" s="236">
        <f>-K11*'DCF &amp; Sensitivity Model'!$D$180</f>
        <v>-159.92000000000004</v>
      </c>
      <c r="L12" s="236">
        <f>-L11*'DCF &amp; Sensitivity Model'!$D$180</f>
        <v>-185.09132160000001</v>
      </c>
      <c r="M12" s="236">
        <f>-M11*'DCF &amp; Sensitivity Model'!$D$180</f>
        <v>-201.01461912000011</v>
      </c>
      <c r="N12" s="236">
        <f>-N11*'DCF &amp; Sensitivity Model'!$D$180</f>
        <v>-211.00818952080027</v>
      </c>
      <c r="O12" s="236">
        <f>-O11*'DCF &amp; Sensitivity Model'!$D$180</f>
        <v>-224.76959318520008</v>
      </c>
      <c r="P12" s="236">
        <f>-P11*'DCF &amp; Sensitivity Model'!$D$180</f>
        <v>-233.74432194166616</v>
      </c>
      <c r="Q12" s="236">
        <f>-Q11*'DCF &amp; Sensitivity Model'!$D$180</f>
        <v>-243.70559655256409</v>
      </c>
      <c r="R12" s="236">
        <f>-R11*'DCF &amp; Sensitivity Model'!$D$180</f>
        <v>-253.22605817489796</v>
      </c>
      <c r="S12" s="459"/>
      <c r="T12" s="459"/>
      <c r="U12" s="459"/>
      <c r="V12" s="211"/>
      <c r="W12" s="211"/>
      <c r="X12" s="211"/>
      <c r="Y12" s="211"/>
      <c r="Z12" s="211"/>
      <c r="AA12" s="211"/>
      <c r="AB12" s="211"/>
      <c r="AC12" s="211"/>
      <c r="AD12" s="211"/>
      <c r="AE12" s="211"/>
      <c r="AF12" s="211"/>
      <c r="AG12" s="211"/>
      <c r="AH12" s="211"/>
    </row>
    <row r="13" spans="2:34" ht="15.6" x14ac:dyDescent="0.3">
      <c r="B13" s="459"/>
      <c r="C13" s="459"/>
      <c r="D13" s="211"/>
      <c r="E13" s="211"/>
      <c r="F13" s="211"/>
      <c r="G13" s="230"/>
      <c r="H13" s="230"/>
      <c r="I13" s="230"/>
      <c r="J13" s="230"/>
      <c r="K13" s="230"/>
      <c r="L13" s="230"/>
      <c r="M13" s="230"/>
      <c r="N13" s="230"/>
      <c r="O13" s="230"/>
      <c r="P13" s="230"/>
      <c r="Q13" s="230"/>
      <c r="R13" s="230"/>
      <c r="S13" s="459"/>
      <c r="T13" s="459"/>
      <c r="U13" s="459"/>
      <c r="V13" s="211"/>
      <c r="W13" s="211"/>
      <c r="X13" s="211"/>
      <c r="Y13" s="211"/>
      <c r="Z13" s="211"/>
      <c r="AA13" s="211"/>
      <c r="AB13" s="211"/>
      <c r="AC13" s="211"/>
      <c r="AD13" s="211"/>
      <c r="AE13" s="211"/>
      <c r="AF13" s="211"/>
      <c r="AG13" s="211"/>
      <c r="AH13" s="211"/>
    </row>
    <row r="14" spans="2:34" ht="15.6" x14ac:dyDescent="0.3">
      <c r="B14" s="211"/>
      <c r="C14" s="212" t="s">
        <v>196</v>
      </c>
      <c r="D14" s="211"/>
      <c r="E14" s="211"/>
      <c r="F14" s="213" t="s">
        <v>190</v>
      </c>
      <c r="G14" s="237">
        <f>+G11+G12</f>
        <v>120.53999999999998</v>
      </c>
      <c r="H14" s="237">
        <f t="shared" ref="H14:R14" si="8">+H11+H12</f>
        <v>156.36000000000013</v>
      </c>
      <c r="I14" s="237">
        <f t="shared" si="8"/>
        <v>124.91999999999996</v>
      </c>
      <c r="J14" s="237">
        <f t="shared" si="8"/>
        <v>24.78000000000004</v>
      </c>
      <c r="K14" s="237">
        <f t="shared" si="8"/>
        <v>239.88000000000002</v>
      </c>
      <c r="L14" s="237">
        <f t="shared" si="8"/>
        <v>277.63698239999997</v>
      </c>
      <c r="M14" s="237">
        <f t="shared" si="8"/>
        <v>301.52192868000009</v>
      </c>
      <c r="N14" s="237">
        <f t="shared" si="8"/>
        <v>316.51228428120038</v>
      </c>
      <c r="O14" s="237">
        <f t="shared" si="8"/>
        <v>337.15438977780013</v>
      </c>
      <c r="P14" s="237">
        <f t="shared" si="8"/>
        <v>350.61648291249924</v>
      </c>
      <c r="Q14" s="237">
        <f t="shared" si="8"/>
        <v>365.55839482884608</v>
      </c>
      <c r="R14" s="237">
        <f t="shared" si="8"/>
        <v>379.83908726234688</v>
      </c>
      <c r="S14" s="459"/>
      <c r="T14" s="459"/>
      <c r="U14" s="459"/>
      <c r="V14" s="211"/>
      <c r="W14" s="211"/>
      <c r="X14" s="211"/>
      <c r="Y14" s="211"/>
      <c r="Z14" s="211"/>
      <c r="AA14" s="211"/>
      <c r="AB14" s="211"/>
      <c r="AC14" s="211"/>
      <c r="AD14" s="211"/>
      <c r="AE14" s="211"/>
      <c r="AF14" s="211"/>
      <c r="AG14" s="211"/>
      <c r="AH14" s="211"/>
    </row>
    <row r="15" spans="2:34" ht="15.6" x14ac:dyDescent="0.3">
      <c r="B15" s="459"/>
      <c r="C15" s="459"/>
      <c r="D15" s="211"/>
      <c r="E15" s="211"/>
      <c r="F15" s="211"/>
      <c r="G15" s="230"/>
      <c r="H15" s="230"/>
      <c r="I15" s="230"/>
      <c r="J15" s="230"/>
      <c r="K15" s="230"/>
      <c r="L15" s="230"/>
      <c r="M15" s="230"/>
      <c r="N15" s="230"/>
      <c r="O15" s="230"/>
      <c r="P15" s="230"/>
      <c r="Q15" s="230"/>
      <c r="R15" s="230"/>
      <c r="S15" s="459"/>
      <c r="T15" s="459"/>
      <c r="U15" s="459"/>
      <c r="V15" s="211"/>
      <c r="W15" s="211"/>
      <c r="X15" s="211"/>
      <c r="Y15" s="211"/>
      <c r="Z15" s="211"/>
      <c r="AA15" s="211"/>
      <c r="AB15" s="211"/>
      <c r="AC15" s="211"/>
      <c r="AD15" s="211"/>
      <c r="AE15" s="211"/>
      <c r="AF15" s="211"/>
      <c r="AG15" s="211"/>
      <c r="AH15" s="211"/>
    </row>
    <row r="16" spans="2:34" ht="15.6" x14ac:dyDescent="0.3">
      <c r="B16" s="211"/>
      <c r="C16" s="212" t="s">
        <v>197</v>
      </c>
      <c r="D16" s="211"/>
      <c r="E16" s="211"/>
      <c r="F16" s="211"/>
      <c r="G16" s="230"/>
      <c r="H16" s="230"/>
      <c r="I16" s="230"/>
      <c r="J16" s="230"/>
      <c r="K16" s="230"/>
      <c r="L16" s="230"/>
      <c r="M16" s="230"/>
      <c r="N16" s="230"/>
      <c r="O16" s="230"/>
      <c r="P16" s="230"/>
      <c r="Q16" s="230"/>
      <c r="R16" s="230"/>
      <c r="S16" s="459"/>
      <c r="T16" s="459"/>
      <c r="U16" s="459"/>
      <c r="V16" s="211"/>
      <c r="W16" s="211"/>
      <c r="X16" s="211"/>
      <c r="Y16" s="211"/>
      <c r="Z16" s="211"/>
      <c r="AA16" s="211"/>
      <c r="AB16" s="211"/>
      <c r="AC16" s="211"/>
      <c r="AD16" s="211"/>
      <c r="AE16" s="211"/>
      <c r="AF16" s="211"/>
      <c r="AG16" s="211"/>
      <c r="AH16" s="211"/>
    </row>
    <row r="17" spans="2:34" ht="15.6" x14ac:dyDescent="0.3">
      <c r="B17" s="211"/>
      <c r="C17" s="219" t="s">
        <v>198</v>
      </c>
      <c r="D17" s="211"/>
      <c r="E17" s="211"/>
      <c r="F17" s="213" t="s">
        <v>190</v>
      </c>
      <c r="G17" s="236">
        <f>+'DCF &amp; Sensitivity Model'!D79</f>
        <v>454</v>
      </c>
      <c r="H17" s="236">
        <f>+'DCF &amp; Sensitivity Model'!E79</f>
        <v>511.9</v>
      </c>
      <c r="I17" s="236">
        <f>+'DCF &amp; Sensitivity Model'!F79</f>
        <v>535.6</v>
      </c>
      <c r="J17" s="236">
        <f>+'DCF &amp; Sensitivity Model'!G79</f>
        <v>518.79999999999995</v>
      </c>
      <c r="K17" s="236">
        <f>+'DCF &amp; Sensitivity Model'!H79</f>
        <v>548.1</v>
      </c>
      <c r="L17" s="236">
        <f>+'DCF &amp; Sensitivity Model'!I79</f>
        <v>544.38624000000004</v>
      </c>
      <c r="M17" s="236">
        <f>+'DCF &amp; Sensitivity Model'!J79</f>
        <v>569.2238622000001</v>
      </c>
      <c r="N17" s="236">
        <f>+'DCF &amp; Sensitivity Model'!K79</f>
        <v>606.52112446800015</v>
      </c>
      <c r="O17" s="236">
        <f>+'DCF &amp; Sensitivity Model'!L79</f>
        <v>634.17135220110015</v>
      </c>
      <c r="P17" s="236">
        <f>+'DCF &amp; Sensitivity Model'!M79</f>
        <v>653.59786704067812</v>
      </c>
      <c r="Q17" s="236">
        <f>+'DCF &amp; Sensitivity Model'!N79</f>
        <v>669.05157932070767</v>
      </c>
      <c r="R17" s="236">
        <f>+'DCF &amp; Sensitivity Model'!O79</f>
        <v>679.52864235007041</v>
      </c>
      <c r="S17" s="459"/>
      <c r="T17" s="459"/>
      <c r="U17" s="459"/>
      <c r="V17" s="211"/>
      <c r="W17" s="211"/>
      <c r="X17" s="211"/>
      <c r="Y17" s="211"/>
      <c r="Z17" s="211"/>
      <c r="AA17" s="211"/>
      <c r="AB17" s="211"/>
      <c r="AC17" s="211"/>
      <c r="AD17" s="211"/>
      <c r="AE17" s="211"/>
      <c r="AF17" s="211"/>
      <c r="AG17" s="211"/>
      <c r="AH17" s="211"/>
    </row>
    <row r="18" spans="2:34" ht="15.6" x14ac:dyDescent="0.3">
      <c r="B18" s="211"/>
      <c r="C18" s="220" t="s">
        <v>199</v>
      </c>
      <c r="D18" s="211"/>
      <c r="E18" s="211"/>
      <c r="F18" s="215" t="s">
        <v>181</v>
      </c>
      <c r="G18" s="232">
        <f>+G17/G4</f>
        <v>0.31098020412357008</v>
      </c>
      <c r="H18" s="232">
        <f t="shared" ref="H18:R18" si="9">+H17/H4</f>
        <v>0.29557133783705752</v>
      </c>
      <c r="I18" s="232">
        <f t="shared" si="9"/>
        <v>0.29021945272283933</v>
      </c>
      <c r="J18" s="232">
        <f t="shared" si="9"/>
        <v>0.3253072485578129</v>
      </c>
      <c r="K18" s="232">
        <f t="shared" si="9"/>
        <v>0.24647000629553018</v>
      </c>
      <c r="L18" s="232">
        <f t="shared" si="9"/>
        <v>0.24</v>
      </c>
      <c r="M18" s="232">
        <f t="shared" si="9"/>
        <v>0.23899999999999999</v>
      </c>
      <c r="N18" s="232">
        <f t="shared" si="9"/>
        <v>0.23799999999999999</v>
      </c>
      <c r="O18" s="232">
        <f t="shared" si="9"/>
        <v>0.23699999999999999</v>
      </c>
      <c r="P18" s="232">
        <f t="shared" si="9"/>
        <v>0.23599999999999999</v>
      </c>
      <c r="Q18" s="232">
        <f t="shared" si="9"/>
        <v>0.23499999999999999</v>
      </c>
      <c r="R18" s="232">
        <f t="shared" si="9"/>
        <v>0.23400000000000004</v>
      </c>
      <c r="S18" s="459"/>
      <c r="T18" s="459"/>
      <c r="U18" s="459"/>
      <c r="V18" s="211"/>
      <c r="W18" s="211"/>
      <c r="X18" s="211"/>
      <c r="Y18" s="211"/>
      <c r="Z18" s="211"/>
      <c r="AA18" s="211"/>
      <c r="AB18" s="211"/>
      <c r="AC18" s="211"/>
      <c r="AD18" s="211"/>
      <c r="AE18" s="211"/>
      <c r="AF18" s="211"/>
      <c r="AG18" s="211"/>
      <c r="AH18" s="211"/>
    </row>
    <row r="19" spans="2:34" ht="15.6" x14ac:dyDescent="0.3">
      <c r="B19" s="459"/>
      <c r="C19" s="459"/>
      <c r="D19" s="211"/>
      <c r="E19" s="211"/>
      <c r="F19" s="211"/>
      <c r="G19" s="231"/>
      <c r="H19" s="231"/>
      <c r="I19" s="231"/>
      <c r="J19" s="231"/>
      <c r="K19" s="231"/>
      <c r="L19" s="231"/>
      <c r="M19" s="231"/>
      <c r="N19" s="231"/>
      <c r="O19" s="231"/>
      <c r="P19" s="231"/>
      <c r="Q19" s="231"/>
      <c r="R19" s="231"/>
      <c r="S19" s="459"/>
      <c r="T19" s="459"/>
      <c r="U19" s="459"/>
      <c r="V19" s="211"/>
      <c r="W19" s="211"/>
      <c r="X19" s="211"/>
      <c r="Y19" s="211"/>
      <c r="Z19" s="211"/>
      <c r="AA19" s="211"/>
      <c r="AB19" s="211"/>
      <c r="AC19" s="211"/>
      <c r="AD19" s="211"/>
      <c r="AE19" s="211"/>
      <c r="AF19" s="211"/>
      <c r="AG19" s="211"/>
      <c r="AH19" s="211"/>
    </row>
    <row r="20" spans="2:34" ht="15.6" x14ac:dyDescent="0.3">
      <c r="B20" s="211"/>
      <c r="C20" s="218" t="s">
        <v>200</v>
      </c>
      <c r="D20" s="211"/>
      <c r="E20" s="211"/>
      <c r="F20" s="213" t="s">
        <v>190</v>
      </c>
      <c r="G20" s="237">
        <f>-'DCF &amp; Sensitivity Model'!D173</f>
        <v>12.599999999999994</v>
      </c>
      <c r="H20" s="237">
        <f>-'DCF &amp; Sensitivity Model'!E173</f>
        <v>114.30000000000001</v>
      </c>
      <c r="I20" s="237">
        <f>-'DCF &amp; Sensitivity Model'!F173</f>
        <v>-168.49999999999997</v>
      </c>
      <c r="J20" s="237">
        <f>-'DCF &amp; Sensitivity Model'!G173</f>
        <v>7.8000000000000114</v>
      </c>
      <c r="K20" s="237">
        <f>-'DCF &amp; Sensitivity Model'!H173</f>
        <v>12.80000000000004</v>
      </c>
      <c r="L20" s="237">
        <f>-'DCF &amp; Sensitivity Model'!I173</f>
        <v>-22.68276000000003</v>
      </c>
      <c r="M20" s="237">
        <f>-'DCF &amp; Sensitivity Model'!J173</f>
        <v>-23.816898000000037</v>
      </c>
      <c r="N20" s="237">
        <f>-'DCF &amp; Sensitivity Model'!K173</f>
        <v>-25.484080860000034</v>
      </c>
      <c r="O20" s="237">
        <f>-'DCF &amp; Sensitivity Model'!L173</f>
        <v>-26.758284903000032</v>
      </c>
      <c r="P20" s="237">
        <f>-'DCF &amp; Sensitivity Model'!M173</f>
        <v>-27.694824874605047</v>
      </c>
      <c r="Q20" s="237">
        <f>-'DCF &amp; Sensitivity Model'!N173</f>
        <v>-28.470279971093987</v>
      </c>
      <c r="R20" s="237">
        <f>-'DCF &amp; Sensitivity Model'!O173</f>
        <v>-29.039685570515843</v>
      </c>
      <c r="S20" s="459"/>
      <c r="T20" s="459"/>
      <c r="U20" s="459"/>
      <c r="V20" s="211"/>
      <c r="W20" s="211"/>
      <c r="X20" s="211"/>
      <c r="Y20" s="211"/>
      <c r="Z20" s="211"/>
      <c r="AA20" s="211"/>
      <c r="AB20" s="211"/>
      <c r="AC20" s="211"/>
      <c r="AD20" s="211"/>
      <c r="AE20" s="211"/>
      <c r="AF20" s="211"/>
      <c r="AG20" s="211"/>
      <c r="AH20" s="211"/>
    </row>
    <row r="21" spans="2:34" ht="15.6" x14ac:dyDescent="0.3">
      <c r="B21" s="211"/>
      <c r="C21" s="214" t="s">
        <v>199</v>
      </c>
      <c r="D21" s="211"/>
      <c r="E21" s="211"/>
      <c r="F21" s="215" t="s">
        <v>181</v>
      </c>
      <c r="G21" s="228">
        <f>+G20/G4</f>
        <v>8.6307281320638363E-3</v>
      </c>
      <c r="H21" s="228">
        <f t="shared" ref="H21:R21" si="10">+H20/H4</f>
        <v>6.5996882037069118E-2</v>
      </c>
      <c r="I21" s="228">
        <f t="shared" si="10"/>
        <v>-9.1303169872663223E-2</v>
      </c>
      <c r="J21" s="228">
        <f t="shared" si="10"/>
        <v>4.890895410082776E-3</v>
      </c>
      <c r="K21" s="228">
        <f t="shared" si="10"/>
        <v>5.7559133015559127E-3</v>
      </c>
      <c r="L21" s="228">
        <f t="shared" si="10"/>
        <v>-1.0000000000000012E-2</v>
      </c>
      <c r="M21" s="228">
        <f t="shared" si="10"/>
        <v>-1.0000000000000014E-2</v>
      </c>
      <c r="N21" s="228">
        <f t="shared" si="10"/>
        <v>-1.0000000000000011E-2</v>
      </c>
      <c r="O21" s="228">
        <f t="shared" si="10"/>
        <v>-1.0000000000000009E-2</v>
      </c>
      <c r="P21" s="228">
        <f t="shared" si="10"/>
        <v>-1.0000000000000014E-2</v>
      </c>
      <c r="Q21" s="228">
        <f t="shared" si="10"/>
        <v>-1.0000000000000014E-2</v>
      </c>
      <c r="R21" s="228">
        <f t="shared" si="10"/>
        <v>-1.0000000000000005E-2</v>
      </c>
      <c r="S21" s="459"/>
      <c r="T21" s="459"/>
      <c r="U21" s="459"/>
      <c r="V21" s="211"/>
      <c r="W21" s="211"/>
      <c r="X21" s="211"/>
      <c r="Y21" s="211"/>
      <c r="Z21" s="211"/>
      <c r="AA21" s="211"/>
      <c r="AB21" s="211"/>
      <c r="AC21" s="211"/>
      <c r="AD21" s="211"/>
      <c r="AE21" s="211"/>
      <c r="AF21" s="211"/>
      <c r="AG21" s="211"/>
      <c r="AH21" s="211"/>
    </row>
    <row r="22" spans="2:34" ht="15.6" x14ac:dyDescent="0.3">
      <c r="B22" s="459"/>
      <c r="C22" s="459"/>
      <c r="D22" s="211"/>
      <c r="E22" s="211"/>
      <c r="F22" s="211"/>
      <c r="G22" s="230"/>
      <c r="H22" s="230"/>
      <c r="I22" s="230"/>
      <c r="J22" s="230"/>
      <c r="K22" s="230"/>
      <c r="L22" s="230"/>
      <c r="M22" s="230"/>
      <c r="N22" s="230"/>
      <c r="O22" s="230"/>
      <c r="P22" s="230"/>
      <c r="Q22" s="230"/>
      <c r="R22" s="230"/>
      <c r="S22" s="459"/>
      <c r="T22" s="459"/>
      <c r="U22" s="459"/>
      <c r="V22" s="211"/>
      <c r="W22" s="211"/>
      <c r="X22" s="211"/>
      <c r="Y22" s="211"/>
      <c r="Z22" s="211"/>
      <c r="AA22" s="211"/>
      <c r="AB22" s="211"/>
      <c r="AC22" s="211"/>
      <c r="AD22" s="211"/>
      <c r="AE22" s="211"/>
      <c r="AF22" s="211"/>
      <c r="AG22" s="211"/>
      <c r="AH22" s="211"/>
    </row>
    <row r="23" spans="2:34" ht="15.6" x14ac:dyDescent="0.3">
      <c r="B23" s="211"/>
      <c r="C23" s="212" t="s">
        <v>201</v>
      </c>
      <c r="D23" s="211"/>
      <c r="E23" s="211"/>
      <c r="F23" s="213" t="s">
        <v>190</v>
      </c>
      <c r="G23" s="237">
        <f>-'DCF &amp; Sensitivity Model'!D145</f>
        <v>-665.6</v>
      </c>
      <c r="H23" s="237">
        <f>-'DCF &amp; Sensitivity Model'!E145</f>
        <v>-760</v>
      </c>
      <c r="I23" s="237">
        <f>-'DCF &amp; Sensitivity Model'!F145</f>
        <v>-648.19999999999993</v>
      </c>
      <c r="J23" s="237">
        <f>-'DCF &amp; Sensitivity Model'!G145</f>
        <v>-904.9</v>
      </c>
      <c r="K23" s="237">
        <f>-'DCF &amp; Sensitivity Model'!H145</f>
        <v>-868.19999999999993</v>
      </c>
      <c r="L23" s="237">
        <f>-'DCF &amp; Sensitivity Model'!I145</f>
        <v>-567.06900000000007</v>
      </c>
      <c r="M23" s="237">
        <f>-'DCF &amp; Sensitivity Model'!J145</f>
        <v>-593.04076020000014</v>
      </c>
      <c r="N23" s="237">
        <f>-'DCF &amp; Sensitivity Model'!K145</f>
        <v>-632.00520532800022</v>
      </c>
      <c r="O23" s="237">
        <f>-'DCF &amp; Sensitivity Model'!L145</f>
        <v>-660.92963710410015</v>
      </c>
      <c r="P23" s="237">
        <f>-'DCF &amp; Sensitivity Model'!M145</f>
        <v>-681.29269191528317</v>
      </c>
      <c r="Q23" s="237">
        <f>-'DCF &amp; Sensitivity Model'!N145</f>
        <v>-697.52185929180166</v>
      </c>
      <c r="R23" s="237">
        <f>-'DCF &amp; Sensitivity Model'!O145</f>
        <v>-708.56832792058617</v>
      </c>
      <c r="S23" s="459"/>
      <c r="T23" s="459"/>
      <c r="U23" s="459"/>
      <c r="V23" s="211"/>
      <c r="W23" s="211"/>
      <c r="X23" s="211"/>
      <c r="Y23" s="211"/>
      <c r="Z23" s="211"/>
      <c r="AA23" s="211"/>
      <c r="AB23" s="211"/>
      <c r="AC23" s="211"/>
      <c r="AD23" s="211"/>
      <c r="AE23" s="211"/>
      <c r="AF23" s="211"/>
      <c r="AG23" s="211"/>
      <c r="AH23" s="211"/>
    </row>
    <row r="24" spans="2:34" ht="15.6" x14ac:dyDescent="0.3">
      <c r="B24" s="211"/>
      <c r="C24" s="219" t="s">
        <v>199</v>
      </c>
      <c r="D24" s="211"/>
      <c r="E24" s="211"/>
      <c r="F24" s="215" t="s">
        <v>181</v>
      </c>
      <c r="G24" s="232">
        <f>-G23/G4</f>
        <v>0.45592163846838824</v>
      </c>
      <c r="H24" s="232">
        <f t="shared" ref="H24:R24" si="11">-H23/H4</f>
        <v>0.43882441249494775</v>
      </c>
      <c r="I24" s="232">
        <f t="shared" si="11"/>
        <v>0.35123272825792462</v>
      </c>
      <c r="J24" s="232">
        <f t="shared" si="11"/>
        <v>0.56740657135690997</v>
      </c>
      <c r="K24" s="232">
        <f t="shared" si="11"/>
        <v>0.3904128069070959</v>
      </c>
      <c r="L24" s="232">
        <f t="shared" si="11"/>
        <v>0.25</v>
      </c>
      <c r="M24" s="232">
        <f t="shared" si="11"/>
        <v>0.249</v>
      </c>
      <c r="N24" s="232">
        <f t="shared" si="11"/>
        <v>0.248</v>
      </c>
      <c r="O24" s="232">
        <f t="shared" si="11"/>
        <v>0.247</v>
      </c>
      <c r="P24" s="232">
        <f t="shared" si="11"/>
        <v>0.24600000000000002</v>
      </c>
      <c r="Q24" s="232">
        <f t="shared" si="11"/>
        <v>0.245</v>
      </c>
      <c r="R24" s="232">
        <f t="shared" si="11"/>
        <v>0.24399999999999999</v>
      </c>
      <c r="S24" s="459"/>
      <c r="T24" s="459"/>
      <c r="U24" s="459"/>
      <c r="V24" s="211"/>
      <c r="W24" s="211"/>
      <c r="X24" s="211"/>
      <c r="Y24" s="211"/>
      <c r="Z24" s="211"/>
      <c r="AA24" s="211"/>
      <c r="AB24" s="211"/>
      <c r="AC24" s="211"/>
      <c r="AD24" s="211"/>
      <c r="AE24" s="211"/>
      <c r="AF24" s="211"/>
      <c r="AG24" s="211"/>
      <c r="AH24" s="211"/>
    </row>
    <row r="25" spans="2:34" ht="15.6" x14ac:dyDescent="0.3">
      <c r="B25" s="459"/>
      <c r="C25" s="459"/>
      <c r="D25" s="211"/>
      <c r="E25" s="211"/>
      <c r="F25" s="211"/>
      <c r="G25" s="222"/>
      <c r="H25" s="222"/>
      <c r="I25" s="222"/>
      <c r="J25" s="211"/>
      <c r="K25" s="211"/>
      <c r="L25" s="211"/>
      <c r="M25" s="211"/>
      <c r="N25" s="211"/>
      <c r="O25" s="211"/>
      <c r="P25" s="211"/>
      <c r="Q25" s="211"/>
      <c r="R25" s="211"/>
      <c r="S25" s="459"/>
      <c r="T25" s="459"/>
      <c r="U25" s="459"/>
      <c r="V25" s="211"/>
      <c r="W25" s="211"/>
      <c r="X25" s="211"/>
      <c r="Y25" s="211"/>
      <c r="Z25" s="211"/>
      <c r="AA25" s="211"/>
      <c r="AB25" s="211"/>
      <c r="AC25" s="211"/>
      <c r="AD25" s="211"/>
      <c r="AE25" s="211"/>
      <c r="AF25" s="211"/>
      <c r="AG25" s="211"/>
      <c r="AH25" s="211"/>
    </row>
    <row r="26" spans="2:34" ht="15.6" x14ac:dyDescent="0.3">
      <c r="B26" s="211"/>
      <c r="C26" s="242" t="s">
        <v>202</v>
      </c>
      <c r="D26" s="242"/>
      <c r="E26" s="242"/>
      <c r="F26" s="243" t="s">
        <v>190</v>
      </c>
      <c r="G26" s="244">
        <f t="shared" ref="G26:R26" si="12">+G14+G17+G20+G23</f>
        <v>-78.460000000000036</v>
      </c>
      <c r="H26" s="244">
        <f t="shared" si="12"/>
        <v>22.560000000000173</v>
      </c>
      <c r="I26" s="244">
        <f t="shared" si="12"/>
        <v>-156.17999999999995</v>
      </c>
      <c r="J26" s="244">
        <f t="shared" si="12"/>
        <v>-353.51999999999987</v>
      </c>
      <c r="K26" s="244">
        <f t="shared" si="12"/>
        <v>-67.419999999999845</v>
      </c>
      <c r="L26" s="244">
        <f t="shared" si="12"/>
        <v>232.2714623999999</v>
      </c>
      <c r="M26" s="244">
        <f t="shared" si="12"/>
        <v>253.88813268000001</v>
      </c>
      <c r="N26" s="244">
        <f t="shared" si="12"/>
        <v>265.54412256120031</v>
      </c>
      <c r="O26" s="244">
        <f t="shared" si="12"/>
        <v>283.63781997180013</v>
      </c>
      <c r="P26" s="244">
        <f t="shared" si="12"/>
        <v>295.22683316328914</v>
      </c>
      <c r="Q26" s="244">
        <f t="shared" si="12"/>
        <v>308.61783488665799</v>
      </c>
      <c r="R26" s="244">
        <f t="shared" si="12"/>
        <v>321.75971612131548</v>
      </c>
      <c r="S26" s="459"/>
      <c r="T26" s="459"/>
      <c r="U26" s="459"/>
      <c r="V26" s="211"/>
      <c r="W26" s="424"/>
      <c r="X26" s="425"/>
      <c r="Y26" s="425"/>
      <c r="Z26" s="426"/>
      <c r="AA26" s="426"/>
      <c r="AB26" s="426"/>
      <c r="AC26" s="427"/>
      <c r="AD26" s="160"/>
      <c r="AE26" s="160"/>
      <c r="AF26" s="226"/>
      <c r="AG26" s="226"/>
      <c r="AH26" s="211"/>
    </row>
    <row r="27" spans="2:34" ht="15.6" x14ac:dyDescent="0.3">
      <c r="B27" s="211"/>
      <c r="C27" s="214" t="s">
        <v>203</v>
      </c>
      <c r="D27" s="211"/>
      <c r="E27" s="211"/>
      <c r="F27" s="215" t="s">
        <v>181</v>
      </c>
      <c r="G27" s="216"/>
      <c r="H27" s="216">
        <f t="shared" ref="H27:L27" si="13">+H26/G26-1</f>
        <v>-1.2875350497068592</v>
      </c>
      <c r="I27" s="216">
        <f t="shared" si="13"/>
        <v>-7.9228723404254771</v>
      </c>
      <c r="J27" s="216">
        <f t="shared" si="13"/>
        <v>1.2635420668459467</v>
      </c>
      <c r="K27" s="216">
        <f t="shared" si="13"/>
        <v>-0.80928943199819003</v>
      </c>
      <c r="L27" s="216">
        <f t="shared" si="13"/>
        <v>-4.4451418332838983</v>
      </c>
      <c r="M27" s="216">
        <f>+M26/L26-1</f>
        <v>9.30664062500004E-2</v>
      </c>
      <c r="N27" s="216">
        <f t="shared" ref="N27:R27" si="14">+N26/M26-1</f>
        <v>4.5909943714822932E-2</v>
      </c>
      <c r="O27" s="216">
        <f t="shared" si="14"/>
        <v>6.8138195777350585E-2</v>
      </c>
      <c r="P27" s="216">
        <f t="shared" si="14"/>
        <v>4.0858490566036743E-2</v>
      </c>
      <c r="Q27" s="216">
        <f t="shared" si="14"/>
        <v>4.5358348968104423E-2</v>
      </c>
      <c r="R27" s="216">
        <f t="shared" si="14"/>
        <v>4.2583025830259968E-2</v>
      </c>
      <c r="S27" s="459"/>
      <c r="T27" s="459"/>
      <c r="U27" s="459"/>
      <c r="V27" s="211"/>
      <c r="W27" s="428"/>
      <c r="X27" s="425"/>
      <c r="Y27" s="429"/>
      <c r="Z27" s="426"/>
      <c r="AA27" s="426"/>
      <c r="AB27" s="426"/>
      <c r="AC27" s="160"/>
      <c r="AD27" s="160"/>
      <c r="AE27" s="160"/>
      <c r="AF27" s="226"/>
      <c r="AG27" s="226"/>
      <c r="AH27" s="211"/>
    </row>
    <row r="28" spans="2:34" ht="15.6" x14ac:dyDescent="0.3">
      <c r="B28" s="459"/>
      <c r="C28" s="459"/>
      <c r="D28" s="211"/>
      <c r="E28" s="211"/>
      <c r="F28" s="211"/>
      <c r="G28" s="211"/>
      <c r="H28" s="211"/>
      <c r="I28" s="211"/>
      <c r="J28" s="211"/>
      <c r="K28" s="211"/>
      <c r="L28" s="211"/>
      <c r="M28" s="211"/>
      <c r="N28" s="211"/>
      <c r="O28" s="211"/>
      <c r="P28" s="211"/>
      <c r="Q28" s="211"/>
      <c r="R28" s="211"/>
      <c r="S28" s="459"/>
      <c r="T28" s="459"/>
      <c r="U28" s="459"/>
      <c r="V28" s="211"/>
      <c r="W28" s="428"/>
      <c r="X28" s="160"/>
      <c r="Y28" s="430"/>
      <c r="Z28" s="426"/>
      <c r="AA28" s="426"/>
      <c r="AB28" s="426"/>
      <c r="AC28" s="160"/>
      <c r="AD28" s="160"/>
      <c r="AE28" s="160"/>
      <c r="AF28" s="226"/>
      <c r="AG28" s="226"/>
      <c r="AH28" s="211"/>
    </row>
    <row r="29" spans="2:34" ht="15.6" x14ac:dyDescent="0.3">
      <c r="B29" s="211"/>
      <c r="C29" s="211" t="s">
        <v>204</v>
      </c>
      <c r="D29" s="211"/>
      <c r="E29" s="211"/>
      <c r="F29" s="215" t="s">
        <v>205</v>
      </c>
      <c r="G29" s="211"/>
      <c r="H29" s="211"/>
      <c r="I29" s="211"/>
      <c r="J29" s="227"/>
      <c r="K29" s="223"/>
      <c r="L29" s="223">
        <v>1</v>
      </c>
      <c r="M29" s="223">
        <v>2</v>
      </c>
      <c r="N29" s="223">
        <v>3</v>
      </c>
      <c r="O29" s="223">
        <v>4</v>
      </c>
      <c r="P29" s="223">
        <v>5</v>
      </c>
      <c r="Q29" s="223">
        <v>6</v>
      </c>
      <c r="R29" s="223">
        <v>7</v>
      </c>
      <c r="S29" s="459"/>
      <c r="T29" s="459"/>
      <c r="U29" s="459"/>
      <c r="V29" s="211"/>
      <c r="W29" s="160"/>
      <c r="X29" s="160"/>
      <c r="Y29" s="431"/>
      <c r="Z29" s="426"/>
      <c r="AA29" s="426"/>
      <c r="AB29" s="426"/>
      <c r="AC29" s="160"/>
      <c r="AD29" s="160"/>
      <c r="AE29" s="160"/>
      <c r="AF29" s="226"/>
      <c r="AG29" s="226"/>
      <c r="AH29" s="211"/>
    </row>
    <row r="30" spans="2:34" ht="15.6" x14ac:dyDescent="0.3">
      <c r="B30" s="211"/>
      <c r="C30" s="211" t="s">
        <v>172</v>
      </c>
      <c r="D30" s="211"/>
      <c r="E30" s="211"/>
      <c r="F30" s="215" t="s">
        <v>181</v>
      </c>
      <c r="G30" s="211"/>
      <c r="H30" s="211"/>
      <c r="I30" s="211"/>
      <c r="J30" s="221"/>
      <c r="K30" s="221"/>
      <c r="L30" s="221">
        <f>+'DCF &amp; Sensitivity Model'!$D$181</f>
        <v>6.2182400000000006E-2</v>
      </c>
      <c r="M30" s="221">
        <f>+'DCF &amp; Sensitivity Model'!$D$181</f>
        <v>6.2182400000000006E-2</v>
      </c>
      <c r="N30" s="221">
        <f>+'DCF &amp; Sensitivity Model'!$D$181</f>
        <v>6.2182400000000006E-2</v>
      </c>
      <c r="O30" s="221">
        <f>+'DCF &amp; Sensitivity Model'!$D$181</f>
        <v>6.2182400000000006E-2</v>
      </c>
      <c r="P30" s="221">
        <f>+'DCF &amp; Sensitivity Model'!$D$181</f>
        <v>6.2182400000000006E-2</v>
      </c>
      <c r="Q30" s="221">
        <f>+'DCF &amp; Sensitivity Model'!$D$181</f>
        <v>6.2182400000000006E-2</v>
      </c>
      <c r="R30" s="221">
        <f>+'DCF &amp; Sensitivity Model'!$D$181</f>
        <v>6.2182400000000006E-2</v>
      </c>
      <c r="S30" s="459"/>
      <c r="T30" s="459"/>
      <c r="U30" s="459"/>
      <c r="V30" s="211"/>
      <c r="W30" s="160"/>
      <c r="X30" s="160"/>
      <c r="Y30" s="430"/>
      <c r="Z30" s="426"/>
      <c r="AA30" s="426"/>
      <c r="AB30" s="426"/>
      <c r="AC30" s="426"/>
      <c r="AD30" s="426"/>
      <c r="AE30" s="426"/>
      <c r="AF30" s="226"/>
      <c r="AG30" s="226"/>
      <c r="AH30" s="211"/>
    </row>
    <row r="31" spans="2:34" ht="15.6" x14ac:dyDescent="0.3">
      <c r="B31" s="211"/>
      <c r="C31" s="211" t="s">
        <v>206</v>
      </c>
      <c r="D31" s="211"/>
      <c r="E31" s="211"/>
      <c r="F31" s="215" t="s">
        <v>205</v>
      </c>
      <c r="G31" s="211"/>
      <c r="H31" s="211"/>
      <c r="I31" s="211"/>
      <c r="J31" s="211"/>
      <c r="K31" s="211"/>
      <c r="L31" s="238">
        <f>1/((1+'DCF &amp; Sensitivity Model'!E203/'DCF &amp; Sensitivity Model'!E194))</f>
        <v>0.94145788896520977</v>
      </c>
      <c r="M31" s="238">
        <f>+L31*1/(1+M30)</f>
        <v>0.88634295669482921</v>
      </c>
      <c r="N31" s="238">
        <f t="shared" ref="N31:R31" si="15">+M31*1/(1+N30)</f>
        <v>0.83445456890909619</v>
      </c>
      <c r="O31" s="238">
        <f t="shared" si="15"/>
        <v>0.78560383688253188</v>
      </c>
      <c r="P31" s="238">
        <f t="shared" si="15"/>
        <v>0.73961292983439741</v>
      </c>
      <c r="Q31" s="238">
        <f t="shared" si="15"/>
        <v>0.69631442757326556</v>
      </c>
      <c r="R31" s="238">
        <f t="shared" si="15"/>
        <v>0.65555071103914508</v>
      </c>
      <c r="S31" s="459"/>
      <c r="T31" s="459"/>
      <c r="U31" s="459"/>
      <c r="V31" s="211"/>
      <c r="W31" s="211"/>
      <c r="X31" s="211"/>
      <c r="Y31" s="211"/>
      <c r="Z31" s="211"/>
      <c r="AA31" s="211"/>
      <c r="AB31" s="211"/>
      <c r="AC31" s="211"/>
      <c r="AD31" s="211"/>
      <c r="AE31" s="211"/>
      <c r="AF31" s="226"/>
      <c r="AG31" s="226"/>
      <c r="AH31" s="211"/>
    </row>
    <row r="32" spans="2:34" ht="15.6" x14ac:dyDescent="0.3">
      <c r="B32" s="459"/>
      <c r="C32" s="459"/>
      <c r="D32" s="211"/>
      <c r="E32" s="211"/>
      <c r="F32" s="211"/>
      <c r="G32" s="211"/>
      <c r="H32" s="211"/>
      <c r="I32" s="211"/>
      <c r="J32" s="211"/>
      <c r="K32" s="211"/>
      <c r="L32" s="211"/>
      <c r="M32" s="211"/>
      <c r="N32" s="211"/>
      <c r="O32" s="211"/>
      <c r="P32" s="211"/>
      <c r="Q32" s="211"/>
      <c r="R32" s="211"/>
      <c r="S32" s="459"/>
      <c r="T32" s="459"/>
      <c r="U32" s="459"/>
      <c r="V32" s="211"/>
      <c r="W32" s="211"/>
      <c r="X32" s="211"/>
      <c r="Y32" s="211"/>
      <c r="Z32" s="211"/>
      <c r="AA32" s="211"/>
      <c r="AB32" s="211"/>
      <c r="AC32" s="211"/>
      <c r="AD32" s="211"/>
      <c r="AE32" s="211"/>
      <c r="AF32" s="226"/>
      <c r="AG32" s="226"/>
      <c r="AH32" s="211"/>
    </row>
    <row r="33" spans="1:43" ht="15.6" x14ac:dyDescent="0.3">
      <c r="B33" s="211"/>
      <c r="C33" s="240" t="s">
        <v>207</v>
      </c>
      <c r="D33" s="240"/>
      <c r="E33" s="240"/>
      <c r="F33" s="243" t="s">
        <v>190</v>
      </c>
      <c r="G33" s="240"/>
      <c r="H33" s="240"/>
      <c r="I33" s="240"/>
      <c r="J33" s="240"/>
      <c r="K33" s="240"/>
      <c r="L33" s="241">
        <f>+L26*L31</f>
        <v>218.67380065796601</v>
      </c>
      <c r="M33" s="241">
        <f t="shared" ref="M33:R33" si="16">+M26*M31</f>
        <v>225.03195818932031</v>
      </c>
      <c r="N33" s="241">
        <f t="shared" si="16"/>
        <v>221.5845063181506</v>
      </c>
      <c r="O33" s="241">
        <f t="shared" si="16"/>
        <v>222.82695965484302</v>
      </c>
      <c r="P33" s="241">
        <f t="shared" si="16"/>
        <v>218.35358304163111</v>
      </c>
      <c r="Q33" s="241">
        <f t="shared" si="16"/>
        <v>214.89505103800386</v>
      </c>
      <c r="R33" s="241">
        <f t="shared" si="16"/>
        <v>210.92981068708184</v>
      </c>
      <c r="S33" s="459"/>
      <c r="T33" s="459"/>
      <c r="U33" s="459"/>
      <c r="V33" s="211"/>
      <c r="W33" s="211"/>
      <c r="X33" s="211"/>
      <c r="Y33" s="211"/>
      <c r="Z33" s="211"/>
      <c r="AA33" s="211"/>
      <c r="AB33" s="211"/>
      <c r="AC33" s="211"/>
      <c r="AD33" s="211"/>
      <c r="AE33" s="211"/>
      <c r="AF33" s="226"/>
      <c r="AG33" s="226"/>
      <c r="AH33" s="211"/>
    </row>
    <row r="34" spans="1:43" ht="15.6" x14ac:dyDescent="0.3">
      <c r="B34" s="459"/>
      <c r="C34" s="459"/>
      <c r="D34" s="211"/>
      <c r="E34" s="211"/>
      <c r="F34" s="211"/>
      <c r="G34" s="211"/>
      <c r="H34" s="211"/>
      <c r="I34" s="211"/>
      <c r="J34" s="211"/>
      <c r="K34" s="211"/>
      <c r="L34" s="211"/>
      <c r="M34" s="211"/>
      <c r="N34" s="211"/>
      <c r="O34" s="211"/>
      <c r="P34" s="211"/>
      <c r="Q34" s="211"/>
      <c r="R34" s="211"/>
      <c r="S34" s="459"/>
      <c r="T34" s="459"/>
      <c r="U34" s="459"/>
      <c r="V34" s="211"/>
      <c r="W34" s="211"/>
      <c r="X34" s="211"/>
      <c r="Y34" s="211"/>
      <c r="Z34" s="211"/>
      <c r="AA34" s="211"/>
      <c r="AB34" s="211"/>
      <c r="AC34" s="211"/>
      <c r="AD34" s="211"/>
      <c r="AE34" s="211"/>
      <c r="AF34" s="226"/>
      <c r="AG34" s="226"/>
      <c r="AH34" s="211"/>
    </row>
    <row r="35" spans="1:43" ht="15.6" x14ac:dyDescent="0.3">
      <c r="B35" s="211"/>
      <c r="C35" s="224" t="s">
        <v>208</v>
      </c>
      <c r="D35" s="224"/>
      <c r="E35" s="224"/>
      <c r="F35" s="225" t="s">
        <v>190</v>
      </c>
      <c r="G35" s="239">
        <f>+'DCF &amp; Sensitivity Model'!D77</f>
        <v>654.9</v>
      </c>
      <c r="H35" s="239">
        <f>+'DCF &amp; Sensitivity Model'!E77</f>
        <v>772.50000000000023</v>
      </c>
      <c r="I35" s="239">
        <f>+'DCF &amp; Sensitivity Model'!F77</f>
        <v>743.8</v>
      </c>
      <c r="J35" s="239">
        <f>+'DCF &amp; Sensitivity Model'!G77</f>
        <v>560.1</v>
      </c>
      <c r="K35" s="239">
        <f>+'DCF &amp; Sensitivity Model'!H77</f>
        <v>947.90000000000009</v>
      </c>
      <c r="L35" s="239">
        <f>+'DCF &amp; Sensitivity Model'!I77</f>
        <v>1007.114544</v>
      </c>
      <c r="M35" s="239">
        <f>+'DCF &amp; Sensitivity Model'!J77</f>
        <v>1071.7604100000003</v>
      </c>
      <c r="N35" s="239">
        <f>+'DCF &amp; Sensitivity Model'!K77</f>
        <v>1134.0415982700008</v>
      </c>
      <c r="O35" s="239">
        <f>+'DCF &amp; Sensitivity Model'!L77</f>
        <v>1196.0953351641003</v>
      </c>
      <c r="P35" s="239">
        <f>+'DCF &amp; Sensitivity Model'!M77</f>
        <v>1237.9586718948435</v>
      </c>
      <c r="Q35" s="239">
        <f>+'DCF &amp; Sensitivity Model'!N77</f>
        <v>1278.3155707021178</v>
      </c>
      <c r="R35" s="239">
        <f>+'DCF &amp; Sensitivity Model'!O77</f>
        <v>1312.5937877873153</v>
      </c>
      <c r="S35" s="459"/>
      <c r="T35" s="459"/>
      <c r="U35" s="459"/>
      <c r="V35" s="211"/>
      <c r="W35" s="211"/>
      <c r="X35" s="211"/>
      <c r="Y35" s="211"/>
      <c r="Z35" s="211"/>
      <c r="AA35" s="211"/>
      <c r="AB35" s="211"/>
      <c r="AC35" s="211"/>
      <c r="AD35" s="211"/>
      <c r="AE35" s="211"/>
      <c r="AF35" s="226"/>
      <c r="AG35" s="226"/>
      <c r="AH35" s="211"/>
    </row>
    <row r="36" spans="1:43" ht="15.6" x14ac:dyDescent="0.3">
      <c r="B36" s="211"/>
      <c r="C36" s="214" t="s">
        <v>203</v>
      </c>
      <c r="D36" s="211"/>
      <c r="E36" s="211"/>
      <c r="F36" s="215" t="s">
        <v>181</v>
      </c>
      <c r="G36" s="217"/>
      <c r="H36" s="216">
        <f>+H35/G35-1</f>
        <v>0.17956939990838339</v>
      </c>
      <c r="I36" s="216">
        <f t="shared" ref="I36:R36" si="17">+I35/H35-1</f>
        <v>-3.7152103559870864E-2</v>
      </c>
      <c r="J36" s="216">
        <f t="shared" si="17"/>
        <v>-0.24697499327776273</v>
      </c>
      <c r="K36" s="216">
        <f t="shared" si="17"/>
        <v>0.69237636136404213</v>
      </c>
      <c r="L36" s="216">
        <f t="shared" si="17"/>
        <v>6.2469188732988679E-2</v>
      </c>
      <c r="M36" s="216">
        <f t="shared" si="17"/>
        <v>6.4189189189189477E-2</v>
      </c>
      <c r="N36" s="216">
        <f t="shared" si="17"/>
        <v>5.8111111111111446E-2</v>
      </c>
      <c r="O36" s="216">
        <f t="shared" si="17"/>
        <v>5.4719101123595015E-2</v>
      </c>
      <c r="P36" s="216">
        <f t="shared" si="17"/>
        <v>3.4999999999999698E-2</v>
      </c>
      <c r="Q36" s="216">
        <f t="shared" si="17"/>
        <v>3.2599552572706969E-2</v>
      </c>
      <c r="R36" s="216">
        <f t="shared" si="17"/>
        <v>2.6815144766147325E-2</v>
      </c>
      <c r="S36" s="459"/>
      <c r="T36" s="459"/>
      <c r="U36" s="459"/>
      <c r="V36" s="211"/>
      <c r="W36" s="211"/>
      <c r="X36" s="211"/>
      <c r="Y36" s="211"/>
      <c r="Z36" s="211"/>
      <c r="AA36" s="211"/>
      <c r="AB36" s="211"/>
      <c r="AC36" s="211"/>
      <c r="AD36" s="211"/>
      <c r="AE36" s="211"/>
      <c r="AF36" s="226"/>
      <c r="AG36" s="226"/>
      <c r="AH36" s="211"/>
    </row>
    <row r="37" spans="1:43" ht="15.6" x14ac:dyDescent="0.3">
      <c r="B37" s="459"/>
      <c r="C37" s="459"/>
      <c r="D37" s="211"/>
      <c r="E37" s="211"/>
      <c r="F37" s="211"/>
      <c r="G37" s="211"/>
      <c r="H37" s="211"/>
      <c r="I37" s="211"/>
      <c r="J37" s="217"/>
      <c r="K37" s="217"/>
      <c r="L37" s="217"/>
      <c r="M37" s="217"/>
      <c r="N37" s="217"/>
      <c r="O37" s="217"/>
      <c r="P37" s="217"/>
      <c r="Q37" s="217"/>
      <c r="R37" s="217"/>
      <c r="S37" s="459"/>
      <c r="T37" s="459"/>
      <c r="U37" s="459"/>
      <c r="V37" s="211"/>
      <c r="W37" s="211"/>
      <c r="X37" s="211"/>
      <c r="Y37" s="211"/>
      <c r="Z37" s="211"/>
      <c r="AA37" s="211"/>
      <c r="AB37" s="211"/>
      <c r="AC37" s="211"/>
      <c r="AD37" s="211"/>
      <c r="AE37" s="211"/>
      <c r="AF37" s="226"/>
      <c r="AG37" s="226"/>
      <c r="AH37" s="211"/>
    </row>
    <row r="38" spans="1:43" ht="15.6" x14ac:dyDescent="0.3">
      <c r="B38" s="459"/>
      <c r="C38" s="459"/>
      <c r="D38" s="211"/>
      <c r="E38" s="211"/>
      <c r="F38" s="211"/>
      <c r="G38" s="211"/>
      <c r="H38" s="211"/>
      <c r="I38" s="211"/>
      <c r="J38" s="211"/>
      <c r="K38" s="211"/>
      <c r="L38" s="211"/>
      <c r="M38" s="211"/>
      <c r="N38" s="211"/>
      <c r="O38" s="211"/>
      <c r="P38" s="211"/>
      <c r="Q38" s="211"/>
      <c r="R38" s="211"/>
      <c r="S38" s="459"/>
      <c r="T38" s="459"/>
      <c r="U38" s="459"/>
      <c r="V38" s="211"/>
      <c r="W38" s="211"/>
      <c r="X38" s="211"/>
      <c r="Y38" s="211"/>
      <c r="Z38" s="211"/>
      <c r="AA38" s="211"/>
      <c r="AB38" s="211"/>
      <c r="AC38" s="211"/>
      <c r="AD38" s="211"/>
      <c r="AE38" s="211"/>
      <c r="AF38" s="211"/>
      <c r="AG38" s="211"/>
      <c r="AH38" s="211"/>
    </row>
    <row r="39" spans="1:43" ht="15.6" x14ac:dyDescent="0.3">
      <c r="B39" s="459"/>
      <c r="C39" s="459"/>
      <c r="D39" s="211"/>
      <c r="E39" s="211"/>
      <c r="F39" s="211"/>
      <c r="G39" s="211"/>
      <c r="H39" s="211"/>
      <c r="I39" s="211"/>
      <c r="J39" s="211"/>
      <c r="K39" s="211"/>
      <c r="L39" s="211"/>
      <c r="M39" s="211"/>
      <c r="N39" s="211"/>
      <c r="O39" s="211"/>
      <c r="P39" s="211"/>
      <c r="Q39" s="211"/>
      <c r="R39" s="211"/>
      <c r="S39" s="459"/>
      <c r="T39" s="459"/>
      <c r="U39" s="459"/>
      <c r="V39" s="211"/>
      <c r="W39" s="211"/>
      <c r="X39" s="211"/>
      <c r="Y39" s="211"/>
      <c r="Z39" s="211"/>
      <c r="AA39" s="211"/>
      <c r="AB39" s="211"/>
      <c r="AC39" s="211"/>
      <c r="AD39" s="211"/>
      <c r="AE39" s="211"/>
      <c r="AF39" s="211"/>
      <c r="AG39" s="211"/>
      <c r="AH39" s="211"/>
    </row>
    <row r="40" spans="1:43" ht="4.05" customHeight="1" x14ac:dyDescent="0.3">
      <c r="A40" s="285"/>
      <c r="B40" s="285"/>
      <c r="C40" s="285"/>
      <c r="D40" s="285"/>
      <c r="E40" s="285"/>
      <c r="F40" s="285"/>
      <c r="G40" s="285"/>
      <c r="H40" s="286"/>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row>
    <row r="41" spans="1:43" s="135" customFormat="1" x14ac:dyDescent="0.3">
      <c r="A41" s="282" t="s">
        <v>307</v>
      </c>
      <c r="B41" s="284" t="s">
        <v>307</v>
      </c>
      <c r="C41" s="282" t="s">
        <v>307</v>
      </c>
      <c r="D41" s="282"/>
      <c r="E41" s="282" t="s">
        <v>307</v>
      </c>
      <c r="F41" s="282" t="s">
        <v>307</v>
      </c>
      <c r="G41" s="282" t="s">
        <v>307</v>
      </c>
      <c r="H41" s="283" t="s">
        <v>307</v>
      </c>
      <c r="I41" s="282" t="s">
        <v>307</v>
      </c>
      <c r="J41" s="282" t="s">
        <v>307</v>
      </c>
      <c r="K41" s="282" t="s">
        <v>307</v>
      </c>
      <c r="L41" s="282" t="s">
        <v>307</v>
      </c>
      <c r="M41" s="282" t="s">
        <v>307</v>
      </c>
      <c r="N41" s="282" t="s">
        <v>307</v>
      </c>
      <c r="O41" s="282" t="s">
        <v>307</v>
      </c>
      <c r="P41" s="282" t="s">
        <v>307</v>
      </c>
      <c r="Q41" s="282" t="s">
        <v>307</v>
      </c>
      <c r="R41" s="282" t="s">
        <v>307</v>
      </c>
      <c r="S41" s="282"/>
      <c r="T41" s="282"/>
      <c r="U41" s="282" t="s">
        <v>307</v>
      </c>
      <c r="V41" s="282" t="s">
        <v>307</v>
      </c>
      <c r="W41" s="282"/>
      <c r="X41" s="282"/>
      <c r="Y41" s="282" t="s">
        <v>307</v>
      </c>
      <c r="Z41" s="282" t="s">
        <v>307</v>
      </c>
      <c r="AA41" s="282" t="s">
        <v>307</v>
      </c>
      <c r="AB41" s="282" t="s">
        <v>307</v>
      </c>
      <c r="AC41" s="282" t="s">
        <v>307</v>
      </c>
      <c r="AD41" s="282"/>
      <c r="AE41" s="282"/>
      <c r="AF41" s="282" t="s">
        <v>307</v>
      </c>
      <c r="AG41" s="282" t="s">
        <v>307</v>
      </c>
      <c r="AH41" s="282"/>
      <c r="AI41" s="282" t="s">
        <v>307</v>
      </c>
      <c r="AJ41" s="282" t="s">
        <v>307</v>
      </c>
      <c r="AK41" s="282"/>
      <c r="AL41" s="282" t="s">
        <v>307</v>
      </c>
      <c r="AM41" s="282"/>
      <c r="AN41"/>
      <c r="AO41"/>
      <c r="AP41"/>
      <c r="AQ41"/>
    </row>
    <row r="42" spans="1:43" ht="15.6" x14ac:dyDescent="0.3">
      <c r="B42" s="459"/>
      <c r="C42" s="459"/>
      <c r="D42" s="211"/>
      <c r="E42" s="211"/>
      <c r="F42" s="211"/>
      <c r="G42" s="211"/>
      <c r="H42" s="211"/>
      <c r="I42" s="211"/>
      <c r="J42" s="211"/>
      <c r="K42" s="211"/>
      <c r="L42" s="211"/>
      <c r="M42" s="211"/>
      <c r="N42" s="211"/>
      <c r="O42" s="211"/>
      <c r="P42" s="211"/>
      <c r="Q42" s="211"/>
      <c r="R42" s="211"/>
      <c r="S42" s="459"/>
      <c r="T42" s="459"/>
      <c r="U42" s="459"/>
      <c r="V42" s="211"/>
      <c r="W42" s="211"/>
      <c r="X42" s="211"/>
      <c r="Y42" s="211"/>
      <c r="Z42" s="211"/>
      <c r="AA42" s="211"/>
      <c r="AB42" s="211"/>
      <c r="AC42" s="211"/>
      <c r="AD42" s="211"/>
      <c r="AE42" s="211"/>
      <c r="AF42" s="211"/>
      <c r="AG42" s="211"/>
      <c r="AH42" s="211"/>
    </row>
    <row r="43" spans="1:43" ht="15.6" x14ac:dyDescent="0.3">
      <c r="B43" s="459"/>
      <c r="C43" s="459"/>
      <c r="D43" s="211"/>
      <c r="E43" s="211"/>
      <c r="F43" s="211"/>
      <c r="G43" s="211"/>
      <c r="H43" s="211"/>
      <c r="I43" s="211"/>
      <c r="J43" s="211"/>
      <c r="K43" s="211"/>
      <c r="L43" s="211"/>
      <c r="M43" s="211"/>
      <c r="N43" s="211"/>
      <c r="O43" s="211"/>
      <c r="P43" s="211"/>
      <c r="Q43" s="211"/>
      <c r="R43" s="211"/>
      <c r="S43" s="459"/>
      <c r="T43" s="459"/>
      <c r="U43" s="459"/>
      <c r="V43" s="211"/>
      <c r="W43" s="211"/>
      <c r="X43" s="211"/>
      <c r="Y43" s="211"/>
      <c r="Z43" s="211"/>
      <c r="AA43" s="211"/>
      <c r="AB43" s="211"/>
      <c r="AC43" s="211"/>
      <c r="AD43" s="211"/>
      <c r="AE43" s="211"/>
      <c r="AF43" s="211"/>
      <c r="AG43" s="211"/>
      <c r="AH43" s="211"/>
    </row>
    <row r="44" spans="1:43" ht="15.6" x14ac:dyDescent="0.3">
      <c r="B44" s="459"/>
      <c r="C44" s="459"/>
      <c r="D44" s="211"/>
      <c r="E44" s="211"/>
      <c r="F44" s="211"/>
      <c r="G44" s="211"/>
      <c r="H44" s="211"/>
      <c r="I44" s="211"/>
      <c r="J44" s="211"/>
      <c r="K44" s="211"/>
      <c r="L44" s="211"/>
      <c r="M44" s="211"/>
      <c r="N44" s="211"/>
      <c r="O44" s="211"/>
      <c r="P44" s="211"/>
      <c r="Q44" s="211"/>
      <c r="R44" s="211"/>
      <c r="S44" s="459"/>
      <c r="T44" s="459"/>
      <c r="U44" s="459"/>
      <c r="V44" s="211"/>
      <c r="W44" s="211"/>
      <c r="X44" s="211"/>
      <c r="Y44" s="211"/>
      <c r="Z44" s="211"/>
      <c r="AA44" s="211"/>
      <c r="AB44" s="211"/>
      <c r="AC44" s="211"/>
      <c r="AD44" s="211"/>
      <c r="AE44" s="211"/>
      <c r="AF44" s="211"/>
      <c r="AG44" s="211"/>
      <c r="AH44" s="211"/>
    </row>
    <row r="45" spans="1:43" ht="15.6" x14ac:dyDescent="0.3">
      <c r="B45" s="459"/>
      <c r="C45" s="459"/>
      <c r="D45" s="211"/>
      <c r="E45" s="211"/>
      <c r="F45" s="211"/>
      <c r="G45" s="211"/>
      <c r="H45" s="211"/>
      <c r="I45" s="211"/>
      <c r="J45" s="211"/>
      <c r="K45" s="211"/>
      <c r="L45" s="211"/>
      <c r="M45" s="211"/>
      <c r="N45" s="211"/>
      <c r="O45" s="211"/>
      <c r="P45" s="211"/>
      <c r="Q45" s="211"/>
      <c r="R45" s="211"/>
      <c r="S45" s="459"/>
      <c r="T45" s="459"/>
      <c r="U45" s="459"/>
      <c r="V45" s="211"/>
      <c r="W45" s="211"/>
      <c r="X45" s="211"/>
      <c r="Y45" s="211"/>
      <c r="Z45" s="211"/>
      <c r="AA45" s="211"/>
      <c r="AB45" s="211"/>
      <c r="AC45" s="211"/>
      <c r="AD45" s="211"/>
      <c r="AE45" s="211"/>
      <c r="AF45" s="211"/>
      <c r="AG45" s="211"/>
      <c r="AH45" s="211"/>
    </row>
    <row r="46" spans="1:43" ht="15.6" x14ac:dyDescent="0.3">
      <c r="B46" s="459"/>
      <c r="C46" s="459"/>
      <c r="D46" s="211"/>
      <c r="E46" s="211"/>
      <c r="F46" s="211"/>
      <c r="G46" s="211"/>
      <c r="H46" s="211"/>
      <c r="I46" s="211"/>
      <c r="J46" s="211"/>
      <c r="K46" s="211"/>
      <c r="L46" s="211"/>
      <c r="M46" s="211"/>
      <c r="N46" s="211"/>
      <c r="O46" s="211"/>
      <c r="P46" s="211"/>
      <c r="Q46" s="211"/>
      <c r="R46" s="211"/>
      <c r="S46" s="459"/>
      <c r="T46" s="459"/>
      <c r="U46" s="459"/>
      <c r="V46" s="211"/>
      <c r="W46" s="211"/>
      <c r="X46" s="211"/>
      <c r="Y46" s="211"/>
      <c r="Z46" s="211"/>
      <c r="AA46" s="211"/>
      <c r="AB46" s="211"/>
      <c r="AC46" s="211"/>
      <c r="AD46" s="211"/>
      <c r="AE46" s="211"/>
      <c r="AF46" s="211"/>
      <c r="AG46" s="211"/>
      <c r="AH46" s="211"/>
    </row>
    <row r="47" spans="1:43" ht="15.6" x14ac:dyDescent="0.3">
      <c r="B47" s="459"/>
      <c r="C47" s="459"/>
      <c r="D47" s="211"/>
      <c r="E47" s="211"/>
      <c r="F47" s="211"/>
      <c r="G47" s="211"/>
      <c r="H47" s="211"/>
      <c r="I47" s="211"/>
      <c r="J47" s="211"/>
      <c r="K47" s="211"/>
      <c r="L47" s="211"/>
      <c r="M47" s="211"/>
      <c r="N47" s="211"/>
      <c r="O47" s="211"/>
      <c r="P47" s="211"/>
      <c r="Q47" s="211"/>
      <c r="R47" s="211"/>
      <c r="S47" s="459"/>
      <c r="T47" s="459"/>
      <c r="U47" s="459"/>
      <c r="V47" s="211"/>
      <c r="W47" s="211"/>
      <c r="X47" s="211"/>
      <c r="Y47" s="211"/>
      <c r="Z47" s="211"/>
      <c r="AA47" s="211"/>
      <c r="AB47" s="211"/>
      <c r="AC47" s="211"/>
      <c r="AD47" s="211"/>
      <c r="AE47" s="211"/>
      <c r="AF47" s="211"/>
      <c r="AG47" s="211"/>
      <c r="AH47" s="211"/>
    </row>
    <row r="48" spans="1:43" ht="15.6" x14ac:dyDescent="0.3">
      <c r="B48" s="459"/>
      <c r="C48" s="459"/>
      <c r="D48" s="211"/>
      <c r="E48" s="211"/>
      <c r="F48" s="211"/>
      <c r="G48" s="211"/>
      <c r="H48" s="211"/>
      <c r="I48" s="211"/>
      <c r="J48" s="211"/>
      <c r="K48" s="211"/>
      <c r="L48" s="211"/>
      <c r="M48" s="211"/>
      <c r="N48" s="211"/>
      <c r="O48" s="211"/>
      <c r="P48" s="211"/>
      <c r="Q48" s="211"/>
      <c r="R48" s="211"/>
      <c r="S48" s="459"/>
      <c r="T48" s="459"/>
      <c r="U48" s="459"/>
      <c r="V48" s="211"/>
      <c r="W48" s="211"/>
      <c r="X48" s="211"/>
      <c r="Y48" s="211"/>
      <c r="Z48" s="211"/>
      <c r="AA48" s="211"/>
      <c r="AB48" s="211"/>
      <c r="AC48" s="211"/>
      <c r="AD48" s="211"/>
      <c r="AE48" s="211"/>
      <c r="AF48" s="211"/>
      <c r="AG48" s="211"/>
      <c r="AH48" s="211"/>
    </row>
    <row r="49" spans="2:34" ht="15.6" x14ac:dyDescent="0.3">
      <c r="B49" s="459"/>
      <c r="C49" s="459"/>
      <c r="D49" s="211"/>
      <c r="E49" s="211"/>
      <c r="F49" s="211"/>
      <c r="G49" s="211"/>
      <c r="H49" s="211"/>
      <c r="I49" s="211"/>
      <c r="J49" s="211"/>
      <c r="K49" s="211"/>
      <c r="L49" s="211"/>
      <c r="M49" s="211"/>
      <c r="N49" s="211"/>
      <c r="O49" s="211"/>
      <c r="P49" s="211"/>
      <c r="Q49" s="211"/>
      <c r="R49" s="211"/>
      <c r="S49" s="459"/>
      <c r="T49" s="459"/>
      <c r="U49" s="459"/>
      <c r="V49" s="211"/>
      <c r="W49" s="211"/>
      <c r="X49" s="211"/>
      <c r="Y49" s="211"/>
      <c r="Z49" s="211"/>
      <c r="AA49" s="211"/>
      <c r="AB49" s="211"/>
      <c r="AC49" s="211"/>
      <c r="AD49" s="211"/>
      <c r="AE49" s="211"/>
      <c r="AF49" s="211"/>
      <c r="AG49" s="211"/>
      <c r="AH49" s="211"/>
    </row>
    <row r="50" spans="2:34" ht="15.6" x14ac:dyDescent="0.3">
      <c r="B50" s="459"/>
      <c r="C50" s="459"/>
      <c r="D50" s="211"/>
      <c r="E50" s="211"/>
      <c r="F50" s="211"/>
      <c r="G50" s="211"/>
      <c r="H50" s="211"/>
      <c r="I50" s="211"/>
      <c r="J50" s="211"/>
      <c r="K50" s="211"/>
      <c r="L50" s="211"/>
      <c r="M50" s="211"/>
      <c r="N50" s="211"/>
      <c r="O50" s="211"/>
      <c r="P50" s="211"/>
      <c r="Q50" s="211"/>
      <c r="R50" s="211"/>
      <c r="S50" s="459"/>
      <c r="T50" s="459"/>
      <c r="U50" s="459"/>
      <c r="V50" s="211"/>
      <c r="W50" s="211"/>
      <c r="X50" s="211"/>
      <c r="Y50" s="211"/>
      <c r="Z50" s="211"/>
      <c r="AA50" s="211"/>
      <c r="AB50" s="211"/>
      <c r="AC50" s="211"/>
      <c r="AD50" s="211"/>
      <c r="AE50" s="211"/>
      <c r="AF50" s="211"/>
      <c r="AG50" s="211"/>
      <c r="AH50" s="211"/>
    </row>
    <row r="51" spans="2:34" ht="15.6" x14ac:dyDescent="0.3">
      <c r="B51" s="459"/>
      <c r="C51" s="459"/>
      <c r="D51" s="211"/>
      <c r="E51" s="211"/>
      <c r="F51" s="211"/>
      <c r="G51" s="211"/>
      <c r="H51" s="211"/>
      <c r="I51" s="211"/>
      <c r="J51" s="211"/>
      <c r="K51" s="211"/>
      <c r="L51" s="211"/>
      <c r="M51" s="211"/>
      <c r="N51" s="211"/>
      <c r="O51" s="211"/>
      <c r="P51" s="211"/>
      <c r="Q51" s="211"/>
      <c r="R51" s="211"/>
      <c r="S51" s="459"/>
      <c r="T51" s="459"/>
      <c r="U51" s="459"/>
      <c r="V51" s="211"/>
      <c r="W51" s="211"/>
      <c r="X51" s="211"/>
      <c r="Y51" s="211"/>
      <c r="Z51" s="211"/>
      <c r="AA51" s="211"/>
      <c r="AB51" s="211"/>
      <c r="AC51" s="211"/>
      <c r="AD51" s="211"/>
      <c r="AE51" s="211"/>
      <c r="AF51" s="211"/>
      <c r="AG51" s="211"/>
      <c r="AH51" s="211"/>
    </row>
    <row r="52" spans="2:34" ht="15.6" x14ac:dyDescent="0.3">
      <c r="B52" s="459"/>
      <c r="C52" s="459"/>
      <c r="D52" s="211"/>
      <c r="E52" s="211"/>
      <c r="F52" s="211"/>
      <c r="G52" s="211"/>
      <c r="H52" s="211"/>
      <c r="I52" s="211"/>
      <c r="J52" s="211"/>
      <c r="K52" s="211"/>
      <c r="L52" s="211"/>
      <c r="M52" s="211"/>
      <c r="N52" s="211"/>
      <c r="O52" s="211"/>
      <c r="P52" s="211"/>
      <c r="Q52" s="211"/>
      <c r="R52" s="211"/>
      <c r="S52" s="459"/>
      <c r="T52" s="459"/>
      <c r="U52" s="459"/>
      <c r="V52" s="211"/>
      <c r="W52" s="211"/>
      <c r="X52" s="211"/>
      <c r="Y52" s="211"/>
      <c r="Z52" s="211"/>
      <c r="AA52" s="211"/>
      <c r="AB52" s="211"/>
      <c r="AC52" s="211"/>
      <c r="AD52" s="211"/>
      <c r="AE52" s="211"/>
      <c r="AF52" s="211"/>
      <c r="AG52" s="211"/>
      <c r="AH52" s="211"/>
    </row>
    <row r="53" spans="2:34" ht="15.6" x14ac:dyDescent="0.3">
      <c r="B53" s="459"/>
      <c r="C53" s="459"/>
      <c r="D53" s="211"/>
      <c r="E53" s="211"/>
      <c r="F53" s="211"/>
      <c r="G53" s="211"/>
      <c r="H53" s="211"/>
      <c r="I53" s="211"/>
      <c r="J53" s="211"/>
      <c r="K53" s="211"/>
      <c r="L53" s="211"/>
      <c r="M53" s="211"/>
      <c r="N53" s="211"/>
      <c r="O53" s="211"/>
      <c r="P53" s="211"/>
      <c r="Q53" s="211"/>
      <c r="R53" s="211"/>
      <c r="S53" s="459"/>
      <c r="T53" s="459"/>
      <c r="U53" s="459"/>
      <c r="V53" s="211"/>
      <c r="W53" s="211"/>
      <c r="X53" s="211"/>
      <c r="Y53" s="211"/>
      <c r="Z53" s="211"/>
      <c r="AA53" s="211"/>
      <c r="AB53" s="211"/>
      <c r="AC53" s="211"/>
      <c r="AD53" s="211"/>
      <c r="AE53" s="211"/>
      <c r="AF53" s="211"/>
      <c r="AG53" s="211"/>
      <c r="AH53" s="211"/>
    </row>
    <row r="54" spans="2:34" ht="15.6" x14ac:dyDescent="0.3">
      <c r="B54" s="459"/>
      <c r="C54" s="459"/>
      <c r="D54" s="211"/>
      <c r="E54" s="211"/>
      <c r="F54" s="211"/>
      <c r="G54" s="211"/>
      <c r="H54" s="211"/>
      <c r="I54" s="211"/>
      <c r="J54" s="211"/>
      <c r="K54" s="211"/>
      <c r="L54" s="211"/>
      <c r="M54" s="211"/>
      <c r="N54" s="211"/>
      <c r="O54" s="211"/>
      <c r="P54" s="211"/>
      <c r="Q54" s="211"/>
      <c r="R54" s="211"/>
      <c r="S54" s="459"/>
      <c r="T54" s="459"/>
      <c r="U54" s="459"/>
      <c r="V54" s="211"/>
      <c r="W54" s="211"/>
      <c r="X54" s="211"/>
      <c r="Y54" s="211"/>
      <c r="Z54" s="211"/>
      <c r="AA54" s="211"/>
      <c r="AB54" s="211"/>
      <c r="AC54" s="211"/>
      <c r="AD54" s="211"/>
      <c r="AE54" s="211"/>
      <c r="AF54" s="211"/>
      <c r="AG54" s="211"/>
      <c r="AH54" s="211"/>
    </row>
    <row r="55" spans="2:34" ht="15.6" x14ac:dyDescent="0.3">
      <c r="B55" s="459"/>
      <c r="C55" s="459"/>
      <c r="D55" s="211"/>
      <c r="E55" s="211"/>
      <c r="F55" s="211"/>
      <c r="G55" s="211"/>
      <c r="H55" s="211"/>
      <c r="I55" s="211"/>
      <c r="J55" s="211"/>
      <c r="K55" s="211"/>
      <c r="L55" s="211"/>
      <c r="M55" s="211"/>
      <c r="N55" s="211"/>
      <c r="O55" s="211"/>
      <c r="P55" s="211"/>
      <c r="Q55" s="211"/>
      <c r="R55" s="211"/>
      <c r="S55" s="459"/>
      <c r="T55" s="459"/>
      <c r="U55" s="459"/>
      <c r="V55" s="211"/>
      <c r="W55" s="211"/>
      <c r="X55" s="211"/>
      <c r="Y55" s="211"/>
      <c r="Z55" s="211"/>
      <c r="AA55" s="211"/>
      <c r="AB55" s="211"/>
      <c r="AC55" s="211"/>
      <c r="AD55" s="211"/>
      <c r="AE55" s="211"/>
      <c r="AF55" s="211"/>
      <c r="AG55" s="211"/>
      <c r="AH55" s="211"/>
    </row>
    <row r="56" spans="2:34" ht="15.6" x14ac:dyDescent="0.3">
      <c r="B56" s="459"/>
      <c r="C56" s="459"/>
      <c r="D56" s="211"/>
      <c r="E56" s="211"/>
      <c r="F56" s="211"/>
      <c r="G56" s="211"/>
      <c r="H56" s="211"/>
      <c r="I56" s="211"/>
      <c r="J56" s="211"/>
      <c r="K56" s="211"/>
      <c r="L56" s="211"/>
      <c r="M56" s="211"/>
      <c r="N56" s="211"/>
      <c r="O56" s="211"/>
      <c r="P56" s="211"/>
      <c r="Q56" s="211"/>
      <c r="R56" s="211"/>
      <c r="S56" s="459"/>
      <c r="T56" s="459"/>
      <c r="U56" s="459"/>
      <c r="V56" s="211"/>
      <c r="W56" s="211"/>
      <c r="X56" s="211"/>
      <c r="Y56" s="211"/>
      <c r="Z56" s="211"/>
      <c r="AA56" s="211"/>
      <c r="AB56" s="211"/>
      <c r="AC56" s="211"/>
      <c r="AD56" s="211"/>
      <c r="AE56" s="211"/>
      <c r="AF56" s="211"/>
      <c r="AG56" s="211"/>
      <c r="AH56" s="211"/>
    </row>
    <row r="57" spans="2:34" ht="15.6" x14ac:dyDescent="0.3">
      <c r="B57" s="459"/>
      <c r="C57" s="459"/>
      <c r="D57" s="211"/>
      <c r="E57" s="211"/>
      <c r="F57" s="211"/>
      <c r="G57" s="211"/>
      <c r="H57" s="211"/>
      <c r="I57" s="211"/>
      <c r="J57" s="211"/>
      <c r="K57" s="211"/>
      <c r="L57" s="211"/>
      <c r="M57" s="211"/>
      <c r="N57" s="211"/>
      <c r="O57" s="211"/>
      <c r="P57" s="211"/>
      <c r="Q57" s="211"/>
      <c r="R57" s="211"/>
      <c r="S57" s="459"/>
      <c r="T57" s="459"/>
      <c r="U57" s="459"/>
      <c r="V57" s="211"/>
      <c r="W57" s="211"/>
      <c r="X57" s="211"/>
      <c r="Y57" s="211"/>
      <c r="Z57" s="211"/>
      <c r="AA57" s="211"/>
      <c r="AB57" s="211"/>
      <c r="AC57" s="211"/>
      <c r="AD57" s="211"/>
      <c r="AE57" s="211"/>
      <c r="AF57" s="211"/>
      <c r="AG57" s="211"/>
      <c r="AH57" s="211"/>
    </row>
    <row r="58" spans="2:34" ht="15.6" x14ac:dyDescent="0.3">
      <c r="B58" s="459"/>
      <c r="C58" s="459"/>
      <c r="D58" s="211"/>
      <c r="E58" s="211"/>
      <c r="F58" s="211"/>
      <c r="G58" s="211"/>
      <c r="H58" s="211"/>
      <c r="I58" s="211"/>
      <c r="J58" s="211"/>
      <c r="K58" s="211"/>
      <c r="L58" s="211"/>
      <c r="M58" s="211"/>
      <c r="N58" s="211"/>
      <c r="O58" s="211"/>
      <c r="P58" s="211"/>
      <c r="Q58" s="211"/>
      <c r="R58" s="211"/>
      <c r="S58" s="459"/>
      <c r="T58" s="459"/>
      <c r="U58" s="459"/>
      <c r="V58" s="211"/>
      <c r="W58" s="211"/>
      <c r="X58" s="211"/>
      <c r="Y58" s="211"/>
      <c r="Z58" s="211"/>
      <c r="AA58" s="211"/>
      <c r="AB58" s="211"/>
      <c r="AC58" s="211"/>
      <c r="AD58" s="211"/>
      <c r="AE58" s="211"/>
      <c r="AF58" s="211"/>
      <c r="AG58" s="211"/>
      <c r="AH58" s="211"/>
    </row>
    <row r="59" spans="2:34" ht="15.6" x14ac:dyDescent="0.3">
      <c r="B59" s="459"/>
      <c r="C59" s="459"/>
      <c r="D59" s="211"/>
      <c r="E59" s="211"/>
      <c r="F59" s="211"/>
      <c r="G59" s="211"/>
      <c r="H59" s="211"/>
      <c r="I59" s="211"/>
      <c r="J59" s="211"/>
      <c r="K59" s="211"/>
      <c r="L59" s="211"/>
      <c r="M59" s="211"/>
      <c r="N59" s="211"/>
      <c r="O59" s="211"/>
      <c r="P59" s="211"/>
      <c r="Q59" s="211"/>
      <c r="R59" s="211"/>
      <c r="S59" s="459"/>
      <c r="T59" s="459"/>
      <c r="U59" s="459"/>
      <c r="V59" s="211"/>
      <c r="W59" s="211"/>
      <c r="X59" s="211"/>
      <c r="Y59" s="211"/>
      <c r="Z59" s="211"/>
      <c r="AA59" s="211"/>
      <c r="AB59" s="211"/>
      <c r="AC59" s="211"/>
      <c r="AD59" s="211"/>
      <c r="AE59" s="211"/>
      <c r="AF59" s="211"/>
      <c r="AG59" s="211"/>
      <c r="AH59" s="211"/>
    </row>
  </sheetData>
  <mergeCells count="90">
    <mergeCell ref="B3:C3"/>
    <mergeCell ref="S3:U3"/>
    <mergeCell ref="S4:U4"/>
    <mergeCell ref="S5:U5"/>
    <mergeCell ref="S1:U1"/>
    <mergeCell ref="S2:U2"/>
    <mergeCell ref="G1:K1"/>
    <mergeCell ref="L1:R1"/>
    <mergeCell ref="B13:C13"/>
    <mergeCell ref="S13:U13"/>
    <mergeCell ref="S14:U14"/>
    <mergeCell ref="B15:C15"/>
    <mergeCell ref="S15:U15"/>
    <mergeCell ref="B19:C19"/>
    <mergeCell ref="S19:U19"/>
    <mergeCell ref="S16:U16"/>
    <mergeCell ref="S17:U17"/>
    <mergeCell ref="S18:U18"/>
    <mergeCell ref="S12:U12"/>
    <mergeCell ref="B6:C6"/>
    <mergeCell ref="S6:U6"/>
    <mergeCell ref="S7:U7"/>
    <mergeCell ref="S8:U8"/>
    <mergeCell ref="S9:U9"/>
    <mergeCell ref="B10:C10"/>
    <mergeCell ref="S10:U10"/>
    <mergeCell ref="S27:U27"/>
    <mergeCell ref="B28:C28"/>
    <mergeCell ref="S28:U28"/>
    <mergeCell ref="S29:U29"/>
    <mergeCell ref="S24:U24"/>
    <mergeCell ref="B25:C25"/>
    <mergeCell ref="S25:U25"/>
    <mergeCell ref="S26:U26"/>
    <mergeCell ref="S21:U21"/>
    <mergeCell ref="B22:C22"/>
    <mergeCell ref="S22:U22"/>
    <mergeCell ref="S23:U23"/>
    <mergeCell ref="S20:U20"/>
    <mergeCell ref="S33:U33"/>
    <mergeCell ref="B34:C34"/>
    <mergeCell ref="S34:U34"/>
    <mergeCell ref="S35:U35"/>
    <mergeCell ref="S30:U30"/>
    <mergeCell ref="S31:U31"/>
    <mergeCell ref="B32:C32"/>
    <mergeCell ref="S32:U32"/>
    <mergeCell ref="B38:C38"/>
    <mergeCell ref="S38:U38"/>
    <mergeCell ref="B39:C39"/>
    <mergeCell ref="S39:U39"/>
    <mergeCell ref="S36:U36"/>
    <mergeCell ref="B37:C37"/>
    <mergeCell ref="S37:U37"/>
    <mergeCell ref="B46:C46"/>
    <mergeCell ref="S46:U46"/>
    <mergeCell ref="B47:C47"/>
    <mergeCell ref="S47:U47"/>
    <mergeCell ref="B42:C42"/>
    <mergeCell ref="S42:U42"/>
    <mergeCell ref="B43:C43"/>
    <mergeCell ref="S43:U43"/>
    <mergeCell ref="B44:C44"/>
    <mergeCell ref="S44:U44"/>
    <mergeCell ref="B45:C45"/>
    <mergeCell ref="S45:U45"/>
    <mergeCell ref="B48:C48"/>
    <mergeCell ref="S48:U48"/>
    <mergeCell ref="B49:C49"/>
    <mergeCell ref="S49:U49"/>
    <mergeCell ref="B50:C50"/>
    <mergeCell ref="S50:U50"/>
    <mergeCell ref="B51:C51"/>
    <mergeCell ref="S51:U51"/>
    <mergeCell ref="B52:C52"/>
    <mergeCell ref="S52:U52"/>
    <mergeCell ref="B53:C53"/>
    <mergeCell ref="S53:U53"/>
    <mergeCell ref="B54:C54"/>
    <mergeCell ref="S54:U54"/>
    <mergeCell ref="B55:C55"/>
    <mergeCell ref="S55:U55"/>
    <mergeCell ref="B56:C56"/>
    <mergeCell ref="S56:U56"/>
    <mergeCell ref="B57:C57"/>
    <mergeCell ref="S57:U57"/>
    <mergeCell ref="B58:C58"/>
    <mergeCell ref="S58:U58"/>
    <mergeCell ref="B59:C59"/>
    <mergeCell ref="S59:U59"/>
  </mergeCells>
  <pageMargins left="0.7" right="0.7" top="0.78740157499999996" bottom="0.78740157499999996" header="0.3" footer="0.3"/>
  <pageSetup paperSize="9" orientation="portrait" r:id="rId1"/>
  <customProperties>
    <customPr name="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20"/>
  <sheetViews>
    <sheetView workbookViewId="0">
      <selection activeCell="C19" sqref="C19"/>
    </sheetView>
  </sheetViews>
  <sheetFormatPr defaultColWidth="9.109375" defaultRowHeight="14.4" x14ac:dyDescent="0.3"/>
  <cols>
    <col min="2" max="2" width="25.109375" customWidth="1"/>
    <col min="3" max="5" width="15.6640625" customWidth="1"/>
    <col min="8" max="8" width="11.77734375" bestFit="1" customWidth="1"/>
    <col min="11" max="11" width="10.33203125" bestFit="1" customWidth="1"/>
    <col min="15" max="25" width="30.6640625" customWidth="1"/>
  </cols>
  <sheetData>
    <row r="1" spans="1:14" ht="15.6" x14ac:dyDescent="0.3">
      <c r="A1" s="91"/>
      <c r="B1" s="91"/>
      <c r="C1" s="91"/>
      <c r="D1" s="91"/>
      <c r="E1" s="91"/>
      <c r="F1" s="91"/>
      <c r="G1" s="91"/>
      <c r="H1" s="91"/>
      <c r="I1" s="91"/>
      <c r="J1" s="91"/>
      <c r="K1" s="91"/>
    </row>
    <row r="2" spans="1:14" ht="18" x14ac:dyDescent="0.35">
      <c r="A2" s="91"/>
      <c r="B2" s="92" t="s">
        <v>209</v>
      </c>
      <c r="C2" s="92"/>
      <c r="D2" s="92"/>
      <c r="E2" s="91"/>
      <c r="F2" s="91"/>
      <c r="G2" s="91"/>
      <c r="H2" s="91"/>
      <c r="I2" s="91"/>
      <c r="J2" s="91"/>
      <c r="K2" s="91"/>
      <c r="L2" s="91"/>
    </row>
    <row r="3" spans="1:14" ht="15.6" x14ac:dyDescent="0.3">
      <c r="A3" s="91"/>
      <c r="B3" s="91"/>
      <c r="C3" s="91"/>
      <c r="D3" s="91"/>
      <c r="E3" s="91"/>
      <c r="F3" s="91"/>
      <c r="G3" s="91"/>
      <c r="H3" s="91"/>
      <c r="I3" s="91"/>
      <c r="J3" s="91"/>
      <c r="K3" s="91"/>
    </row>
    <row r="4" spans="1:14" ht="15.6" x14ac:dyDescent="0.3">
      <c r="A4" s="91"/>
      <c r="B4" s="94" t="s">
        <v>210</v>
      </c>
      <c r="C4" s="95"/>
      <c r="D4" s="95"/>
      <c r="E4" s="98" t="s">
        <v>211</v>
      </c>
      <c r="F4" s="93"/>
      <c r="G4" s="91"/>
      <c r="H4" s="107" t="s">
        <v>212</v>
      </c>
      <c r="I4" s="107">
        <v>2017</v>
      </c>
      <c r="J4" s="107">
        <v>2018</v>
      </c>
      <c r="K4" s="107">
        <v>2019</v>
      </c>
      <c r="L4" s="107">
        <v>2020</v>
      </c>
      <c r="M4" s="107">
        <v>2021</v>
      </c>
      <c r="N4" s="91"/>
    </row>
    <row r="5" spans="1:14" ht="15.6" x14ac:dyDescent="0.3">
      <c r="A5" s="91"/>
      <c r="B5" s="93" t="s">
        <v>213</v>
      </c>
      <c r="C5" s="91"/>
      <c r="D5" s="91"/>
      <c r="E5" s="99">
        <v>1.3899999999999999E-2</v>
      </c>
      <c r="F5" s="91"/>
      <c r="G5" s="91"/>
      <c r="H5" s="91"/>
      <c r="I5" s="99">
        <v>9.4E-2</v>
      </c>
      <c r="J5" s="99">
        <v>7.1999999999999995E-2</v>
      </c>
      <c r="K5" s="99">
        <v>0.1</v>
      </c>
      <c r="L5" s="108">
        <v>7.5999999999999998E-2</v>
      </c>
      <c r="M5" s="108">
        <v>5.7000000000000002E-2</v>
      </c>
    </row>
    <row r="6" spans="1:14" ht="15.6" x14ac:dyDescent="0.3">
      <c r="A6" s="91"/>
      <c r="B6" s="93" t="s">
        <v>214</v>
      </c>
      <c r="C6" s="91"/>
      <c r="D6" s="91"/>
      <c r="E6" s="99">
        <v>9.3700000000000006E-2</v>
      </c>
      <c r="F6" s="91"/>
      <c r="G6" s="91"/>
      <c r="H6" s="432" t="s">
        <v>45</v>
      </c>
      <c r="I6" s="433">
        <f>+AVERAGE(I5:M5)</f>
        <v>7.980000000000001E-2</v>
      </c>
      <c r="J6" s="432"/>
      <c r="K6" s="432"/>
      <c r="L6" s="434"/>
      <c r="M6" s="434"/>
    </row>
    <row r="7" spans="1:14" ht="15.6" x14ac:dyDescent="0.3">
      <c r="A7" s="91"/>
      <c r="B7" s="93" t="s">
        <v>215</v>
      </c>
      <c r="C7" s="91"/>
      <c r="D7" s="91"/>
      <c r="E7" s="91">
        <v>0.46400000000000002</v>
      </c>
      <c r="F7" s="91"/>
      <c r="G7" s="91"/>
      <c r="H7" s="91"/>
      <c r="I7" s="91"/>
      <c r="J7" s="91"/>
      <c r="K7" s="91"/>
    </row>
    <row r="8" spans="1:14" ht="15.6" x14ac:dyDescent="0.3">
      <c r="A8" s="91"/>
      <c r="B8" s="104" t="s">
        <v>216</v>
      </c>
      <c r="C8" s="104"/>
      <c r="D8" s="104"/>
      <c r="E8" s="105">
        <f>+E5+E7*(E6-E5)</f>
        <v>5.0927200000000006E-2</v>
      </c>
      <c r="F8" s="91"/>
      <c r="G8" s="91"/>
      <c r="H8" s="91"/>
      <c r="I8" s="91"/>
      <c r="J8" s="91"/>
      <c r="K8" s="91"/>
    </row>
    <row r="9" spans="1:14" ht="15.6" x14ac:dyDescent="0.3">
      <c r="A9" s="91"/>
      <c r="B9" s="91"/>
      <c r="C9" s="91"/>
      <c r="D9" s="91"/>
      <c r="E9" s="91"/>
      <c r="F9" s="91"/>
      <c r="G9" s="91"/>
      <c r="H9" s="91"/>
      <c r="I9" s="91"/>
      <c r="J9" s="91"/>
      <c r="K9" s="91"/>
    </row>
    <row r="10" spans="1:14" ht="15.6" x14ac:dyDescent="0.3">
      <c r="A10" s="91"/>
      <c r="B10" s="94" t="s">
        <v>217</v>
      </c>
      <c r="C10" s="95"/>
      <c r="D10" s="95"/>
      <c r="E10" s="100" t="s">
        <v>211</v>
      </c>
      <c r="F10" s="91"/>
      <c r="G10" s="91"/>
      <c r="H10" s="91"/>
      <c r="I10" s="91"/>
      <c r="J10" s="91"/>
      <c r="K10" s="91"/>
    </row>
    <row r="11" spans="1:14" ht="15.6" x14ac:dyDescent="0.3">
      <c r="A11" s="91"/>
      <c r="B11" s="93" t="s">
        <v>218</v>
      </c>
      <c r="C11" s="91"/>
      <c r="D11" s="91"/>
      <c r="E11" s="99">
        <f>+I6</f>
        <v>7.980000000000001E-2</v>
      </c>
      <c r="F11" s="91"/>
      <c r="G11" s="91"/>
      <c r="H11" s="91"/>
      <c r="I11" s="91"/>
      <c r="J11" s="91"/>
      <c r="K11" s="91"/>
    </row>
    <row r="12" spans="1:14" ht="15.6" x14ac:dyDescent="0.3">
      <c r="A12" s="91"/>
      <c r="B12" s="93" t="s">
        <v>219</v>
      </c>
      <c r="C12" s="91"/>
      <c r="D12" s="91"/>
      <c r="E12" s="99">
        <v>0.75800000000000001</v>
      </c>
      <c r="F12" s="91"/>
      <c r="G12" s="91"/>
      <c r="H12" s="91"/>
      <c r="I12" s="91"/>
      <c r="J12" s="91"/>
      <c r="K12" s="91"/>
    </row>
    <row r="13" spans="1:14" ht="15.6" x14ac:dyDescent="0.3">
      <c r="B13" s="93" t="s">
        <v>220</v>
      </c>
      <c r="C13" s="91"/>
      <c r="D13" s="91"/>
      <c r="E13" s="99">
        <v>7.0000000000000001E-3</v>
      </c>
    </row>
    <row r="14" spans="1:14" ht="15.6" x14ac:dyDescent="0.3">
      <c r="B14" s="93" t="s">
        <v>221</v>
      </c>
      <c r="C14" s="91"/>
      <c r="D14" s="91"/>
      <c r="E14" s="99">
        <v>0.24199999999999999</v>
      </c>
    </row>
    <row r="15" spans="1:14" x14ac:dyDescent="0.3">
      <c r="B15" s="102" t="s">
        <v>150</v>
      </c>
      <c r="C15" s="102"/>
      <c r="D15" s="102"/>
      <c r="E15" s="103">
        <f>+(E11*E12)+(E13*E14)</f>
        <v>6.2182400000000006E-2</v>
      </c>
    </row>
    <row r="19" spans="1:43" ht="4.05" customHeight="1" x14ac:dyDescent="0.3">
      <c r="A19" s="285"/>
      <c r="B19" s="285"/>
      <c r="C19" s="285"/>
      <c r="D19" s="285"/>
      <c r="E19" s="285"/>
      <c r="F19" s="285"/>
      <c r="G19" s="285"/>
      <c r="H19" s="286"/>
      <c r="I19" s="285"/>
      <c r="J19" s="285"/>
      <c r="K19" s="285"/>
      <c r="L19" s="285"/>
      <c r="M19" s="285"/>
      <c r="N19" s="285"/>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row>
    <row r="20" spans="1:43" s="135" customFormat="1" x14ac:dyDescent="0.3">
      <c r="A20" s="282" t="s">
        <v>307</v>
      </c>
      <c r="B20" s="284" t="s">
        <v>307</v>
      </c>
      <c r="C20" s="282" t="s">
        <v>307</v>
      </c>
      <c r="D20" s="282"/>
      <c r="E20" s="282" t="s">
        <v>307</v>
      </c>
      <c r="F20" s="282" t="s">
        <v>307</v>
      </c>
      <c r="G20" s="282" t="s">
        <v>307</v>
      </c>
      <c r="H20" s="283" t="s">
        <v>307</v>
      </c>
      <c r="I20" s="282" t="s">
        <v>307</v>
      </c>
      <c r="J20" s="282" t="s">
        <v>307</v>
      </c>
      <c r="K20" s="282" t="s">
        <v>307</v>
      </c>
      <c r="L20" s="282" t="s">
        <v>307</v>
      </c>
      <c r="M20" s="282" t="s">
        <v>307</v>
      </c>
      <c r="N20" s="282" t="s">
        <v>307</v>
      </c>
      <c r="O20" s="282" t="s">
        <v>307</v>
      </c>
      <c r="P20" s="282" t="s">
        <v>307</v>
      </c>
      <c r="Q20" s="282" t="s">
        <v>307</v>
      </c>
      <c r="R20" s="282" t="s">
        <v>307</v>
      </c>
      <c r="S20" s="282"/>
      <c r="T20" s="282"/>
      <c r="U20" s="282" t="s">
        <v>307</v>
      </c>
      <c r="V20" s="282" t="s">
        <v>307</v>
      </c>
      <c r="W20" s="282"/>
      <c r="X20" s="282"/>
      <c r="Y20" s="282" t="s">
        <v>307</v>
      </c>
      <c r="Z20" s="282" t="s">
        <v>307</v>
      </c>
      <c r="AA20" s="282" t="s">
        <v>307</v>
      </c>
      <c r="AB20" s="282" t="s">
        <v>307</v>
      </c>
      <c r="AC20" s="282" t="s">
        <v>307</v>
      </c>
      <c r="AD20" s="282"/>
      <c r="AE20" s="282"/>
      <c r="AF20" s="282" t="s">
        <v>307</v>
      </c>
      <c r="AG20" s="282" t="s">
        <v>307</v>
      </c>
      <c r="AH20" s="282"/>
      <c r="AI20" s="282" t="s">
        <v>307</v>
      </c>
      <c r="AJ20" s="282" t="s">
        <v>307</v>
      </c>
      <c r="AK20" s="282"/>
      <c r="AL20" s="282" t="s">
        <v>307</v>
      </c>
      <c r="AM20" s="282"/>
      <c r="AN20"/>
      <c r="AO20"/>
      <c r="AP20"/>
      <c r="AQ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6"/>
  <sheetViews>
    <sheetView showGridLines="0" topLeftCell="A13" zoomScale="110" zoomScaleNormal="110" workbookViewId="0">
      <selection activeCell="O7" sqref="O7"/>
    </sheetView>
  </sheetViews>
  <sheetFormatPr defaultColWidth="8.77734375" defaultRowHeight="14.4" x14ac:dyDescent="0.3"/>
  <sheetData>
    <row r="1" spans="1:15" ht="18" x14ac:dyDescent="0.35">
      <c r="A1" s="56"/>
      <c r="B1" s="56"/>
      <c r="C1" s="56"/>
      <c r="D1" s="56"/>
      <c r="E1" s="56"/>
      <c r="F1" s="56"/>
      <c r="G1" s="56"/>
      <c r="H1" s="56"/>
      <c r="I1" s="56">
        <f>'DCF &amp; Sensitivity Model'!I2</f>
        <v>2022</v>
      </c>
      <c r="J1" s="56">
        <f t="shared" ref="J1:M1" si="0">+I1+1</f>
        <v>2023</v>
      </c>
      <c r="K1" s="56">
        <f t="shared" si="0"/>
        <v>2024</v>
      </c>
      <c r="L1" s="56">
        <f t="shared" si="0"/>
        <v>2025</v>
      </c>
      <c r="M1" s="56">
        <f t="shared" si="0"/>
        <v>2026</v>
      </c>
    </row>
    <row r="2" spans="1:15" ht="15.6" x14ac:dyDescent="0.3">
      <c r="A2" s="6"/>
      <c r="B2" s="6"/>
      <c r="C2" s="8"/>
      <c r="D2" s="14"/>
      <c r="E2" s="14"/>
      <c r="F2" s="14"/>
      <c r="G2" s="14"/>
      <c r="H2" s="14"/>
      <c r="I2" s="15"/>
      <c r="J2" s="15"/>
      <c r="K2" s="15"/>
      <c r="L2" s="15"/>
      <c r="M2" s="15"/>
    </row>
    <row r="3" spans="1:15" ht="15.6" x14ac:dyDescent="0.3">
      <c r="A3" s="7" t="s">
        <v>8</v>
      </c>
      <c r="B3" s="16"/>
      <c r="C3" s="17"/>
      <c r="D3" s="16"/>
      <c r="E3" s="16"/>
      <c r="F3" s="16"/>
      <c r="G3" s="16"/>
      <c r="H3" s="18"/>
      <c r="I3" s="19"/>
      <c r="J3" s="19"/>
      <c r="K3" s="19"/>
      <c r="L3" s="19"/>
      <c r="M3" s="19"/>
      <c r="O3" s="62" t="s">
        <v>222</v>
      </c>
    </row>
    <row r="4" spans="1:15" ht="15.6" x14ac:dyDescent="0.3">
      <c r="A4" s="3" t="s">
        <v>9</v>
      </c>
      <c r="B4" s="20"/>
      <c r="C4" s="21"/>
      <c r="D4" s="22"/>
      <c r="E4" s="2"/>
      <c r="F4" s="2"/>
      <c r="G4" s="2"/>
      <c r="H4" s="2"/>
      <c r="I4" s="1">
        <v>0.1</v>
      </c>
      <c r="J4" s="1">
        <v>0.1</v>
      </c>
      <c r="K4" s="1">
        <v>0.1</v>
      </c>
      <c r="L4" s="1">
        <v>0.1</v>
      </c>
      <c r="M4" s="1">
        <v>0.1</v>
      </c>
      <c r="O4" s="63">
        <v>1</v>
      </c>
    </row>
    <row r="5" spans="1:15" ht="15.6" x14ac:dyDescent="0.3">
      <c r="A5" s="5" t="s">
        <v>10</v>
      </c>
      <c r="B5" s="5"/>
      <c r="C5" s="23"/>
      <c r="D5" s="24"/>
      <c r="E5" s="24"/>
      <c r="F5" s="24"/>
      <c r="G5" s="24"/>
      <c r="H5" s="24"/>
      <c r="I5" s="25">
        <v>0.42</v>
      </c>
      <c r="J5" s="25">
        <v>0.47</v>
      </c>
      <c r="K5" s="25">
        <v>0.5</v>
      </c>
      <c r="L5" s="25">
        <v>0.36</v>
      </c>
      <c r="M5" s="25">
        <v>0.35</v>
      </c>
      <c r="O5" s="61">
        <v>2</v>
      </c>
    </row>
    <row r="6" spans="1:15" ht="15.6" x14ac:dyDescent="0.3">
      <c r="A6" s="5" t="s">
        <v>223</v>
      </c>
      <c r="B6" s="5"/>
      <c r="C6" s="23"/>
      <c r="D6" s="24"/>
      <c r="E6" s="24"/>
      <c r="F6" s="24"/>
      <c r="G6" s="24"/>
      <c r="H6" s="24"/>
      <c r="I6" s="25">
        <v>0.17</v>
      </c>
      <c r="J6" s="25">
        <v>0.17</v>
      </c>
      <c r="K6" s="25">
        <v>0.17</v>
      </c>
      <c r="L6" s="25">
        <v>0.17</v>
      </c>
      <c r="M6" s="25">
        <v>0.17</v>
      </c>
      <c r="O6" s="61">
        <v>3</v>
      </c>
    </row>
    <row r="7" spans="1:15" ht="15.6" x14ac:dyDescent="0.3">
      <c r="A7" s="5" t="s">
        <v>224</v>
      </c>
      <c r="B7" s="5"/>
      <c r="C7" s="23"/>
      <c r="D7" s="26"/>
      <c r="E7" s="26"/>
      <c r="F7" s="26"/>
      <c r="G7" s="26"/>
      <c r="H7" s="26"/>
      <c r="I7" s="27">
        <v>15000</v>
      </c>
      <c r="J7" s="27">
        <v>15000</v>
      </c>
      <c r="K7" s="27">
        <v>15000</v>
      </c>
      <c r="L7" s="27">
        <v>15000</v>
      </c>
      <c r="M7" s="27">
        <v>15000</v>
      </c>
    </row>
    <row r="8" spans="1:15" ht="15.6" x14ac:dyDescent="0.3">
      <c r="A8" s="5" t="s">
        <v>225</v>
      </c>
      <c r="B8" s="5"/>
      <c r="C8" s="23"/>
      <c r="D8" s="24"/>
      <c r="E8" s="24"/>
      <c r="F8" s="24"/>
      <c r="G8" s="24"/>
      <c r="H8" s="24"/>
      <c r="I8" s="25">
        <v>0.35</v>
      </c>
      <c r="J8" s="25">
        <v>0.35</v>
      </c>
      <c r="K8" s="25">
        <v>0.35</v>
      </c>
      <c r="L8" s="25">
        <v>0.35</v>
      </c>
      <c r="M8" s="25">
        <v>0.35</v>
      </c>
    </row>
    <row r="9" spans="1:15" ht="15.6" x14ac:dyDescent="0.3">
      <c r="A9" s="5" t="s">
        <v>15</v>
      </c>
      <c r="B9" s="5"/>
      <c r="C9" s="23"/>
      <c r="D9" s="24"/>
      <c r="E9" s="24"/>
      <c r="F9" s="24"/>
      <c r="G9" s="24"/>
      <c r="H9" s="24"/>
      <c r="I9" s="25">
        <v>0.1</v>
      </c>
      <c r="J9" s="25">
        <v>0.1</v>
      </c>
      <c r="K9" s="25">
        <v>0.1</v>
      </c>
      <c r="L9" s="25">
        <v>0.1</v>
      </c>
      <c r="M9" s="25">
        <v>0.1</v>
      </c>
    </row>
    <row r="10" spans="1:15" ht="15.6" x14ac:dyDescent="0.3">
      <c r="A10" s="5" t="s">
        <v>16</v>
      </c>
      <c r="B10" s="28"/>
      <c r="C10" s="29"/>
      <c r="D10" s="24"/>
      <c r="E10" s="24"/>
      <c r="F10" s="24"/>
      <c r="G10" s="24"/>
      <c r="H10" s="24"/>
      <c r="I10" s="25">
        <v>0.28000000000000003</v>
      </c>
      <c r="J10" s="25">
        <v>0.28000000000000003</v>
      </c>
      <c r="K10" s="25">
        <v>0.28000000000000003</v>
      </c>
      <c r="L10" s="25">
        <v>0.28000000000000003</v>
      </c>
      <c r="M10" s="25">
        <v>0.28000000000000003</v>
      </c>
    </row>
    <row r="11" spans="1:15" ht="15.6" x14ac:dyDescent="0.3">
      <c r="A11" s="6" t="s">
        <v>19</v>
      </c>
      <c r="B11" s="6"/>
      <c r="C11" s="30"/>
      <c r="D11" s="14"/>
      <c r="E11" s="14"/>
      <c r="F11" s="14"/>
      <c r="G11" s="14"/>
      <c r="H11" s="14"/>
      <c r="I11" s="15">
        <v>18</v>
      </c>
      <c r="J11" s="15">
        <v>18</v>
      </c>
      <c r="K11" s="15">
        <v>18</v>
      </c>
      <c r="L11" s="15">
        <v>18</v>
      </c>
      <c r="M11" s="15">
        <v>18</v>
      </c>
    </row>
    <row r="12" spans="1:15" ht="15.6" x14ac:dyDescent="0.3">
      <c r="A12" s="6" t="s">
        <v>20</v>
      </c>
      <c r="B12" s="6"/>
      <c r="C12" s="30"/>
      <c r="D12" s="14"/>
      <c r="E12" s="14"/>
      <c r="F12" s="14"/>
      <c r="G12" s="14"/>
      <c r="H12" s="14"/>
      <c r="I12" s="15">
        <v>80</v>
      </c>
      <c r="J12" s="15">
        <v>90</v>
      </c>
      <c r="K12" s="15">
        <v>100</v>
      </c>
      <c r="L12" s="15">
        <v>100</v>
      </c>
      <c r="M12" s="15">
        <v>100</v>
      </c>
    </row>
    <row r="13" spans="1:15" ht="15.6" x14ac:dyDescent="0.3">
      <c r="A13" s="6" t="s">
        <v>21</v>
      </c>
      <c r="B13" s="6"/>
      <c r="C13" s="30"/>
      <c r="D13" s="14"/>
      <c r="E13" s="14"/>
      <c r="F13" s="14"/>
      <c r="G13" s="14"/>
      <c r="H13" s="14"/>
      <c r="I13" s="15">
        <v>37</v>
      </c>
      <c r="J13" s="15">
        <v>37</v>
      </c>
      <c r="K13" s="15">
        <v>37</v>
      </c>
      <c r="L13" s="15">
        <v>37</v>
      </c>
      <c r="M13" s="15">
        <v>37</v>
      </c>
    </row>
    <row r="14" spans="1:15" ht="15.6" x14ac:dyDescent="0.3">
      <c r="A14" s="6" t="s">
        <v>226</v>
      </c>
      <c r="B14" s="6"/>
      <c r="C14" s="8"/>
      <c r="D14" s="14"/>
      <c r="E14" s="14"/>
      <c r="F14" s="14"/>
      <c r="G14" s="14"/>
      <c r="H14" s="14"/>
      <c r="I14" s="15">
        <v>15000</v>
      </c>
      <c r="J14" s="15">
        <v>15000</v>
      </c>
      <c r="K14" s="15">
        <v>15000</v>
      </c>
      <c r="L14" s="15">
        <v>15000</v>
      </c>
      <c r="M14" s="15">
        <v>15000</v>
      </c>
    </row>
    <row r="15" spans="1:15" ht="15.6" x14ac:dyDescent="0.3">
      <c r="A15" s="6" t="s">
        <v>24</v>
      </c>
      <c r="B15" s="6"/>
      <c r="C15" s="8"/>
      <c r="D15" s="14"/>
      <c r="E15" s="14"/>
      <c r="F15" s="14"/>
      <c r="G15" s="14"/>
      <c r="H15" s="14"/>
      <c r="I15" s="15">
        <v>0</v>
      </c>
      <c r="J15" s="15">
        <v>0</v>
      </c>
      <c r="K15" s="15">
        <v>-20000</v>
      </c>
      <c r="L15" s="15">
        <v>0</v>
      </c>
      <c r="M15" s="15">
        <v>0</v>
      </c>
    </row>
    <row r="16" spans="1:15" ht="15.6" x14ac:dyDescent="0.3">
      <c r="A16" s="6" t="s">
        <v>25</v>
      </c>
      <c r="B16" s="6"/>
      <c r="C16" s="8"/>
      <c r="D16" s="14"/>
      <c r="E16" s="14"/>
      <c r="F16" s="14"/>
      <c r="G16" s="14"/>
      <c r="H16" s="14"/>
      <c r="I16" s="15">
        <v>0</v>
      </c>
      <c r="J16" s="15">
        <v>0</v>
      </c>
      <c r="K16" s="15">
        <v>0</v>
      </c>
      <c r="L16" s="15">
        <v>0</v>
      </c>
      <c r="M16" s="15">
        <v>0</v>
      </c>
    </row>
    <row r="17" spans="1:13" ht="15.6" x14ac:dyDescent="0.3">
      <c r="A17" s="6"/>
      <c r="B17" s="6"/>
      <c r="C17" s="8"/>
      <c r="D17" s="14"/>
      <c r="E17" s="14"/>
      <c r="F17" s="14"/>
      <c r="G17" s="14"/>
      <c r="H17" s="14"/>
      <c r="I17" s="15"/>
      <c r="J17" s="15"/>
      <c r="K17" s="15"/>
      <c r="L17" s="15"/>
      <c r="M17" s="15"/>
    </row>
    <row r="18" spans="1:13" ht="15.6" x14ac:dyDescent="0.3">
      <c r="A18" s="7" t="s">
        <v>26</v>
      </c>
      <c r="B18" s="16"/>
      <c r="C18" s="17"/>
      <c r="D18" s="16"/>
      <c r="E18" s="16"/>
      <c r="F18" s="16"/>
      <c r="G18" s="16"/>
      <c r="H18" s="18"/>
      <c r="I18" s="19"/>
      <c r="J18" s="19"/>
      <c r="K18" s="19"/>
      <c r="L18" s="19"/>
      <c r="M18" s="19"/>
    </row>
    <row r="19" spans="1:13" ht="15.6" x14ac:dyDescent="0.3">
      <c r="A19" s="3" t="s">
        <v>9</v>
      </c>
      <c r="B19" s="20"/>
      <c r="C19" s="21"/>
      <c r="D19" s="22"/>
      <c r="E19" s="2"/>
      <c r="F19" s="2"/>
      <c r="G19" s="2"/>
      <c r="H19" s="2"/>
      <c r="I19" s="1">
        <v>0.05</v>
      </c>
      <c r="J19" s="1">
        <v>4.4999999999999998E-2</v>
      </c>
      <c r="K19" s="1">
        <v>0.04</v>
      </c>
      <c r="L19" s="1">
        <v>3.5000000000000003E-2</v>
      </c>
      <c r="M19" s="1">
        <v>0.03</v>
      </c>
    </row>
    <row r="20" spans="1:13" ht="15.6" x14ac:dyDescent="0.3">
      <c r="A20" s="5" t="s">
        <v>10</v>
      </c>
      <c r="B20" s="5"/>
      <c r="C20" s="23"/>
      <c r="D20" s="24"/>
      <c r="E20" s="24"/>
      <c r="F20" s="24"/>
      <c r="G20" s="24"/>
      <c r="H20" s="24"/>
      <c r="I20" s="25">
        <v>0.37</v>
      </c>
      <c r="J20" s="25">
        <v>0.37</v>
      </c>
      <c r="K20" s="25">
        <v>0.36</v>
      </c>
      <c r="L20" s="25">
        <v>0.36</v>
      </c>
      <c r="M20" s="25">
        <v>0.35</v>
      </c>
    </row>
    <row r="21" spans="1:13" ht="15.6" x14ac:dyDescent="0.3">
      <c r="A21" s="5" t="s">
        <v>223</v>
      </c>
      <c r="B21" s="5"/>
      <c r="C21" s="23"/>
      <c r="D21" s="24"/>
      <c r="E21" s="24"/>
      <c r="F21" s="24"/>
      <c r="G21" s="24"/>
      <c r="H21" s="24"/>
      <c r="I21" s="25">
        <v>0.18</v>
      </c>
      <c r="J21" s="25">
        <v>0.18</v>
      </c>
      <c r="K21" s="25">
        <v>0.18</v>
      </c>
      <c r="L21" s="25">
        <v>0.18</v>
      </c>
      <c r="M21" s="25">
        <v>0.18</v>
      </c>
    </row>
    <row r="22" spans="1:13" ht="15.6" x14ac:dyDescent="0.3">
      <c r="A22" s="5" t="s">
        <v>224</v>
      </c>
      <c r="B22" s="5"/>
      <c r="C22" s="23"/>
      <c r="D22" s="26"/>
      <c r="E22" s="26"/>
      <c r="F22" s="26"/>
      <c r="G22" s="26"/>
      <c r="H22" s="26"/>
      <c r="I22" s="27">
        <v>10000</v>
      </c>
      <c r="J22" s="27">
        <v>10000</v>
      </c>
      <c r="K22" s="27">
        <v>10000</v>
      </c>
      <c r="L22" s="27">
        <v>10000</v>
      </c>
      <c r="M22" s="27">
        <v>10000</v>
      </c>
    </row>
    <row r="23" spans="1:13" ht="15.6" x14ac:dyDescent="0.3">
      <c r="A23" s="5" t="s">
        <v>225</v>
      </c>
      <c r="B23" s="5"/>
      <c r="C23" s="23"/>
      <c r="D23" s="24"/>
      <c r="E23" s="24"/>
      <c r="F23" s="24"/>
      <c r="G23" s="24"/>
      <c r="H23" s="24"/>
      <c r="I23" s="25">
        <v>0.4</v>
      </c>
      <c r="J23" s="25">
        <v>0.4</v>
      </c>
      <c r="K23" s="25">
        <v>0.4</v>
      </c>
      <c r="L23" s="25">
        <v>0.4</v>
      </c>
      <c r="M23" s="25">
        <v>0.4</v>
      </c>
    </row>
    <row r="24" spans="1:13" ht="15.6" x14ac:dyDescent="0.3">
      <c r="A24" s="5" t="s">
        <v>15</v>
      </c>
      <c r="B24" s="5"/>
      <c r="C24" s="23"/>
      <c r="D24" s="24"/>
      <c r="E24" s="24"/>
      <c r="F24" s="24"/>
      <c r="G24" s="24"/>
      <c r="H24" s="24"/>
      <c r="I24" s="25">
        <v>0.05</v>
      </c>
      <c r="J24" s="25">
        <v>0.05</v>
      </c>
      <c r="K24" s="25">
        <v>0.05</v>
      </c>
      <c r="L24" s="25">
        <v>0.05</v>
      </c>
      <c r="M24" s="25">
        <v>0.05</v>
      </c>
    </row>
    <row r="25" spans="1:13" ht="15.6" x14ac:dyDescent="0.3">
      <c r="A25" s="5" t="s">
        <v>16</v>
      </c>
      <c r="B25" s="28"/>
      <c r="C25" s="29"/>
      <c r="D25" s="24"/>
      <c r="E25" s="24"/>
      <c r="F25" s="24"/>
      <c r="G25" s="24"/>
      <c r="H25" s="24"/>
      <c r="I25" s="25">
        <v>0.28000000000000003</v>
      </c>
      <c r="J25" s="25">
        <v>0.28000000000000003</v>
      </c>
      <c r="K25" s="25">
        <v>0.28000000000000003</v>
      </c>
      <c r="L25" s="25">
        <v>0.28000000000000003</v>
      </c>
      <c r="M25" s="25">
        <v>0.28000000000000003</v>
      </c>
    </row>
    <row r="26" spans="1:13" ht="15.6" x14ac:dyDescent="0.3">
      <c r="A26" s="6" t="s">
        <v>19</v>
      </c>
      <c r="B26" s="6"/>
      <c r="C26" s="30"/>
      <c r="D26" s="14"/>
      <c r="E26" s="14"/>
      <c r="F26" s="14"/>
      <c r="G26" s="14"/>
      <c r="H26" s="14"/>
      <c r="I26" s="15">
        <v>18</v>
      </c>
      <c r="J26" s="15">
        <v>18</v>
      </c>
      <c r="K26" s="15">
        <v>18</v>
      </c>
      <c r="L26" s="15">
        <v>18</v>
      </c>
      <c r="M26" s="15">
        <v>18</v>
      </c>
    </row>
    <row r="27" spans="1:13" ht="15.6" x14ac:dyDescent="0.3">
      <c r="A27" s="6" t="s">
        <v>20</v>
      </c>
      <c r="B27" s="6"/>
      <c r="C27" s="30"/>
      <c r="D27" s="14"/>
      <c r="E27" s="14"/>
      <c r="F27" s="14"/>
      <c r="G27" s="14"/>
      <c r="H27" s="14"/>
      <c r="I27" s="15">
        <v>73</v>
      </c>
      <c r="J27" s="15">
        <v>73</v>
      </c>
      <c r="K27" s="15">
        <v>73</v>
      </c>
      <c r="L27" s="15">
        <v>73</v>
      </c>
      <c r="M27" s="15">
        <v>73</v>
      </c>
    </row>
    <row r="28" spans="1:13" ht="15.6" x14ac:dyDescent="0.3">
      <c r="A28" s="6" t="s">
        <v>21</v>
      </c>
      <c r="B28" s="6"/>
      <c r="C28" s="30"/>
      <c r="D28" s="14"/>
      <c r="E28" s="14"/>
      <c r="F28" s="14"/>
      <c r="G28" s="14"/>
      <c r="H28" s="14"/>
      <c r="I28" s="15">
        <v>37</v>
      </c>
      <c r="J28" s="15">
        <v>37</v>
      </c>
      <c r="K28" s="15">
        <v>37</v>
      </c>
      <c r="L28" s="15">
        <v>37</v>
      </c>
      <c r="M28" s="15">
        <v>37</v>
      </c>
    </row>
    <row r="29" spans="1:13" ht="15.6" x14ac:dyDescent="0.3">
      <c r="A29" s="6" t="s">
        <v>226</v>
      </c>
      <c r="B29" s="6"/>
      <c r="C29" s="8"/>
      <c r="D29" s="14"/>
      <c r="E29" s="14"/>
      <c r="F29" s="14"/>
      <c r="G29" s="14"/>
      <c r="H29" s="14"/>
      <c r="I29" s="15">
        <v>20000</v>
      </c>
      <c r="J29" s="15">
        <v>20000</v>
      </c>
      <c r="K29" s="15">
        <v>20000</v>
      </c>
      <c r="L29" s="15">
        <v>20000</v>
      </c>
      <c r="M29" s="15">
        <v>20000</v>
      </c>
    </row>
    <row r="30" spans="1:13" ht="15.6" x14ac:dyDescent="0.3">
      <c r="A30" s="6" t="s">
        <v>24</v>
      </c>
      <c r="B30" s="6"/>
      <c r="C30" s="8"/>
      <c r="D30" s="14"/>
      <c r="E30" s="14"/>
      <c r="F30" s="14"/>
      <c r="G30" s="14"/>
      <c r="H30" s="14"/>
      <c r="I30" s="15">
        <v>0</v>
      </c>
      <c r="J30" s="15">
        <v>0</v>
      </c>
      <c r="K30" s="15">
        <v>-20000</v>
      </c>
      <c r="L30" s="15">
        <v>0</v>
      </c>
      <c r="M30" s="15">
        <v>0</v>
      </c>
    </row>
    <row r="31" spans="1:13" ht="15.6" x14ac:dyDescent="0.3">
      <c r="A31" s="6" t="s">
        <v>25</v>
      </c>
      <c r="B31" s="6"/>
      <c r="C31" s="8"/>
      <c r="D31" s="14"/>
      <c r="E31" s="14"/>
      <c r="F31" s="14"/>
      <c r="G31" s="14"/>
      <c r="H31" s="14"/>
      <c r="I31" s="15">
        <v>0</v>
      </c>
      <c r="J31" s="15">
        <v>0</v>
      </c>
      <c r="K31" s="15">
        <v>0</v>
      </c>
      <c r="L31" s="15">
        <v>0</v>
      </c>
      <c r="M31" s="15">
        <v>0</v>
      </c>
    </row>
    <row r="32" spans="1:13" ht="15.6" x14ac:dyDescent="0.3">
      <c r="A32" s="6"/>
      <c r="B32" s="6"/>
      <c r="C32" s="8"/>
      <c r="D32" s="14"/>
      <c r="E32" s="14"/>
      <c r="F32" s="14"/>
      <c r="G32" s="14"/>
      <c r="H32" s="14"/>
      <c r="I32" s="15"/>
      <c r="J32" s="15"/>
      <c r="K32" s="15"/>
      <c r="L32" s="15"/>
      <c r="M32" s="15"/>
    </row>
    <row r="33" spans="1:13" ht="15.6" x14ac:dyDescent="0.3">
      <c r="A33" s="7" t="s">
        <v>28</v>
      </c>
      <c r="B33" s="16"/>
      <c r="C33" s="17"/>
      <c r="D33" s="16"/>
      <c r="E33" s="16"/>
      <c r="F33" s="16"/>
      <c r="G33" s="16"/>
      <c r="H33" s="18"/>
      <c r="I33" s="19"/>
      <c r="J33" s="19"/>
      <c r="K33" s="19"/>
      <c r="L33" s="19"/>
      <c r="M33" s="19"/>
    </row>
    <row r="34" spans="1:13" ht="15.6" x14ac:dyDescent="0.3">
      <c r="A34" s="3" t="s">
        <v>9</v>
      </c>
      <c r="B34" s="20"/>
      <c r="C34" s="21"/>
      <c r="D34" s="22"/>
      <c r="E34" s="2"/>
      <c r="F34" s="2"/>
      <c r="G34" s="2"/>
      <c r="H34" s="2"/>
      <c r="I34" s="1">
        <v>0.12</v>
      </c>
      <c r="J34" s="1">
        <v>0.12</v>
      </c>
      <c r="K34" s="1">
        <v>0.12</v>
      </c>
      <c r="L34" s="1">
        <v>0.12</v>
      </c>
      <c r="M34" s="1">
        <v>0.12</v>
      </c>
    </row>
    <row r="35" spans="1:13" ht="15.6" x14ac:dyDescent="0.3">
      <c r="A35" s="5" t="s">
        <v>10</v>
      </c>
      <c r="B35" s="5"/>
      <c r="C35" s="23"/>
      <c r="D35" s="24"/>
      <c r="E35" s="24"/>
      <c r="F35" s="24"/>
      <c r="G35" s="24"/>
      <c r="H35" s="24"/>
      <c r="I35" s="25">
        <v>0.37</v>
      </c>
      <c r="J35" s="25">
        <v>0.36</v>
      </c>
      <c r="K35" s="25">
        <v>0.35</v>
      </c>
      <c r="L35" s="25">
        <v>0.34</v>
      </c>
      <c r="M35" s="25">
        <v>0.34</v>
      </c>
    </row>
    <row r="36" spans="1:13" ht="15.6" x14ac:dyDescent="0.3">
      <c r="A36" s="5" t="s">
        <v>223</v>
      </c>
      <c r="B36" s="5"/>
      <c r="C36" s="23"/>
      <c r="D36" s="24"/>
      <c r="E36" s="24"/>
      <c r="F36" s="24"/>
      <c r="G36" s="24"/>
      <c r="H36" s="24"/>
      <c r="I36" s="25">
        <v>0.16</v>
      </c>
      <c r="J36" s="25">
        <v>0.16</v>
      </c>
      <c r="K36" s="25">
        <v>0.16</v>
      </c>
      <c r="L36" s="25">
        <v>0.16</v>
      </c>
      <c r="M36" s="25">
        <v>0.16</v>
      </c>
    </row>
    <row r="37" spans="1:13" ht="15.6" x14ac:dyDescent="0.3">
      <c r="A37" s="5" t="s">
        <v>224</v>
      </c>
      <c r="B37" s="5"/>
      <c r="C37" s="23"/>
      <c r="D37" s="26"/>
      <c r="E37" s="26"/>
      <c r="F37" s="26"/>
      <c r="G37" s="26"/>
      <c r="H37" s="26"/>
      <c r="I37" s="27">
        <v>10000</v>
      </c>
      <c r="J37" s="27">
        <v>10000</v>
      </c>
      <c r="K37" s="27">
        <v>10000</v>
      </c>
      <c r="L37" s="27">
        <v>10000</v>
      </c>
      <c r="M37" s="27">
        <v>10000</v>
      </c>
    </row>
    <row r="38" spans="1:13" ht="15.6" x14ac:dyDescent="0.3">
      <c r="A38" s="5" t="s">
        <v>225</v>
      </c>
      <c r="B38" s="5"/>
      <c r="C38" s="23"/>
      <c r="D38" s="24"/>
      <c r="E38" s="24"/>
      <c r="F38" s="24"/>
      <c r="G38" s="24"/>
      <c r="H38" s="24"/>
      <c r="I38" s="25">
        <v>0.4</v>
      </c>
      <c r="J38" s="25">
        <v>0.4</v>
      </c>
      <c r="K38" s="25">
        <v>0.4</v>
      </c>
      <c r="L38" s="25">
        <v>0.4</v>
      </c>
      <c r="M38" s="25">
        <v>0.4</v>
      </c>
    </row>
    <row r="39" spans="1:13" ht="15.6" x14ac:dyDescent="0.3">
      <c r="A39" s="5" t="s">
        <v>15</v>
      </c>
      <c r="B39" s="5"/>
      <c r="C39" s="23"/>
      <c r="D39" s="24"/>
      <c r="E39" s="24"/>
      <c r="F39" s="24"/>
      <c r="G39" s="24"/>
      <c r="H39" s="24"/>
      <c r="I39" s="25">
        <v>0.05</v>
      </c>
      <c r="J39" s="25">
        <v>0.05</v>
      </c>
      <c r="K39" s="25">
        <v>0.05</v>
      </c>
      <c r="L39" s="25">
        <v>0.05</v>
      </c>
      <c r="M39" s="25">
        <v>0.05</v>
      </c>
    </row>
    <row r="40" spans="1:13" ht="15.6" x14ac:dyDescent="0.3">
      <c r="A40" s="5" t="s">
        <v>16</v>
      </c>
      <c r="B40" s="28"/>
      <c r="C40" s="29"/>
      <c r="D40" s="24"/>
      <c r="E40" s="24"/>
      <c r="F40" s="24"/>
      <c r="G40" s="24"/>
      <c r="H40" s="24"/>
      <c r="I40" s="25">
        <v>0.28000000000000003</v>
      </c>
      <c r="J40" s="25">
        <v>0.28000000000000003</v>
      </c>
      <c r="K40" s="25">
        <v>0.28000000000000003</v>
      </c>
      <c r="L40" s="25">
        <v>0.28000000000000003</v>
      </c>
      <c r="M40" s="25">
        <v>0.28000000000000003</v>
      </c>
    </row>
    <row r="41" spans="1:13" ht="15.6" x14ac:dyDescent="0.3">
      <c r="A41" s="6" t="s">
        <v>19</v>
      </c>
      <c r="B41" s="6"/>
      <c r="C41" s="30"/>
      <c r="D41" s="14"/>
      <c r="E41" s="14"/>
      <c r="F41" s="14"/>
      <c r="G41" s="14"/>
      <c r="H41" s="14"/>
      <c r="I41" s="15">
        <v>18</v>
      </c>
      <c r="J41" s="15">
        <v>18</v>
      </c>
      <c r="K41" s="15">
        <v>18</v>
      </c>
      <c r="L41" s="15">
        <v>18</v>
      </c>
      <c r="M41" s="15">
        <v>18</v>
      </c>
    </row>
    <row r="42" spans="1:13" ht="15.6" x14ac:dyDescent="0.3">
      <c r="A42" s="6" t="s">
        <v>20</v>
      </c>
      <c r="B42" s="6"/>
      <c r="C42" s="30"/>
      <c r="D42" s="14"/>
      <c r="E42" s="14"/>
      <c r="F42" s="14"/>
      <c r="G42" s="14"/>
      <c r="H42" s="14"/>
      <c r="I42" s="15">
        <v>73</v>
      </c>
      <c r="J42" s="15">
        <v>73</v>
      </c>
      <c r="K42" s="15">
        <v>73</v>
      </c>
      <c r="L42" s="15">
        <v>73</v>
      </c>
      <c r="M42" s="15">
        <v>73</v>
      </c>
    </row>
    <row r="43" spans="1:13" ht="15.6" x14ac:dyDescent="0.3">
      <c r="A43" s="6" t="s">
        <v>21</v>
      </c>
      <c r="B43" s="6"/>
      <c r="C43" s="30"/>
      <c r="D43" s="14"/>
      <c r="E43" s="14"/>
      <c r="F43" s="14"/>
      <c r="G43" s="14"/>
      <c r="H43" s="14"/>
      <c r="I43" s="15">
        <v>37</v>
      </c>
      <c r="J43" s="15">
        <v>37</v>
      </c>
      <c r="K43" s="15">
        <v>37</v>
      </c>
      <c r="L43" s="15">
        <v>37</v>
      </c>
      <c r="M43" s="15">
        <v>37</v>
      </c>
    </row>
    <row r="44" spans="1:13" ht="15.6" x14ac:dyDescent="0.3">
      <c r="A44" s="6" t="s">
        <v>226</v>
      </c>
      <c r="B44" s="6"/>
      <c r="C44" s="8"/>
      <c r="D44" s="14"/>
      <c r="E44" s="14"/>
      <c r="F44" s="14"/>
      <c r="G44" s="14"/>
      <c r="H44" s="14"/>
      <c r="I44" s="15">
        <v>15000</v>
      </c>
      <c r="J44" s="15">
        <v>15000</v>
      </c>
      <c r="K44" s="15">
        <v>15000</v>
      </c>
      <c r="L44" s="15">
        <v>15000</v>
      </c>
      <c r="M44" s="15">
        <v>15000</v>
      </c>
    </row>
    <row r="45" spans="1:13" ht="15.6" x14ac:dyDescent="0.3">
      <c r="A45" s="6" t="s">
        <v>24</v>
      </c>
      <c r="B45" s="6"/>
      <c r="C45" s="8"/>
      <c r="D45" s="14"/>
      <c r="E45" s="14"/>
      <c r="F45" s="14"/>
      <c r="G45" s="14"/>
      <c r="H45" s="14"/>
      <c r="I45" s="15">
        <v>0</v>
      </c>
      <c r="J45" s="15">
        <v>0</v>
      </c>
      <c r="K45" s="15">
        <v>-20000</v>
      </c>
      <c r="L45" s="15">
        <v>0</v>
      </c>
      <c r="M45" s="15">
        <v>0</v>
      </c>
    </row>
    <row r="46" spans="1:13" ht="15.6" x14ac:dyDescent="0.3">
      <c r="A46" s="6" t="s">
        <v>25</v>
      </c>
      <c r="B46" s="6"/>
      <c r="C46" s="8"/>
      <c r="D46" s="14"/>
      <c r="E46" s="14"/>
      <c r="F46" s="14"/>
      <c r="G46" s="14"/>
      <c r="H46" s="14"/>
      <c r="I46" s="15">
        <v>0</v>
      </c>
      <c r="J46" s="15">
        <v>0</v>
      </c>
      <c r="K46" s="15">
        <v>0</v>
      </c>
      <c r="L46" s="15">
        <v>0</v>
      </c>
      <c r="M46" s="15">
        <v>0</v>
      </c>
    </row>
  </sheetData>
  <customSheetViews>
    <customSheetView guid="{66FAC9CC-22A3-466B-8EC3-835518DDE015}" showGridLines="0">
      <pageMargins left="0" right="0" top="0" bottom="0" header="0" footer="0"/>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2A9B-A2C0-B740-BAC1-9BA20F8A602C}">
  <sheetPr>
    <pageSetUpPr autoPageBreaks="0"/>
  </sheetPr>
  <dimension ref="A1:AQ46"/>
  <sheetViews>
    <sheetView showGridLines="0" zoomScale="85" zoomScaleNormal="60" workbookViewId="0">
      <pane xSplit="2" ySplit="21" topLeftCell="D32" activePane="bottomRight" state="frozen"/>
      <selection pane="topRight" activeCell="C1" sqref="C1"/>
      <selection pane="bottomLeft" activeCell="A21" sqref="A21"/>
      <selection pane="bottomRight" activeCell="L46" sqref="A45:XFD46"/>
    </sheetView>
  </sheetViews>
  <sheetFormatPr defaultColWidth="8.6640625" defaultRowHeight="14.4" outlineLevelRow="1" outlineLevelCol="1" x14ac:dyDescent="0.3"/>
  <cols>
    <col min="1" max="1" width="2.6640625" customWidth="1"/>
    <col min="2" max="2" width="50.44140625" bestFit="1" customWidth="1"/>
    <col min="3" max="3" width="18.44140625" hidden="1" customWidth="1" outlineLevel="1"/>
    <col min="4" max="4" width="18.44140625" customWidth="1" collapsed="1"/>
    <col min="5" max="5" width="15.44140625" hidden="1" customWidth="1" outlineLevel="1"/>
    <col min="6" max="6" width="2.44140625" customWidth="1" collapsed="1"/>
    <col min="7" max="7" width="13.109375" bestFit="1" customWidth="1"/>
    <col min="8" max="8" width="13.109375" style="281" hidden="1" customWidth="1" outlineLevel="1"/>
    <col min="9" max="9" width="13.44140625" bestFit="1" customWidth="1" collapsed="1"/>
    <col min="10" max="10" width="14.6640625" customWidth="1"/>
    <col min="11" max="11" width="2.44140625" customWidth="1"/>
    <col min="12" max="12" width="22.44140625" bestFit="1" customWidth="1"/>
    <col min="13" max="13" width="10.109375" bestFit="1" customWidth="1"/>
    <col min="14" max="14" width="9.6640625" bestFit="1" customWidth="1"/>
    <col min="15" max="15" width="9.6640625" customWidth="1"/>
    <col min="16" max="16" width="9.77734375" hidden="1" customWidth="1" outlineLevel="1"/>
    <col min="17" max="17" width="2.33203125" bestFit="1" customWidth="1" collapsed="1"/>
    <col min="18" max="18" width="16.44140625" bestFit="1" customWidth="1"/>
    <col min="19" max="20" width="16.44140625" customWidth="1"/>
    <col min="21" max="21" width="16.44140625" bestFit="1" customWidth="1"/>
    <col min="22" max="22" width="20.109375" hidden="1" customWidth="1" outlineLevel="1"/>
    <col min="23" max="23" width="20.109375" customWidth="1" collapsed="1"/>
    <col min="24" max="24" width="20.109375" customWidth="1"/>
    <col min="25" max="25" width="16.44140625" bestFit="1" customWidth="1"/>
    <col min="26" max="26" width="16.44140625" customWidth="1" outlineLevel="1"/>
    <col min="27" max="27" width="2.44140625" customWidth="1"/>
    <col min="28" max="30" width="9.6640625" customWidth="1" outlineLevel="1"/>
    <col min="31" max="31" width="2.44140625" customWidth="1" outlineLevel="1"/>
    <col min="32" max="34" width="9.6640625" customWidth="1" outlineLevel="1"/>
    <col min="35" max="35" width="2.44140625" customWidth="1"/>
    <col min="36" max="36" width="38.77734375" customWidth="1" outlineLevel="1"/>
    <col min="37" max="37" width="255.6640625" customWidth="1" outlineLevel="1"/>
    <col min="40" max="41" width="2.44140625" customWidth="1"/>
  </cols>
  <sheetData>
    <row r="1" spans="1:39" s="135" customFormat="1" ht="26.4" thickBot="1" x14ac:dyDescent="0.55000000000000004">
      <c r="A1" s="384" t="s">
        <v>227</v>
      </c>
      <c r="B1" s="136"/>
      <c r="C1" s="136"/>
      <c r="D1" s="136"/>
      <c r="E1" s="136"/>
      <c r="F1" s="136"/>
      <c r="G1" s="136"/>
      <c r="H1" s="137"/>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pans="1:39" s="135" customFormat="1" ht="16.2" thickTop="1" x14ac:dyDescent="0.3">
      <c r="A2" s="383"/>
      <c r="B2" s="382"/>
      <c r="H2" s="138"/>
    </row>
    <row r="3" spans="1:39" s="135" customFormat="1" ht="15.6" x14ac:dyDescent="0.3">
      <c r="A3" s="383"/>
      <c r="B3" s="382"/>
      <c r="H3" s="138"/>
    </row>
    <row r="4" spans="1:39" s="135" customFormat="1" ht="20.25" customHeight="1" x14ac:dyDescent="0.3">
      <c r="A4" s="139" t="s">
        <v>228</v>
      </c>
      <c r="B4" s="342" t="s">
        <v>6</v>
      </c>
      <c r="C4" s="380"/>
      <c r="D4" s="380"/>
      <c r="E4" s="380"/>
      <c r="F4" s="380"/>
      <c r="G4" s="380"/>
      <c r="H4" s="381"/>
      <c r="I4" s="380"/>
      <c r="J4" s="380"/>
      <c r="K4" s="380"/>
      <c r="L4" s="380"/>
      <c r="M4" s="380"/>
      <c r="N4" s="380"/>
      <c r="O4" s="380"/>
      <c r="P4" s="380"/>
      <c r="Q4" s="380"/>
      <c r="R4" s="380"/>
      <c r="S4" s="380"/>
      <c r="T4" s="380"/>
      <c r="U4" s="380"/>
      <c r="V4" s="380"/>
      <c r="W4" s="380"/>
      <c r="X4" s="380"/>
      <c r="Y4" s="380"/>
      <c r="Z4" s="380"/>
      <c r="AA4" s="380"/>
      <c r="AB4" s="380"/>
      <c r="AC4" s="380"/>
      <c r="AD4" s="380"/>
      <c r="AE4" s="380"/>
      <c r="AF4" s="380"/>
      <c r="AG4" s="380"/>
      <c r="AH4" s="380"/>
      <c r="AI4" s="380"/>
      <c r="AJ4" s="380"/>
      <c r="AK4" s="380"/>
      <c r="AL4" s="380"/>
      <c r="AM4" s="380"/>
    </row>
    <row r="6" spans="1:39" x14ac:dyDescent="0.3">
      <c r="B6" s="353" t="s">
        <v>229</v>
      </c>
      <c r="C6" s="379"/>
      <c r="D6" s="379"/>
      <c r="L6" s="353" t="s">
        <v>230</v>
      </c>
      <c r="M6" s="353"/>
      <c r="N6" s="353"/>
    </row>
    <row r="7" spans="1:39" s="135" customFormat="1" x14ac:dyDescent="0.3">
      <c r="B7" s="140" t="s">
        <v>231</v>
      </c>
      <c r="D7" s="378" t="s">
        <v>232</v>
      </c>
      <c r="E7" s="377"/>
      <c r="L7" s="140" t="s">
        <v>233</v>
      </c>
      <c r="N7" s="374">
        <v>100</v>
      </c>
    </row>
    <row r="8" spans="1:39" x14ac:dyDescent="0.3">
      <c r="B8" s="372" t="s">
        <v>234</v>
      </c>
      <c r="C8" s="371"/>
      <c r="D8" s="376">
        <v>44670</v>
      </c>
      <c r="E8" s="366"/>
      <c r="L8" s="371" t="s">
        <v>235</v>
      </c>
      <c r="M8" s="375"/>
      <c r="N8" s="374"/>
    </row>
    <row r="9" spans="1:39" x14ac:dyDescent="0.3">
      <c r="B9" s="372" t="s">
        <v>236</v>
      </c>
      <c r="C9" s="371"/>
      <c r="D9" s="373" t="s">
        <v>237</v>
      </c>
      <c r="E9" s="366"/>
    </row>
    <row r="10" spans="1:39" x14ac:dyDescent="0.3">
      <c r="B10" s="372" t="s">
        <v>238</v>
      </c>
      <c r="C10" s="371"/>
      <c r="D10" s="370" t="s">
        <v>239</v>
      </c>
      <c r="E10" s="366"/>
      <c r="AB10" t="s">
        <v>240</v>
      </c>
      <c r="AF10" t="s">
        <v>241</v>
      </c>
    </row>
    <row r="11" spans="1:39" x14ac:dyDescent="0.3">
      <c r="B11" s="369" t="s">
        <v>242</v>
      </c>
      <c r="C11" s="368"/>
      <c r="D11" s="367" t="s">
        <v>243</v>
      </c>
      <c r="E11" s="366"/>
    </row>
    <row r="12" spans="1:39" x14ac:dyDescent="0.3">
      <c r="B12" s="140"/>
      <c r="D12" s="365"/>
      <c r="E12" s="364"/>
    </row>
    <row r="13" spans="1:39" ht="16.5" customHeight="1" x14ac:dyDescent="0.3">
      <c r="B13" s="363" t="s">
        <v>244</v>
      </c>
      <c r="C13" s="362" t="s">
        <v>245</v>
      </c>
      <c r="D13" s="361" t="s">
        <v>246</v>
      </c>
      <c r="E13" s="361">
        <v>44651</v>
      </c>
      <c r="F13" s="356"/>
      <c r="G13" s="359">
        <v>45.23</v>
      </c>
      <c r="H13" s="360">
        <v>123.19264404156533</v>
      </c>
      <c r="I13" s="359">
        <v>5572.0032899999997</v>
      </c>
      <c r="J13" s="359">
        <v>6154.60329</v>
      </c>
      <c r="K13" s="359"/>
      <c r="L13" s="359">
        <v>2125.1999999999998</v>
      </c>
      <c r="M13" s="359">
        <v>405.4</v>
      </c>
      <c r="N13" s="359">
        <v>350.2</v>
      </c>
      <c r="O13" s="359">
        <v>79.099999999999994</v>
      </c>
      <c r="P13" s="359">
        <v>0</v>
      </c>
      <c r="Q13" s="356"/>
      <c r="R13" s="358">
        <v>2.8960113354037271</v>
      </c>
      <c r="S13" s="358">
        <v>0</v>
      </c>
      <c r="T13" s="358">
        <v>2.89601</v>
      </c>
      <c r="U13" s="358">
        <v>15.181557202762704</v>
      </c>
      <c r="V13" s="358">
        <v>15.181557202762704</v>
      </c>
      <c r="W13" s="358">
        <v>0</v>
      </c>
      <c r="X13" s="358">
        <v>15.181559999999999</v>
      </c>
      <c r="Y13" s="358">
        <v>17.574538235294117</v>
      </c>
      <c r="Z13" s="358">
        <v>70.44251946902655</v>
      </c>
      <c r="AA13" s="356"/>
      <c r="AB13" s="357">
        <v>-0.13585424611573316</v>
      </c>
      <c r="AC13" s="357">
        <v>0.39440682217205936</v>
      </c>
      <c r="AD13" s="357">
        <v>-4.4338519651047958E-2</v>
      </c>
      <c r="AE13" s="357"/>
      <c r="AF13" s="357">
        <v>0.32837973413594185</v>
      </c>
      <c r="AG13" s="357">
        <v>0.20460473064124471</v>
      </c>
      <c r="AH13" s="357">
        <v>0.19075851684547337</v>
      </c>
      <c r="AI13" s="356"/>
      <c r="AJ13" s="356" t="s">
        <v>247</v>
      </c>
      <c r="AK13" s="356" t="s">
        <v>248</v>
      </c>
      <c r="AL13" s="355" t="s">
        <v>249</v>
      </c>
    </row>
    <row r="15" spans="1:39" hidden="1" outlineLevel="1" x14ac:dyDescent="0.3">
      <c r="B15" s="353" t="s">
        <v>397</v>
      </c>
      <c r="C15" s="353"/>
      <c r="D15" s="353"/>
      <c r="E15" s="353"/>
      <c r="F15" s="353"/>
      <c r="G15" s="353"/>
      <c r="H15" s="354"/>
      <c r="I15" s="353"/>
      <c r="J15" s="353"/>
      <c r="K15" s="353"/>
      <c r="L15" s="353"/>
      <c r="M15" s="353"/>
      <c r="N15" s="353"/>
      <c r="O15" s="353"/>
      <c r="P15" s="353"/>
      <c r="Q15" s="353"/>
      <c r="R15" s="353"/>
      <c r="S15" s="353"/>
      <c r="T15" s="353"/>
      <c r="U15" s="353"/>
      <c r="V15" s="353"/>
      <c r="W15" s="353"/>
      <c r="X15" s="353"/>
      <c r="Y15" s="353"/>
      <c r="Z15" s="353"/>
      <c r="AA15" s="353"/>
      <c r="AB15" s="353"/>
      <c r="AC15" s="353"/>
      <c r="AD15" s="353"/>
      <c r="AE15" s="353"/>
      <c r="AF15" s="353"/>
      <c r="AG15" s="353"/>
      <c r="AH15" s="353"/>
      <c r="AI15" s="353"/>
      <c r="AJ15" s="353"/>
      <c r="AK15" s="353"/>
    </row>
    <row r="16" spans="1:39" s="350" customFormat="1" ht="43.2" hidden="1" outlineLevel="1" x14ac:dyDescent="0.3">
      <c r="B16" s="350" t="s">
        <v>396</v>
      </c>
      <c r="D16" s="350" t="s">
        <v>395</v>
      </c>
      <c r="E16" s="350" t="s">
        <v>394</v>
      </c>
      <c r="G16" s="350" t="s">
        <v>393</v>
      </c>
      <c r="I16" s="350" t="s">
        <v>392</v>
      </c>
      <c r="J16" s="350" t="s">
        <v>391</v>
      </c>
      <c r="L16" s="350" t="s">
        <v>387</v>
      </c>
      <c r="M16" s="350" t="s">
        <v>386</v>
      </c>
      <c r="N16" s="350" t="s">
        <v>390</v>
      </c>
      <c r="O16" s="350" t="s">
        <v>389</v>
      </c>
      <c r="P16" s="350" t="s">
        <v>388</v>
      </c>
      <c r="AB16" s="350" t="s">
        <v>387</v>
      </c>
      <c r="AC16" s="350" t="s">
        <v>387</v>
      </c>
      <c r="AD16" s="350" t="s">
        <v>387</v>
      </c>
      <c r="AF16" s="350" t="s">
        <v>386</v>
      </c>
      <c r="AG16" s="350" t="s">
        <v>386</v>
      </c>
      <c r="AH16" s="350" t="s">
        <v>386</v>
      </c>
      <c r="AJ16" s="350" t="s">
        <v>385</v>
      </c>
      <c r="AK16" s="350" t="s">
        <v>384</v>
      </c>
    </row>
    <row r="17" spans="2:37" s="350" customFormat="1" hidden="1" outlineLevel="1" x14ac:dyDescent="0.3">
      <c r="B17" s="352" t="s">
        <v>383</v>
      </c>
      <c r="AB17" s="350">
        <v>2</v>
      </c>
      <c r="AC17" s="350">
        <v>1</v>
      </c>
      <c r="AF17" s="351">
        <v>2</v>
      </c>
      <c r="AG17" s="351">
        <v>1</v>
      </c>
    </row>
    <row r="18" spans="2:37" s="350" customFormat="1" ht="4.05" hidden="1" customHeight="1" outlineLevel="1" x14ac:dyDescent="0.3"/>
    <row r="19" spans="2:37" collapsed="1" x14ac:dyDescent="0.3"/>
    <row r="22" spans="2:37" x14ac:dyDescent="0.3">
      <c r="B22" s="349" t="s">
        <v>250</v>
      </c>
      <c r="C22" s="345"/>
      <c r="D22" s="345"/>
      <c r="E22" s="345"/>
      <c r="F22" s="345"/>
      <c r="G22" s="346" t="s">
        <v>251</v>
      </c>
      <c r="H22" s="348"/>
      <c r="I22" s="347"/>
      <c r="J22" s="347"/>
      <c r="K22" s="345"/>
      <c r="L22" s="346" t="s">
        <v>252</v>
      </c>
      <c r="M22" s="347"/>
      <c r="N22" s="347"/>
      <c r="O22" s="347"/>
      <c r="P22" s="347"/>
      <c r="Q22" s="345"/>
      <c r="R22" s="346" t="s">
        <v>253</v>
      </c>
      <c r="S22" s="346"/>
      <c r="T22" s="346"/>
      <c r="U22" s="347"/>
      <c r="V22" s="347"/>
      <c r="W22" s="347"/>
      <c r="X22" s="347"/>
      <c r="Y22" s="347"/>
      <c r="Z22" s="347"/>
      <c r="AA22" s="345"/>
      <c r="AB22" s="346" t="s">
        <v>254</v>
      </c>
      <c r="AC22" s="347"/>
      <c r="AD22" s="347"/>
      <c r="AE22" s="345"/>
      <c r="AF22" s="346" t="s">
        <v>255</v>
      </c>
      <c r="AG22" s="347"/>
      <c r="AH22" s="347"/>
      <c r="AI22" s="345"/>
      <c r="AJ22" s="346" t="s">
        <v>256</v>
      </c>
      <c r="AK22" s="346"/>
    </row>
    <row r="23" spans="2:37" x14ac:dyDescent="0.3">
      <c r="B23" s="345"/>
      <c r="C23" s="345"/>
      <c r="D23" s="345"/>
      <c r="E23" s="339" t="s">
        <v>56</v>
      </c>
      <c r="F23" s="339"/>
      <c r="G23" s="343" t="s">
        <v>257</v>
      </c>
      <c r="H23" s="344" t="s">
        <v>258</v>
      </c>
      <c r="I23" s="343" t="s">
        <v>157</v>
      </c>
      <c r="J23" s="343" t="s">
        <v>259</v>
      </c>
      <c r="K23" s="339"/>
      <c r="L23" s="343" t="s">
        <v>260</v>
      </c>
      <c r="M23" s="343" t="s">
        <v>38</v>
      </c>
      <c r="N23" s="343" t="s">
        <v>43</v>
      </c>
      <c r="O23" s="343" t="s">
        <v>261</v>
      </c>
      <c r="P23" s="343" t="s">
        <v>127</v>
      </c>
      <c r="Q23" s="339"/>
      <c r="R23" s="343" t="s">
        <v>262</v>
      </c>
      <c r="S23" s="343" t="s">
        <v>263</v>
      </c>
      <c r="T23" s="343" t="s">
        <v>264</v>
      </c>
      <c r="U23" s="343" t="s">
        <v>265</v>
      </c>
      <c r="V23" s="343" t="s">
        <v>382</v>
      </c>
      <c r="W23" s="343" t="s">
        <v>266</v>
      </c>
      <c r="X23" s="343" t="s">
        <v>266</v>
      </c>
      <c r="Y23" s="343" t="s">
        <v>267</v>
      </c>
      <c r="Z23" s="343" t="s">
        <v>268</v>
      </c>
      <c r="AA23" s="339"/>
      <c r="AB23" s="343" t="s">
        <v>269</v>
      </c>
      <c r="AC23" s="343" t="s">
        <v>270</v>
      </c>
      <c r="AD23" s="343" t="s">
        <v>271</v>
      </c>
      <c r="AE23" s="339"/>
      <c r="AF23" s="343" t="s">
        <v>269</v>
      </c>
      <c r="AG23" s="343" t="s">
        <v>270</v>
      </c>
      <c r="AH23" s="343" t="s">
        <v>271</v>
      </c>
      <c r="AI23" s="339"/>
      <c r="AJ23" s="343" t="s">
        <v>272</v>
      </c>
      <c r="AK23" s="343" t="s">
        <v>273</v>
      </c>
    </row>
    <row r="24" spans="2:37" x14ac:dyDescent="0.3">
      <c r="B24" s="342" t="s">
        <v>274</v>
      </c>
      <c r="C24" s="339" t="s">
        <v>275</v>
      </c>
      <c r="D24" s="339" t="s">
        <v>276</v>
      </c>
      <c r="E24" s="339" t="s">
        <v>139</v>
      </c>
      <c r="F24" s="340"/>
      <c r="G24" s="340" t="s">
        <v>277</v>
      </c>
      <c r="H24" s="341" t="s">
        <v>278</v>
      </c>
      <c r="I24" s="340" t="s">
        <v>279</v>
      </c>
      <c r="J24" s="340" t="s">
        <v>280</v>
      </c>
      <c r="K24" s="340"/>
      <c r="L24" s="340" t="s">
        <v>280</v>
      </c>
      <c r="M24" s="340" t="s">
        <v>280</v>
      </c>
      <c r="N24" s="340" t="s">
        <v>280</v>
      </c>
      <c r="O24" s="340" t="s">
        <v>280</v>
      </c>
      <c r="P24" s="340" t="s">
        <v>280</v>
      </c>
      <c r="Q24" s="340"/>
      <c r="R24" s="340" t="s">
        <v>281</v>
      </c>
      <c r="S24" s="340" t="s">
        <v>282</v>
      </c>
      <c r="T24" s="340" t="s">
        <v>283</v>
      </c>
      <c r="U24" s="340" t="s">
        <v>281</v>
      </c>
      <c r="V24" s="340" t="s">
        <v>284</v>
      </c>
      <c r="W24" s="340" t="s">
        <v>282</v>
      </c>
      <c r="X24" s="340" t="s">
        <v>283</v>
      </c>
      <c r="Y24" s="340" t="s">
        <v>281</v>
      </c>
      <c r="Z24" s="340" t="s">
        <v>284</v>
      </c>
      <c r="AA24" s="340"/>
      <c r="AB24" s="340" t="s">
        <v>285</v>
      </c>
      <c r="AC24" s="340" t="s">
        <v>285</v>
      </c>
      <c r="AD24" s="340" t="s">
        <v>285</v>
      </c>
      <c r="AE24" s="340"/>
      <c r="AF24" s="340" t="s">
        <v>285</v>
      </c>
      <c r="AG24" s="340" t="s">
        <v>285</v>
      </c>
      <c r="AH24" s="340" t="s">
        <v>285</v>
      </c>
      <c r="AI24" s="340"/>
      <c r="AJ24" s="339" t="s">
        <v>286</v>
      </c>
      <c r="AK24" s="339" t="s">
        <v>287</v>
      </c>
    </row>
    <row r="26" spans="2:37" x14ac:dyDescent="0.3">
      <c r="B26" s="332" t="s">
        <v>381</v>
      </c>
      <c r="C26" s="338" t="s">
        <v>288</v>
      </c>
      <c r="D26" s="337" t="s">
        <v>358</v>
      </c>
      <c r="E26" s="337">
        <v>44651</v>
      </c>
      <c r="G26" s="335">
        <v>129.83099999999999</v>
      </c>
      <c r="H26" s="336">
        <v>275.93490553103652</v>
      </c>
      <c r="I26" s="335">
        <v>35824.904719999999</v>
      </c>
      <c r="J26" s="335">
        <v>34640.904719999999</v>
      </c>
      <c r="K26" s="328"/>
      <c r="L26" s="335">
        <v>6293.2982000000002</v>
      </c>
      <c r="M26" s="335">
        <v>1573.5496000000001</v>
      </c>
      <c r="N26" s="335">
        <v>1136.0524</v>
      </c>
      <c r="O26" s="335">
        <v>710.25779999999997</v>
      </c>
      <c r="P26" s="335">
        <v>-169.23759999999999</v>
      </c>
      <c r="R26" s="334">
        <v>5.5044117756886202</v>
      </c>
      <c r="S26" s="334" t="s">
        <v>377</v>
      </c>
      <c r="T26" s="334">
        <v>4.9550700000000001</v>
      </c>
      <c r="U26" s="334">
        <v>22.014498125766099</v>
      </c>
      <c r="V26" s="334">
        <v>24.667527387076372</v>
      </c>
      <c r="W26" s="334" t="s">
        <v>377</v>
      </c>
      <c r="X26" s="334">
        <v>19.817450000000001</v>
      </c>
      <c r="Y26" s="334">
        <v>30.492347641710889</v>
      </c>
      <c r="Z26" s="334">
        <v>50.439297843684365</v>
      </c>
      <c r="AB26" s="333">
        <v>0.14243898014941792</v>
      </c>
      <c r="AC26" s="333">
        <v>-4.8179777600041218E-2</v>
      </c>
      <c r="AD26" s="333">
        <v>0.31222246131493758</v>
      </c>
      <c r="AE26" s="333"/>
      <c r="AF26" s="333">
        <v>0.28860393715008126</v>
      </c>
      <c r="AG26" s="333">
        <v>0.21922188665837625</v>
      </c>
      <c r="AH26" s="333">
        <v>0.25003576026319552</v>
      </c>
      <c r="AJ26" s="332" t="s">
        <v>247</v>
      </c>
      <c r="AK26" s="332" t="s">
        <v>289</v>
      </c>
    </row>
    <row r="27" spans="2:37" x14ac:dyDescent="0.3">
      <c r="B27" s="332" t="s">
        <v>380</v>
      </c>
      <c r="C27" s="338" t="s">
        <v>290</v>
      </c>
      <c r="D27" s="337" t="s">
        <v>358</v>
      </c>
      <c r="E27" s="337">
        <v>44651</v>
      </c>
      <c r="G27" s="335">
        <v>78.135000000000005</v>
      </c>
      <c r="H27" s="336">
        <v>780.53055378511544</v>
      </c>
      <c r="I27" s="335">
        <v>60986.754820000002</v>
      </c>
      <c r="J27" s="335">
        <v>53459.754820000002</v>
      </c>
      <c r="K27" s="328"/>
      <c r="L27" s="335">
        <v>7740.4778999999999</v>
      </c>
      <c r="M27" s="335">
        <v>3035.3436000000002</v>
      </c>
      <c r="N27" s="335">
        <v>2933.3447999999999</v>
      </c>
      <c r="O27" s="335">
        <v>2373.2307000000001</v>
      </c>
      <c r="P27" s="335">
        <v>-70.343999999999994</v>
      </c>
      <c r="R27" s="334">
        <v>6.9065186298122505</v>
      </c>
      <c r="S27" s="334">
        <v>6.7717999999999998</v>
      </c>
      <c r="T27" s="334">
        <v>6.4440400000000002</v>
      </c>
      <c r="U27" s="334">
        <v>17.612422797867101</v>
      </c>
      <c r="V27" s="334">
        <v>18.030273872549596</v>
      </c>
      <c r="W27" s="334">
        <v>17.64105</v>
      </c>
      <c r="X27" s="334">
        <v>16.586950000000002</v>
      </c>
      <c r="Y27" s="334">
        <v>18.224845173332504</v>
      </c>
      <c r="Z27" s="334">
        <v>25.697777641255019</v>
      </c>
      <c r="AB27" s="333">
        <v>-0.11726617815433937</v>
      </c>
      <c r="AC27" s="333">
        <v>0.14318700886191937</v>
      </c>
      <c r="AD27" s="333">
        <v>0.17097136970230564</v>
      </c>
      <c r="AE27" s="333"/>
      <c r="AF27" s="333">
        <v>0.31853906611188165</v>
      </c>
      <c r="AG27" s="333">
        <v>0.37410338857284192</v>
      </c>
      <c r="AH27" s="333">
        <v>0.39213904350789508</v>
      </c>
      <c r="AJ27" s="332" t="s">
        <v>247</v>
      </c>
      <c r="AK27" s="332" t="s">
        <v>291</v>
      </c>
    </row>
    <row r="28" spans="2:37" x14ac:dyDescent="0.3">
      <c r="B28" s="332" t="s">
        <v>379</v>
      </c>
      <c r="C28" s="338" t="s">
        <v>292</v>
      </c>
      <c r="D28" s="337" t="s">
        <v>246</v>
      </c>
      <c r="E28" s="337">
        <v>44469</v>
      </c>
      <c r="G28" s="335">
        <v>0.16309999999999999</v>
      </c>
      <c r="H28" s="336">
        <v>306.02740649908031</v>
      </c>
      <c r="I28" s="335">
        <v>49.913069999999998</v>
      </c>
      <c r="J28" s="335">
        <v>52.013069999999999</v>
      </c>
      <c r="K28" s="328"/>
      <c r="L28" s="335">
        <v>18.899999999999999</v>
      </c>
      <c r="M28" s="335">
        <v>-3.1</v>
      </c>
      <c r="N28" s="335">
        <v>-3.4</v>
      </c>
      <c r="O28" s="335">
        <v>-11.9</v>
      </c>
      <c r="P28" s="335">
        <v>0</v>
      </c>
      <c r="R28" s="334">
        <v>2.752014285714286</v>
      </c>
      <c r="S28" s="334">
        <v>1.64079</v>
      </c>
      <c r="T28" s="334">
        <v>3.0417000000000001</v>
      </c>
      <c r="U28" s="334" t="s">
        <v>293</v>
      </c>
      <c r="V28" s="334" t="s">
        <v>293</v>
      </c>
      <c r="W28" s="334" t="s">
        <v>377</v>
      </c>
      <c r="X28" s="334" t="s">
        <v>294</v>
      </c>
      <c r="Y28" s="334" t="s">
        <v>293</v>
      </c>
      <c r="Z28" s="334" t="s">
        <v>293</v>
      </c>
      <c r="AB28" s="333">
        <v>0.1444444444444446</v>
      </c>
      <c r="AC28" s="333">
        <v>0.16504854368932032</v>
      </c>
      <c r="AD28" s="333">
        <v>-0.21250000000000002</v>
      </c>
      <c r="AE28" s="333"/>
      <c r="AF28" s="333">
        <v>0.25242718446601942</v>
      </c>
      <c r="AG28" s="333">
        <v>0.12083333333333333</v>
      </c>
      <c r="AH28" s="333">
        <v>-0.16402116402116404</v>
      </c>
      <c r="AJ28" s="332" t="s">
        <v>247</v>
      </c>
      <c r="AK28" s="332" t="s">
        <v>295</v>
      </c>
    </row>
    <row r="29" spans="2:37" x14ac:dyDescent="0.3">
      <c r="B29" s="332" t="s">
        <v>378</v>
      </c>
      <c r="C29" s="338" t="s">
        <v>296</v>
      </c>
      <c r="D29" s="337" t="s">
        <v>358</v>
      </c>
      <c r="E29" s="337">
        <v>44651</v>
      </c>
      <c r="G29" s="335">
        <v>122.6</v>
      </c>
      <c r="H29" s="336">
        <v>98.284926916802618</v>
      </c>
      <c r="I29" s="335">
        <v>12049.732040000001</v>
      </c>
      <c r="J29" s="335">
        <v>9747.8430399999997</v>
      </c>
      <c r="K29" s="328"/>
      <c r="L29" s="335">
        <v>3155.0209599999998</v>
      </c>
      <c r="M29" s="335">
        <v>742.07717000000002</v>
      </c>
      <c r="N29" s="335">
        <v>427.09449000000001</v>
      </c>
      <c r="O29" s="335">
        <v>376.30340000000001</v>
      </c>
      <c r="P29" s="335">
        <v>-142.80953</v>
      </c>
      <c r="R29" s="334">
        <v>3.0896286153357284</v>
      </c>
      <c r="S29" s="334" t="s">
        <v>377</v>
      </c>
      <c r="T29" s="334">
        <v>2.7812800000000002</v>
      </c>
      <c r="U29" s="334">
        <v>13.135888603068061</v>
      </c>
      <c r="V29" s="334">
        <v>16.266259663211581</v>
      </c>
      <c r="W29" s="334" t="s">
        <v>377</v>
      </c>
      <c r="X29" s="334">
        <v>11.297980000000001</v>
      </c>
      <c r="Y29" s="334">
        <v>22.823621629958279</v>
      </c>
      <c r="Z29" s="334">
        <v>32.021321199861603</v>
      </c>
      <c r="AB29" s="333">
        <v>0.18229927706129589</v>
      </c>
      <c r="AC29" s="333">
        <v>2.2283838913977672E-2</v>
      </c>
      <c r="AD29" s="333">
        <v>9.7932575722897486E-2</v>
      </c>
      <c r="AE29" s="333"/>
      <c r="AF29" s="333">
        <v>0.15991349867431537</v>
      </c>
      <c r="AG29" s="333">
        <v>0.22512283835128802</v>
      </c>
      <c r="AH29" s="333">
        <v>0.23520514741683365</v>
      </c>
      <c r="AJ29" s="332" t="s">
        <v>247</v>
      </c>
      <c r="AK29" s="332" t="s">
        <v>376</v>
      </c>
    </row>
    <row r="30" spans="2:37" x14ac:dyDescent="0.3">
      <c r="B30" s="332" t="s">
        <v>375</v>
      </c>
      <c r="C30" s="338" t="s">
        <v>297</v>
      </c>
      <c r="D30" s="337" t="s">
        <v>298</v>
      </c>
      <c r="E30" s="337">
        <v>44561</v>
      </c>
      <c r="G30" s="335">
        <v>124.14</v>
      </c>
      <c r="H30" s="336">
        <v>100.73879998388917</v>
      </c>
      <c r="I30" s="335">
        <v>12505.71463</v>
      </c>
      <c r="J30" s="335">
        <v>11568.245629999999</v>
      </c>
      <c r="K30" s="328"/>
      <c r="L30" s="335">
        <v>193.64964000000001</v>
      </c>
      <c r="M30" s="335">
        <v>61.406230000000001</v>
      </c>
      <c r="N30" s="335">
        <v>58.486780000000003</v>
      </c>
      <c r="O30" s="335">
        <v>45.548560000000002</v>
      </c>
      <c r="P30" s="335">
        <v>-6.0981300000000003</v>
      </c>
      <c r="R30" s="334">
        <v>59.738017741731916</v>
      </c>
      <c r="S30" s="334">
        <v>12.360480000000001</v>
      </c>
      <c r="T30" s="334">
        <v>13.02478</v>
      </c>
      <c r="U30" s="334" t="s">
        <v>293</v>
      </c>
      <c r="V30" s="334" t="s">
        <v>293</v>
      </c>
      <c r="W30" s="334">
        <v>25.273710000000001</v>
      </c>
      <c r="X30" s="334">
        <v>40.736269999999998</v>
      </c>
      <c r="Y30" s="334" t="s">
        <v>293</v>
      </c>
      <c r="Z30" s="334">
        <v>274.55784837105722</v>
      </c>
      <c r="AB30" s="333">
        <v>0.45050367002943559</v>
      </c>
      <c r="AC30" s="333">
        <v>2.8179971469608773</v>
      </c>
      <c r="AD30" s="333">
        <v>-0.5863157216083561</v>
      </c>
      <c r="AE30" s="333"/>
      <c r="AF30" s="333">
        <v>0.38477995793031505</v>
      </c>
      <c r="AG30" s="333">
        <v>0.54637741568889386</v>
      </c>
      <c r="AH30" s="333">
        <v>0.31709963416405007</v>
      </c>
      <c r="AJ30" s="332" t="s">
        <v>247</v>
      </c>
      <c r="AK30" s="332" t="s">
        <v>299</v>
      </c>
    </row>
    <row r="31" spans="2:37" x14ac:dyDescent="0.3">
      <c r="B31" s="332" t="s">
        <v>374</v>
      </c>
      <c r="C31" s="338" t="s">
        <v>373</v>
      </c>
      <c r="D31" s="337" t="s">
        <v>358</v>
      </c>
      <c r="E31" s="337">
        <v>44651</v>
      </c>
      <c r="G31" s="335">
        <v>31.263100000000001</v>
      </c>
      <c r="H31" s="336">
        <v>609.8320000255892</v>
      </c>
      <c r="I31" s="335">
        <v>19065.238799999999</v>
      </c>
      <c r="J31" s="335">
        <v>17239.846799999999</v>
      </c>
      <c r="K31" s="328"/>
      <c r="L31" s="335">
        <v>1687.53585</v>
      </c>
      <c r="M31" s="335">
        <v>-286.45483999999999</v>
      </c>
      <c r="N31" s="335">
        <v>-343.47480000000002</v>
      </c>
      <c r="O31" s="335">
        <v>-432.30871999999999</v>
      </c>
      <c r="P31" s="335">
        <v>-82.014949999999999</v>
      </c>
      <c r="R31" s="334">
        <v>10.215988478111443</v>
      </c>
      <c r="S31" s="334">
        <v>6.0830299999999999</v>
      </c>
      <c r="T31" s="334">
        <v>8.3310899999999997</v>
      </c>
      <c r="U31" s="334" t="s">
        <v>293</v>
      </c>
      <c r="V31" s="334" t="s">
        <v>293</v>
      </c>
      <c r="W31" s="334">
        <v>44.899540000000002</v>
      </c>
      <c r="X31" s="334" t="s">
        <v>294</v>
      </c>
      <c r="Y31" s="334" t="s">
        <v>293</v>
      </c>
      <c r="Z31" s="334" t="s">
        <v>293</v>
      </c>
      <c r="AB31" s="333">
        <v>0.59620349157203889</v>
      </c>
      <c r="AC31" s="333">
        <v>0.66716918784448676</v>
      </c>
      <c r="AD31" s="333">
        <v>1.2343300625775222</v>
      </c>
      <c r="AE31" s="333"/>
      <c r="AF31" s="333">
        <v>-9.594151809266073E-2</v>
      </c>
      <c r="AG31" s="333">
        <v>-0.24183637824896301</v>
      </c>
      <c r="AH31" s="333">
        <v>-0.16974741010687269</v>
      </c>
      <c r="AJ31" s="332" t="s">
        <v>247</v>
      </c>
      <c r="AK31" s="332" t="s">
        <v>372</v>
      </c>
    </row>
    <row r="32" spans="2:37" x14ac:dyDescent="0.3">
      <c r="B32" s="332" t="s">
        <v>371</v>
      </c>
      <c r="C32" s="338" t="s">
        <v>370</v>
      </c>
      <c r="D32" s="337" t="s">
        <v>369</v>
      </c>
      <c r="E32" s="337">
        <v>44651</v>
      </c>
      <c r="G32" s="335">
        <v>22.6</v>
      </c>
      <c r="H32" s="336">
        <v>2201.5627469026545</v>
      </c>
      <c r="I32" s="335">
        <v>49755.318079999997</v>
      </c>
      <c r="J32" s="335">
        <v>43212.601620000001</v>
      </c>
      <c r="K32" s="328"/>
      <c r="L32" s="335">
        <v>2244.61904</v>
      </c>
      <c r="M32" s="335">
        <v>421.05869000000001</v>
      </c>
      <c r="N32" s="335">
        <v>410.69238999999999</v>
      </c>
      <c r="O32" s="335">
        <v>398.02503999999999</v>
      </c>
      <c r="P32" s="335">
        <v>-47.295140000000004</v>
      </c>
      <c r="R32" s="334">
        <v>19.251641748525845</v>
      </c>
      <c r="S32" s="334">
        <v>2.1951100000000001</v>
      </c>
      <c r="T32" s="334">
        <v>2.62087</v>
      </c>
      <c r="U32" s="334" t="s">
        <v>293</v>
      </c>
      <c r="V32" s="334" t="s">
        <v>293</v>
      </c>
      <c r="W32" s="334">
        <v>11.40897</v>
      </c>
      <c r="X32" s="334">
        <v>11.320869999999999</v>
      </c>
      <c r="Y32" s="334" t="s">
        <v>293</v>
      </c>
      <c r="Z32" s="334">
        <v>125.00549734257925</v>
      </c>
      <c r="AB32" s="333">
        <v>0.7464457789516632</v>
      </c>
      <c r="AC32" s="333">
        <v>6.5170504877349655E-2</v>
      </c>
      <c r="AD32" s="333">
        <v>0.24486256051370825</v>
      </c>
      <c r="AE32" s="333"/>
      <c r="AF32" s="333">
        <v>0.20340311970174521</v>
      </c>
      <c r="AG32" s="333">
        <v>0.2114313351676608</v>
      </c>
      <c r="AH32" s="333">
        <v>0.18758581411659059</v>
      </c>
      <c r="AJ32" s="332" t="s">
        <v>247</v>
      </c>
      <c r="AK32" s="332" t="s">
        <v>368</v>
      </c>
    </row>
    <row r="33" spans="1:43" x14ac:dyDescent="0.3">
      <c r="B33" s="332" t="s">
        <v>367</v>
      </c>
      <c r="C33" s="338" t="s">
        <v>366</v>
      </c>
      <c r="D33" s="337" t="s">
        <v>365</v>
      </c>
      <c r="E33" s="337">
        <v>44651</v>
      </c>
      <c r="G33" s="335">
        <v>3070</v>
      </c>
      <c r="H33" s="336">
        <v>885.48618799999997</v>
      </c>
      <c r="I33" s="335">
        <v>2718442.5971599999</v>
      </c>
      <c r="J33" s="335">
        <v>2160160.5971599999</v>
      </c>
      <c r="K33" s="328"/>
      <c r="L33" s="335">
        <v>2096.0451600000001</v>
      </c>
      <c r="M33" s="335">
        <v>784.73202000000003</v>
      </c>
      <c r="N33" s="335">
        <v>720.06255999999996</v>
      </c>
      <c r="O33" s="335">
        <v>877.39080999999999</v>
      </c>
      <c r="P33" s="335">
        <v>-12.104520000000001</v>
      </c>
      <c r="R33" s="334" t="s">
        <v>293</v>
      </c>
      <c r="S33" s="334">
        <v>6.2354599999999998</v>
      </c>
      <c r="T33" s="334">
        <v>7.7932699999999997</v>
      </c>
      <c r="U33" s="334" t="s">
        <v>293</v>
      </c>
      <c r="V33" s="334" t="s">
        <v>293</v>
      </c>
      <c r="W33" s="334">
        <v>17.126719999999999</v>
      </c>
      <c r="X33" s="334">
        <v>22.669329999999999</v>
      </c>
      <c r="Y33" s="334" t="s">
        <v>293</v>
      </c>
      <c r="Z33" s="334">
        <v>3098.325815790115</v>
      </c>
      <c r="AB33" s="333">
        <v>8.9856916632817807E-3</v>
      </c>
      <c r="AC33" s="333">
        <v>0.13891992805786901</v>
      </c>
      <c r="AD33" s="333">
        <v>-9.69353251897066E-2</v>
      </c>
      <c r="AE33" s="333"/>
      <c r="AF33" s="333">
        <v>0.45383074202997392</v>
      </c>
      <c r="AG33" s="333">
        <v>0.44388855510348091</v>
      </c>
      <c r="AH33" s="333">
        <v>0.37438698124233161</v>
      </c>
      <c r="AJ33" s="332" t="s">
        <v>247</v>
      </c>
      <c r="AK33" s="332" t="s">
        <v>364</v>
      </c>
    </row>
    <row r="34" spans="1:43" x14ac:dyDescent="0.3">
      <c r="B34" s="332" t="s">
        <v>363</v>
      </c>
      <c r="C34" s="338" t="s">
        <v>362</v>
      </c>
      <c r="D34" s="337" t="s">
        <v>361</v>
      </c>
      <c r="E34" s="337">
        <v>44530</v>
      </c>
      <c r="G34" s="335">
        <v>12.66</v>
      </c>
      <c r="H34" s="336">
        <v>38.949011848341229</v>
      </c>
      <c r="I34" s="335">
        <v>493.09449000000001</v>
      </c>
      <c r="J34" s="335">
        <v>480.98149000000001</v>
      </c>
      <c r="K34" s="328"/>
      <c r="L34" s="335">
        <v>105.37985</v>
      </c>
      <c r="M34" s="335">
        <v>24.563610000000001</v>
      </c>
      <c r="N34" s="335">
        <v>23.142479999999999</v>
      </c>
      <c r="O34" s="335">
        <v>25.05049</v>
      </c>
      <c r="P34" s="335">
        <v>-1.5977600000000001</v>
      </c>
      <c r="R34" s="334">
        <v>4.5642643256751647</v>
      </c>
      <c r="S34" s="334">
        <v>4.3463700000000003</v>
      </c>
      <c r="T34" s="334">
        <v>4.6744000000000003</v>
      </c>
      <c r="U34" s="334">
        <v>19.581058728745489</v>
      </c>
      <c r="V34" s="334">
        <v>20.943334995221164</v>
      </c>
      <c r="W34" s="334">
        <v>13.95011</v>
      </c>
      <c r="X34" s="334">
        <v>29.538869999999999</v>
      </c>
      <c r="Y34" s="334">
        <v>20.783489496372042</v>
      </c>
      <c r="Z34" s="334">
        <v>19.684025741612238</v>
      </c>
      <c r="AB34" s="333">
        <v>1.6044329472089074</v>
      </c>
      <c r="AC34" s="333">
        <v>-0.1677735833145001</v>
      </c>
      <c r="AD34" s="333">
        <v>0.24747586430265445</v>
      </c>
      <c r="AE34" s="333"/>
      <c r="AF34" s="333">
        <v>0.2258528663548634</v>
      </c>
      <c r="AG34" s="333">
        <v>0.24112554256043783</v>
      </c>
      <c r="AH34" s="333">
        <v>0.23309589072294182</v>
      </c>
      <c r="AJ34" s="332" t="s">
        <v>247</v>
      </c>
      <c r="AK34" s="332" t="s">
        <v>360</v>
      </c>
    </row>
    <row r="35" spans="1:43" x14ac:dyDescent="0.3">
      <c r="B35" s="332" t="s">
        <v>359</v>
      </c>
      <c r="C35" s="338" t="s">
        <v>300</v>
      </c>
      <c r="D35" s="337" t="s">
        <v>358</v>
      </c>
      <c r="E35" s="337">
        <v>44651</v>
      </c>
      <c r="G35" s="335">
        <v>8.4499999999999993</v>
      </c>
      <c r="H35" s="336">
        <v>1065.9417183431954</v>
      </c>
      <c r="I35" s="335">
        <v>9007.2075199999999</v>
      </c>
      <c r="J35" s="335">
        <v>9862.3075200000003</v>
      </c>
      <c r="K35" s="328"/>
      <c r="L35" s="335">
        <v>2462.4796500000002</v>
      </c>
      <c r="M35" s="335">
        <v>402.10388999999998</v>
      </c>
      <c r="N35" s="335">
        <v>192.03912</v>
      </c>
      <c r="O35" s="335">
        <v>-91.623059999999995</v>
      </c>
      <c r="P35" s="335">
        <v>-10.991250000000001</v>
      </c>
      <c r="R35" s="334">
        <v>4.0050310750791382</v>
      </c>
      <c r="S35" s="334">
        <v>3.3599800000000002</v>
      </c>
      <c r="T35" s="334">
        <v>3.5079699999999998</v>
      </c>
      <c r="U35" s="334">
        <v>24.52676476221108</v>
      </c>
      <c r="V35" s="334">
        <v>25.21602861006998</v>
      </c>
      <c r="W35" s="334">
        <v>14.63191</v>
      </c>
      <c r="X35" s="334">
        <v>18.472200000000001</v>
      </c>
      <c r="Y35" s="334">
        <v>51.355721271790877</v>
      </c>
      <c r="Z35" s="334" t="s">
        <v>293</v>
      </c>
      <c r="AB35" s="333">
        <v>0.48642535415730204</v>
      </c>
      <c r="AC35" s="333">
        <v>0.37072882683480479</v>
      </c>
      <c r="AD35" s="333">
        <v>0.52532282911473582</v>
      </c>
      <c r="AE35" s="333"/>
      <c r="AF35" s="333">
        <v>6.658091851403496E-3</v>
      </c>
      <c r="AG35" s="333">
        <v>6.6437107555195468E-2</v>
      </c>
      <c r="AH35" s="333">
        <v>0.16329226923763612</v>
      </c>
      <c r="AJ35" s="332" t="s">
        <v>247</v>
      </c>
      <c r="AK35" s="332" t="s">
        <v>301</v>
      </c>
    </row>
    <row r="36" spans="1:43" x14ac:dyDescent="0.3">
      <c r="C36" s="331"/>
      <c r="D36" s="330"/>
      <c r="E36" s="330"/>
      <c r="G36" s="328"/>
      <c r="H36" s="329"/>
      <c r="I36" s="328"/>
      <c r="J36" s="328"/>
      <c r="K36" s="328"/>
      <c r="L36" s="328"/>
      <c r="M36" s="328"/>
      <c r="N36" s="328"/>
      <c r="O36" s="328"/>
      <c r="P36" s="328"/>
      <c r="R36" s="327"/>
      <c r="S36" s="327"/>
      <c r="T36" s="327"/>
      <c r="U36" s="327"/>
      <c r="V36" s="327"/>
      <c r="W36" s="327"/>
      <c r="X36" s="327"/>
      <c r="Y36" s="327"/>
      <c r="Z36" s="327"/>
      <c r="AB36" s="326"/>
      <c r="AC36" s="326"/>
      <c r="AD36" s="326"/>
      <c r="AE36" s="326"/>
      <c r="AF36" s="326"/>
      <c r="AG36" s="326"/>
      <c r="AH36" s="326"/>
    </row>
    <row r="37" spans="1:43" x14ac:dyDescent="0.3">
      <c r="R37" s="325"/>
      <c r="S37" s="325"/>
      <c r="T37" s="325"/>
      <c r="U37" s="325"/>
      <c r="V37" s="325"/>
      <c r="W37" s="325"/>
      <c r="X37" s="325"/>
      <c r="Y37" s="325"/>
      <c r="AB37" s="324"/>
      <c r="AC37" s="324"/>
      <c r="AD37" s="324"/>
      <c r="AE37" s="324"/>
      <c r="AF37" s="324"/>
      <c r="AG37" s="324"/>
      <c r="AH37" s="324"/>
    </row>
    <row r="38" spans="1:43" x14ac:dyDescent="0.3">
      <c r="B38" s="323" t="s">
        <v>302</v>
      </c>
      <c r="C38" s="322"/>
      <c r="D38" s="322"/>
      <c r="E38" s="321"/>
      <c r="F38" s="321"/>
      <c r="G38" s="318">
        <f>+IFERROR(MAX(G26:G35),"n.a.")</f>
        <v>3070</v>
      </c>
      <c r="H38" s="318">
        <f>+IFERROR(MAX(H26:H35),"n.a.")</f>
        <v>2201.5627469026545</v>
      </c>
      <c r="I38" s="318">
        <f>+IFERROR(MAX(I26:I35),"n.a.")</f>
        <v>2718442.5971599999</v>
      </c>
      <c r="J38" s="318">
        <f>+IFERROR(MAX(J26:J35),"n.a.")</f>
        <v>2160160.5971599999</v>
      </c>
      <c r="K38" s="318"/>
      <c r="L38" s="318">
        <f>+IFERROR(MAX(L26:L35),"n.a.")</f>
        <v>7740.4778999999999</v>
      </c>
      <c r="M38" s="318">
        <f>+IFERROR(MAX(M26:M35),"n.a.")</f>
        <v>3035.3436000000002</v>
      </c>
      <c r="N38" s="318">
        <f>+IFERROR(MAX(N26:N35),"n.a.")</f>
        <v>2933.3447999999999</v>
      </c>
      <c r="O38" s="318">
        <f>+IFERROR(MAX(O26:O35),"n.a.")</f>
        <v>2373.2307000000001</v>
      </c>
      <c r="P38" s="318">
        <v>0</v>
      </c>
      <c r="Q38" s="321"/>
      <c r="R38" s="320">
        <f>+IFERROR(MAX(R26:R35),"n.a.")</f>
        <v>59.738017741731916</v>
      </c>
      <c r="S38" s="320">
        <f>+IFERROR(MAX(S26:S35),"n.a.")</f>
        <v>12.360480000000001</v>
      </c>
      <c r="T38" s="320">
        <f>+IFERROR(MAX(T26:T35),"n.a.")</f>
        <v>13.02478</v>
      </c>
      <c r="U38" s="320">
        <f>+IFERROR(MAX(U26:U35),"n.a.")</f>
        <v>24.52676476221108</v>
      </c>
      <c r="V38" s="320">
        <f>+IFERROR(MAX(V26:V29),"n.a.")</f>
        <v>24.667527387076372</v>
      </c>
      <c r="W38" s="320">
        <f>+IFERROR(MAX(W26:W35),"n.a.")</f>
        <v>44.899540000000002</v>
      </c>
      <c r="X38" s="320">
        <f>+IFERROR(MAX(X26:X35),"n.a.")</f>
        <v>40.736269999999998</v>
      </c>
      <c r="Y38" s="320">
        <f>+IFERROR(MAX(Y26:Y35),"n.a.")</f>
        <v>51.355721271790877</v>
      </c>
      <c r="Z38" s="445">
        <f>+IFERROR(MAX(Z26:Z35),"n.a.")</f>
        <v>3098.325815790115</v>
      </c>
      <c r="AA38" s="291"/>
      <c r="AB38" s="319">
        <v>1.6044329472089101</v>
      </c>
      <c r="AC38" s="318">
        <v>2.8179971469608773</v>
      </c>
      <c r="AD38" s="318">
        <v>1.2343300625775222</v>
      </c>
      <c r="AE38" s="318"/>
      <c r="AF38" s="318">
        <v>0.45383074202997392</v>
      </c>
      <c r="AG38" s="318">
        <v>0.54637741568889386</v>
      </c>
      <c r="AH38" s="317">
        <v>0.39213904350789508</v>
      </c>
    </row>
    <row r="39" spans="1:43" x14ac:dyDescent="0.3">
      <c r="B39" s="305" t="s">
        <v>303</v>
      </c>
      <c r="C39" s="304"/>
      <c r="D39" s="304"/>
      <c r="E39" s="303"/>
      <c r="F39" s="301"/>
      <c r="G39" s="302">
        <f>+IFERROR(_xlfn.PERCENTILE.INC(G26:G35,0.75),"n.a.")</f>
        <v>123.755</v>
      </c>
      <c r="H39" s="302">
        <f>+IFERROR(_xlfn.PERCENTILE.INC(H26:H35,0.75),"n.a.")</f>
        <v>859.24727944627887</v>
      </c>
      <c r="I39" s="302">
        <f>+IFERROR(_xlfn.PERCENTILE.INC(I26:I35,0.75),"n.a.")</f>
        <v>46272.714739999996</v>
      </c>
      <c r="J39" s="302">
        <f>+IFERROR(_xlfn.PERCENTILE.INC(J26:J35,0.75),"n.a.")</f>
        <v>41069.677394999999</v>
      </c>
      <c r="K39" s="302"/>
      <c r="L39" s="302">
        <f>+IFERROR(_xlfn.PERCENTILE.INC(L26:L35,0.75),"n.a.")</f>
        <v>2981.8856324999997</v>
      </c>
      <c r="M39" s="302">
        <f>+IFERROR(_xlfn.PERCENTILE.INC(M26:M35,0.75),"n.a.")</f>
        <v>774.06830750000006</v>
      </c>
      <c r="N39" s="302">
        <f>+IFERROR(_xlfn.PERCENTILE.INC(N26:N35,0.75),"n.a.")</f>
        <v>646.82054249999999</v>
      </c>
      <c r="O39" s="302">
        <f>+IFERROR(_xlfn.PERCENTILE.INC(O26:O35,0.75),"n.a.")</f>
        <v>632.19961000000001</v>
      </c>
      <c r="P39" s="302">
        <v>-7.3214100000000002</v>
      </c>
      <c r="Q39" s="301"/>
      <c r="R39" s="300">
        <f>+IFERROR(_xlfn.PERCENTILE.INC(R26:R35,0.75),"n.a.")</f>
        <v>10.215988478111443</v>
      </c>
      <c r="S39" s="300">
        <f>+IFERROR(_xlfn.PERCENTILE.INC(S26:S35,0.75),"n.a.")</f>
        <v>6.3695449999999996</v>
      </c>
      <c r="T39" s="300">
        <f>+IFERROR(_xlfn.PERCENTILE.INC(T26:T35,0.75),"n.a.")</f>
        <v>7.4559625</v>
      </c>
      <c r="U39" s="300">
        <f>+IFERROR(_xlfn.PERCENTILE.INC(U26:U35,0.75),"n.a.")</f>
        <v>22.014498125766099</v>
      </c>
      <c r="V39" s="300">
        <f>+IFERROR(_xlfn.PERCENTILE.INC(V26:V29,0.75),"n.a.")</f>
        <v>21.348900629812984</v>
      </c>
      <c r="W39" s="300">
        <f>+IFERROR(_xlfn.PERCENTILE.INC(W26:W35,0.75),"n.a.")</f>
        <v>21.457380000000001</v>
      </c>
      <c r="X39" s="300">
        <f>+IFERROR(_xlfn.PERCENTILE.INC(X26:X35,0.75),"n.a.")</f>
        <v>24.386714999999999</v>
      </c>
      <c r="Y39" s="300">
        <f>+IFERROR(_xlfn.PERCENTILE.INC(Y26:Y35,0.75),"n.a.")</f>
        <v>30.492347641710889</v>
      </c>
      <c r="Z39" s="443">
        <f>+IFERROR(_xlfn.PERCENTILE.INC(Z26:Z35,0.75),"n.a.")</f>
        <v>199.78167285681823</v>
      </c>
      <c r="AA39" s="291"/>
      <c r="AB39" s="290">
        <v>0.15390815259865742</v>
      </c>
      <c r="AC39" s="299">
        <v>0.14865239256876961</v>
      </c>
      <c r="AD39" s="299">
        <v>0.20628414260546363</v>
      </c>
      <c r="AE39" s="299"/>
      <c r="AF39" s="299">
        <v>0.29608771939053136</v>
      </c>
      <c r="AG39" s="299">
        <v>0.26236797590667649</v>
      </c>
      <c r="AH39" s="298">
        <v>0.28556158107437041</v>
      </c>
    </row>
    <row r="40" spans="1:43" x14ac:dyDescent="0.3">
      <c r="B40" s="316" t="s">
        <v>304</v>
      </c>
      <c r="C40" s="315"/>
      <c r="D40" s="315"/>
      <c r="E40" s="314"/>
      <c r="F40" s="312"/>
      <c r="G40" s="313">
        <f>+IFERROR(MEDIAN(G26:G35),"n.a.")</f>
        <v>54.69905</v>
      </c>
      <c r="H40" s="313">
        <f>+IFERROR(MEDIAN(H26:H35),"n.a.")</f>
        <v>457.92970326233478</v>
      </c>
      <c r="I40" s="313">
        <f>+IFERROR(MEDIAN(I26:I35),"n.a.")</f>
        <v>15785.476715000001</v>
      </c>
      <c r="J40" s="313">
        <f>+IFERROR(MEDIAN(J26:J35),"n.a.")</f>
        <v>14404.046214999998</v>
      </c>
      <c r="K40" s="313"/>
      <c r="L40" s="313">
        <f>+IFERROR(MEDIAN(L26:L35),"n.a.")</f>
        <v>2170.3321000000001</v>
      </c>
      <c r="M40" s="313">
        <f>+IFERROR(MEDIAN(M26:M35),"n.a.")</f>
        <v>411.58128999999997</v>
      </c>
      <c r="N40" s="313">
        <f>+IFERROR(MEDIAN(N26:N35),"n.a.")</f>
        <v>301.36575499999998</v>
      </c>
      <c r="O40" s="313">
        <f>+IFERROR(MEDIAN(O26:O35),"n.a.")</f>
        <v>210.92598000000001</v>
      </c>
      <c r="P40" s="313">
        <v>-29.699830000000002</v>
      </c>
      <c r="Q40" s="312"/>
      <c r="R40" s="311">
        <f t="shared" ref="R40:Z40" si="0">+IFERROR(MEDIAN(R26:R35),"n.a.")</f>
        <v>5.5044117756886202</v>
      </c>
      <c r="S40" s="311">
        <f t="shared" si="0"/>
        <v>5.2147000000000006</v>
      </c>
      <c r="T40" s="311">
        <f t="shared" si="0"/>
        <v>4.8147350000000007</v>
      </c>
      <c r="U40" s="311">
        <f t="shared" si="0"/>
        <v>19.581058728745489</v>
      </c>
      <c r="V40" s="311">
        <f t="shared" si="0"/>
        <v>20.943334995221164</v>
      </c>
      <c r="W40" s="311">
        <f t="shared" si="0"/>
        <v>17.126719999999999</v>
      </c>
      <c r="X40" s="311">
        <f t="shared" si="0"/>
        <v>19.144825000000001</v>
      </c>
      <c r="Y40" s="311">
        <f t="shared" si="0"/>
        <v>22.823621629958279</v>
      </c>
      <c r="Z40" s="444">
        <f t="shared" si="0"/>
        <v>50.439297843684365</v>
      </c>
      <c r="AA40" s="310"/>
      <c r="AB40" s="309">
        <f>+IFERROR(MEDIAN(AB26:AB35),"n.a.")</f>
        <v>0.31640147354536574</v>
      </c>
      <c r="AC40" s="308">
        <f>+IFERROR(MEDIAN(AC26:AC35),"n.a.")</f>
        <v>0.14105346845989419</v>
      </c>
      <c r="AD40" s="308">
        <f>+IFERROR(MEDIAN(AD26:AD35),"n.a.")</f>
        <v>0.20791696510800695</v>
      </c>
      <c r="AE40" s="308"/>
      <c r="AF40" s="308">
        <f>+IFERROR(MEDIAN(AF26:AF35),"n.a.")</f>
        <v>0.23914002541044141</v>
      </c>
      <c r="AG40" s="308">
        <f>+IFERROR(MEDIAN(AG26:AG35),"n.a.")</f>
        <v>0.22217236250483213</v>
      </c>
      <c r="AH40" s="307">
        <f>+IFERROR(MEDIAN(AH26:AH35),"n.a.")</f>
        <v>0.23415051906988774</v>
      </c>
    </row>
    <row r="41" spans="1:43" x14ac:dyDescent="0.3">
      <c r="B41" s="306" t="s">
        <v>45</v>
      </c>
      <c r="C41" s="304"/>
      <c r="D41" s="304"/>
      <c r="E41" s="303"/>
      <c r="F41" s="301"/>
      <c r="G41" s="302">
        <f>+IFERROR(AVERAGE(G26:G35),"n.a.")</f>
        <v>359.98421999999994</v>
      </c>
      <c r="H41" s="302">
        <f>+IFERROR(AVERAGE(H26:H35),"n.a.")</f>
        <v>636.32882578357044</v>
      </c>
      <c r="I41" s="302">
        <f>+IFERROR(AVERAGE(I26:I35),"n.a.")</f>
        <v>291818.047533</v>
      </c>
      <c r="J41" s="302">
        <f>+IFERROR(AVERAGE(J26:J35),"n.a.")</f>
        <v>234042.50958699998</v>
      </c>
      <c r="K41" s="302"/>
      <c r="L41" s="302">
        <f>+IFERROR(AVERAGE(L26:L35),"n.a.")</f>
        <v>2599.7406250000004</v>
      </c>
      <c r="M41" s="302">
        <f>+IFERROR(AVERAGE(M26:M35),"n.a.")</f>
        <v>675.52799700000003</v>
      </c>
      <c r="N41" s="302">
        <f>+IFERROR(AVERAGE(N26:N35),"n.a.")</f>
        <v>555.40402200000017</v>
      </c>
      <c r="O41" s="302">
        <f>+IFERROR(AVERAGE(O26:O35),"n.a.")</f>
        <v>426.997502</v>
      </c>
      <c r="P41" s="302">
        <v>-54.249288</v>
      </c>
      <c r="Q41" s="301"/>
      <c r="R41" s="300">
        <f>+IFERROR(AVERAGE(R26:R35),"n.a.")</f>
        <v>12.891946297297153</v>
      </c>
      <c r="S41" s="300">
        <f>+IFERROR(AVERAGE(S26:S35),"n.a.")</f>
        <v>5.3741275000000002</v>
      </c>
      <c r="T41" s="300">
        <f>+IFERROR(AVERAGE(T26:T35),"n.a.")</f>
        <v>5.7174469999999999</v>
      </c>
      <c r="U41" s="300">
        <f>+IFERROR(AVERAGE(U26:U35),"n.a.")</f>
        <v>19.374126603531568</v>
      </c>
      <c r="V41" s="300">
        <f>+IFERROR(AVERAGE(V26:V29),"n.a.")</f>
        <v>19.654686974279183</v>
      </c>
      <c r="W41" s="300">
        <f>+IFERROR(AVERAGE(W26:W35),"n.a.")</f>
        <v>20.704572857142857</v>
      </c>
      <c r="X41" s="300">
        <f>+IFERROR(AVERAGE(X26:X35),"n.a.")</f>
        <v>21.304989999999997</v>
      </c>
      <c r="Y41" s="300">
        <f>+IFERROR(AVERAGE(Y26:Y35),"n.a.")</f>
        <v>28.736005042632918</v>
      </c>
      <c r="Z41" s="443">
        <f>+IFERROR(AVERAGE(Z26:Z35),"n.a.")</f>
        <v>517.96165484716641</v>
      </c>
      <c r="AA41" s="291"/>
      <c r="AB41" s="290">
        <v>8.7979130875204758E-2</v>
      </c>
      <c r="AC41" s="299">
        <v>7.0584903466294036E-2</v>
      </c>
      <c r="AD41" s="299">
        <v>9.2156601685035172E-2</v>
      </c>
      <c r="AE41" s="299"/>
      <c r="AF41" s="299">
        <v>0.25487092160057445</v>
      </c>
      <c r="AG41" s="299">
        <v>0.23482036172895987</v>
      </c>
      <c r="AH41" s="298">
        <v>0.17833969679169004</v>
      </c>
    </row>
    <row r="42" spans="1:43" x14ac:dyDescent="0.3">
      <c r="B42" s="305" t="s">
        <v>305</v>
      </c>
      <c r="C42" s="304"/>
      <c r="D42" s="304"/>
      <c r="E42" s="303"/>
      <c r="F42" s="301"/>
      <c r="G42" s="302">
        <f>+IFERROR(_xlfn.PERCENTILE.INC(G26:G35,0.25),"n.a.")</f>
        <v>15.145</v>
      </c>
      <c r="H42" s="302">
        <f>+IFERROR(_xlfn.PERCENTILE.INC(H26:H35,0.25),"n.a.")</f>
        <v>144.53782637067599</v>
      </c>
      <c r="I42" s="302">
        <f>+IFERROR(_xlfn.PERCENTILE.INC(I26:I35,0.25),"n.a.")</f>
        <v>9767.8386499999997</v>
      </c>
      <c r="J42" s="302">
        <f>+IFERROR(_xlfn.PERCENTILE.INC(J26:J35,0.25),"n.a.")</f>
        <v>9776.4591600000003</v>
      </c>
      <c r="K42" s="302"/>
      <c r="L42" s="302">
        <f>+IFERROR(_xlfn.PERCENTILE.INC(L26:L35,0.25),"n.a.")</f>
        <v>567.12119250000001</v>
      </c>
      <c r="M42" s="302">
        <f>+IFERROR(_xlfn.PERCENTILE.INC(M26:M35,0.25),"n.a.")</f>
        <v>33.774265</v>
      </c>
      <c r="N42" s="302">
        <f>+IFERROR(_xlfn.PERCENTILE.INC(N26:N35,0.25),"n.a.")</f>
        <v>31.978555</v>
      </c>
      <c r="O42" s="302">
        <f>+IFERROR(_xlfn.PERCENTILE.INC(O26:O35,0.25),"n.a.")</f>
        <v>-2.6623774999999998</v>
      </c>
      <c r="P42" s="302">
        <v>-79.097212499999998</v>
      </c>
      <c r="Q42" s="301"/>
      <c r="R42" s="300">
        <f>+IFERROR(_xlfn.PERCENTILE.INC(R26:R35,0.25),"n.a.")</f>
        <v>4.0050310750791382</v>
      </c>
      <c r="S42" s="300">
        <f>+IFERROR(_xlfn.PERCENTILE.INC(S26:S35,0.25),"n.a.")</f>
        <v>3.0687625000000001</v>
      </c>
      <c r="T42" s="300">
        <f>+IFERROR(_xlfn.PERCENTILE.INC(T26:T35,0.25),"n.a.")</f>
        <v>3.1582675</v>
      </c>
      <c r="U42" s="300">
        <f>+IFERROR(_xlfn.PERCENTILE.INC(U26:U35,0.25),"n.a.")</f>
        <v>17.612422797867101</v>
      </c>
      <c r="V42" s="300">
        <f>+IFERROR(_xlfn.PERCENTILE.INC(V26:V29,0.25),"n.a.")</f>
        <v>17.148266767880589</v>
      </c>
      <c r="W42" s="300">
        <f>+IFERROR(_xlfn.PERCENTILE.INC(W26:W35,0.25),"n.a.")</f>
        <v>14.29101</v>
      </c>
      <c r="X42" s="300">
        <f>+IFERROR(_xlfn.PERCENTILE.INC(X26:X35,0.25),"n.a.")</f>
        <v>15.270430000000001</v>
      </c>
      <c r="Y42" s="300">
        <f>+IFERROR(_xlfn.PERCENTILE.INC(Y26:Y35,0.25),"n.a.")</f>
        <v>20.783489496372042</v>
      </c>
      <c r="Z42" s="443">
        <f>+IFERROR(_xlfn.PERCENTILE.INC(Z26:Z35,0.25),"n.a.")</f>
        <v>28.859549420558309</v>
      </c>
      <c r="AA42" s="291"/>
      <c r="AB42" s="290">
        <f>+IFERROR(_xlfn.PERCENTILE.INC(AB26:AB35,0.25),"n.a.")</f>
        <v>0.14294034622317459</v>
      </c>
      <c r="AC42" s="299">
        <f>+IFERROR(_xlfn.PERCENTILE.INC(AC26:AC35,0.25),"n.a.")</f>
        <v>3.3005505404820668E-2</v>
      </c>
      <c r="AD42" s="299">
        <f>+IFERROR(_xlfn.PERCENTILE.INC(AD26:AD35,0.25),"n.a.")</f>
        <v>-4.8218349961555579E-2</v>
      </c>
      <c r="AE42" s="299"/>
      <c r="AF42" s="299">
        <f>+IFERROR(_xlfn.PERCENTILE.INC(AF26:AF35,0.25),"n.a.")</f>
        <v>0.17078590393117282</v>
      </c>
      <c r="AG42" s="299">
        <f>+IFERROR(_xlfn.PERCENTILE.INC(AG26:AG35,0.25),"n.a.")</f>
        <v>0.1434828337919152</v>
      </c>
      <c r="AH42" s="298">
        <f>+IFERROR(_xlfn.PERCENTILE.INC(AH26:AH35,0.25),"n.a.")</f>
        <v>0.16936565545737475</v>
      </c>
    </row>
    <row r="43" spans="1:43" x14ac:dyDescent="0.3">
      <c r="B43" s="297" t="s">
        <v>306</v>
      </c>
      <c r="C43" s="296"/>
      <c r="D43" s="296"/>
      <c r="E43" s="295"/>
      <c r="F43" s="293"/>
      <c r="G43" s="288">
        <v>0.16309999999999999</v>
      </c>
      <c r="H43" s="294"/>
      <c r="I43" s="288">
        <v>49.913069999999998</v>
      </c>
      <c r="J43" s="288">
        <v>52.013069999999999</v>
      </c>
      <c r="K43" s="288"/>
      <c r="L43" s="288">
        <v>18.899999999999999</v>
      </c>
      <c r="M43" s="288">
        <v>-286.45483999999999</v>
      </c>
      <c r="N43" s="288">
        <v>-343.47480000000002</v>
      </c>
      <c r="O43" s="288">
        <v>-432.30871999999999</v>
      </c>
      <c r="P43" s="288">
        <v>-169.23759999999999</v>
      </c>
      <c r="Q43" s="293"/>
      <c r="R43" s="292">
        <f>+IFERROR(MIN(R26:R35),"n.a.")</f>
        <v>2.752014285714286</v>
      </c>
      <c r="S43" s="292">
        <f>+IFERROR(MIN(S26:S35),"n.a.")</f>
        <v>1.64079</v>
      </c>
      <c r="T43" s="292">
        <f>+IFERROR(MIN(T26:T35),"n.a.")</f>
        <v>2.62087</v>
      </c>
      <c r="U43" s="292">
        <f>+IFERROR(MIN(U26:U35),"n.a.")</f>
        <v>13.135888603068061</v>
      </c>
      <c r="V43" s="292">
        <f>+IFERROR(MIN(V26:V29),"n.a.")</f>
        <v>16.266259663211581</v>
      </c>
      <c r="W43" s="292">
        <f>+IFERROR(MIN(W26:W35),"n.a.")</f>
        <v>11.40897</v>
      </c>
      <c r="X43" s="292">
        <f>+IFERROR(MIN(X26:X29),"n.a.")</f>
        <v>11.297980000000001</v>
      </c>
      <c r="Y43" s="292">
        <f>+IFERROR(MIN(Y26:Y35),"n.a.")</f>
        <v>18.224845173332504</v>
      </c>
      <c r="Z43" s="446">
        <f>+IFERROR(MIN(Z26:Z35),"n.a.")</f>
        <v>19.684025741612238</v>
      </c>
      <c r="AA43" s="291"/>
      <c r="AB43" s="447">
        <f>+IFERROR(MIN(AB26:AB35),"n.a.")</f>
        <v>-0.11726617815433937</v>
      </c>
      <c r="AC43" s="288">
        <f>+IFERROR(MIN(AC26:AC35),"n.a.")</f>
        <v>-0.1677735833145001</v>
      </c>
      <c r="AD43" s="288">
        <f>+IFERROR(MIN(AD26:AD35),"n.a.")</f>
        <v>-0.5863157216083561</v>
      </c>
      <c r="AE43" s="289"/>
      <c r="AF43" s="288">
        <f>+IFERROR(MIN(AF26:AF35),"n.a.")</f>
        <v>-9.594151809266073E-2</v>
      </c>
      <c r="AG43" s="288">
        <f>+IFERROR(MIN(AG26:AG35),"n.a.")</f>
        <v>-0.24183637824896301</v>
      </c>
      <c r="AH43" s="287">
        <f>+IFERROR(MIN(AH26:AH35),"n.a.")</f>
        <v>-0.16974741010687269</v>
      </c>
    </row>
    <row r="45" spans="1:43" ht="4.05" customHeight="1" x14ac:dyDescent="0.3">
      <c r="A45" s="285"/>
      <c r="B45" s="285"/>
      <c r="C45" s="285"/>
      <c r="D45" s="285"/>
      <c r="E45" s="285"/>
      <c r="F45" s="285"/>
      <c r="G45" s="285"/>
      <c r="H45" s="286"/>
      <c r="I45" s="285"/>
      <c r="J45" s="285"/>
      <c r="K45" s="285"/>
      <c r="L45" s="285"/>
      <c r="M45" s="285"/>
      <c r="N45" s="285"/>
      <c r="O45" s="285"/>
      <c r="P45" s="285"/>
      <c r="Q45" s="285"/>
      <c r="R45" s="285"/>
      <c r="S45" s="285"/>
      <c r="T45" s="285"/>
      <c r="U45" s="285"/>
      <c r="V45" s="285"/>
      <c r="W45" s="285"/>
      <c r="X45" s="285"/>
      <c r="Y45" s="285"/>
      <c r="Z45" s="285"/>
      <c r="AA45" s="285"/>
      <c r="AB45" s="285"/>
      <c r="AC45" s="285"/>
      <c r="AD45" s="285"/>
      <c r="AE45" s="285"/>
      <c r="AF45" s="285"/>
      <c r="AG45" s="285"/>
      <c r="AH45" s="285"/>
      <c r="AI45" s="285"/>
      <c r="AJ45" s="285"/>
      <c r="AK45" s="285"/>
      <c r="AL45" s="285"/>
      <c r="AM45" s="285"/>
    </row>
    <row r="46" spans="1:43" s="135" customFormat="1" x14ac:dyDescent="0.3">
      <c r="A46" s="282" t="s">
        <v>307</v>
      </c>
      <c r="B46" s="284" t="s">
        <v>307</v>
      </c>
      <c r="C46" s="282" t="s">
        <v>307</v>
      </c>
      <c r="D46" s="282"/>
      <c r="E46" s="282" t="s">
        <v>307</v>
      </c>
      <c r="F46" s="282" t="s">
        <v>307</v>
      </c>
      <c r="G46" s="282" t="s">
        <v>307</v>
      </c>
      <c r="H46" s="283" t="s">
        <v>307</v>
      </c>
      <c r="I46" s="282" t="s">
        <v>307</v>
      </c>
      <c r="J46" s="282" t="s">
        <v>307</v>
      </c>
      <c r="K46" s="282" t="s">
        <v>307</v>
      </c>
      <c r="L46" s="282" t="s">
        <v>307</v>
      </c>
      <c r="M46" s="282" t="s">
        <v>307</v>
      </c>
      <c r="N46" s="282" t="s">
        <v>307</v>
      </c>
      <c r="O46" s="282" t="s">
        <v>307</v>
      </c>
      <c r="P46" s="282" t="s">
        <v>307</v>
      </c>
      <c r="Q46" s="282" t="s">
        <v>307</v>
      </c>
      <c r="R46" s="282" t="s">
        <v>307</v>
      </c>
      <c r="S46" s="282"/>
      <c r="T46" s="282"/>
      <c r="U46" s="282" t="s">
        <v>307</v>
      </c>
      <c r="V46" s="282" t="s">
        <v>307</v>
      </c>
      <c r="W46" s="282"/>
      <c r="X46" s="282"/>
      <c r="Y46" s="282" t="s">
        <v>307</v>
      </c>
      <c r="Z46" s="282" t="s">
        <v>307</v>
      </c>
      <c r="AA46" s="282" t="s">
        <v>307</v>
      </c>
      <c r="AB46" s="282" t="s">
        <v>307</v>
      </c>
      <c r="AC46" s="282" t="s">
        <v>307</v>
      </c>
      <c r="AD46" s="282"/>
      <c r="AE46" s="282"/>
      <c r="AF46" s="282" t="s">
        <v>307</v>
      </c>
      <c r="AG46" s="282" t="s">
        <v>307</v>
      </c>
      <c r="AH46" s="282"/>
      <c r="AI46" s="282" t="s">
        <v>307</v>
      </c>
      <c r="AJ46" s="282" t="s">
        <v>307</v>
      </c>
      <c r="AK46" s="282"/>
      <c r="AL46" s="282" t="s">
        <v>307</v>
      </c>
      <c r="AM46" s="282"/>
      <c r="AN46"/>
      <c r="AO46"/>
      <c r="AP46"/>
      <c r="AQ46"/>
    </row>
  </sheetData>
  <dataValidations disablePrompts="1" count="3">
    <dataValidation type="list" showInputMessage="1" showErrorMessage="1" sqref="D9" xr:uid="{00000000-0002-0000-0200-000002000000}">
      <formula1>"IQ_FY,IQ_LTM,IQ_FQ"</formula1>
    </dataValidation>
    <dataValidation type="list" allowBlank="1" showInputMessage="1" showErrorMessage="1" sqref="D11:D12" xr:uid="{00000000-0002-0000-0200-000001000000}">
      <formula1>"H,C"</formula1>
    </dataValidation>
    <dataValidation type="list" showInputMessage="1" showErrorMessage="1" sqref="D10" xr:uid="{00000000-0002-0000-0200-000000000000}">
      <formula1>"EUR,USD"</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EBF6-CA53-2A49-AF86-3CD185A26280}">
  <dimension ref="A1:AQ29"/>
  <sheetViews>
    <sheetView showGridLines="0" topLeftCell="A9" zoomScale="110" zoomScaleNormal="110" workbookViewId="0">
      <selection activeCell="L28" sqref="L28"/>
    </sheetView>
  </sheetViews>
  <sheetFormatPr defaultColWidth="8.6640625" defaultRowHeight="13.2" x14ac:dyDescent="0.25"/>
  <cols>
    <col min="1" max="1" width="3.6640625" style="385" customWidth="1"/>
    <col min="2" max="2" width="21.77734375" style="385" customWidth="1"/>
    <col min="3" max="3" width="15.44140625" style="385" customWidth="1"/>
    <col min="4" max="4" width="23.44140625" style="385" customWidth="1"/>
    <col min="5" max="5" width="42" style="385" customWidth="1"/>
    <col min="6" max="6" width="4.33203125" style="385" customWidth="1"/>
    <col min="7" max="8" width="15.44140625" style="385" customWidth="1"/>
    <col min="9" max="9" width="27" style="385" customWidth="1"/>
    <col min="10" max="10" width="5.44140625" style="385" customWidth="1"/>
    <col min="11" max="21" width="15.44140625" style="385" customWidth="1"/>
    <col min="22" max="22" width="15.44140625" style="385" hidden="1" customWidth="1"/>
    <col min="23" max="23" width="15.44140625" style="385" customWidth="1" collapsed="1"/>
    <col min="24" max="26" width="15.44140625" style="385" hidden="1" customWidth="1"/>
    <col min="27" max="27" width="15.44140625" style="385" customWidth="1" collapsed="1"/>
    <col min="28" max="29" width="15.44140625" style="385" customWidth="1"/>
    <col min="30" max="30" width="0" style="385" hidden="1" customWidth="1"/>
    <col min="31" max="16384" width="8.6640625" style="385"/>
  </cols>
  <sheetData>
    <row r="1" spans="1:39" s="135" customFormat="1" ht="26.4" thickBot="1" x14ac:dyDescent="0.55000000000000004">
      <c r="A1" s="384" t="s">
        <v>419</v>
      </c>
      <c r="B1" s="136"/>
      <c r="C1" s="136"/>
      <c r="D1" s="136"/>
      <c r="E1" s="136"/>
      <c r="F1" s="136"/>
      <c r="G1" s="136"/>
      <c r="H1" s="137"/>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pans="1:39" ht="13.8" thickTop="1" x14ac:dyDescent="0.25"/>
    <row r="3" spans="1:39" x14ac:dyDescent="0.25">
      <c r="B3" s="385" t="s">
        <v>421</v>
      </c>
    </row>
    <row r="9" spans="1:39" ht="13.8" x14ac:dyDescent="0.3">
      <c r="B9" s="421"/>
      <c r="C9" s="421"/>
      <c r="D9" s="423" t="s">
        <v>251</v>
      </c>
      <c r="E9" s="421"/>
      <c r="F9" s="421"/>
      <c r="G9" s="423" t="s">
        <v>252</v>
      </c>
      <c r="H9" s="423"/>
      <c r="I9" s="422"/>
      <c r="J9" s="421"/>
      <c r="K9" s="423" t="s">
        <v>253</v>
      </c>
      <c r="L9" s="422"/>
    </row>
    <row r="10" spans="1:39" ht="13.8" x14ac:dyDescent="0.3">
      <c r="B10" s="421"/>
      <c r="C10" s="421"/>
      <c r="D10" s="418"/>
      <c r="E10" s="418"/>
      <c r="F10" s="418"/>
      <c r="G10" s="420" t="s">
        <v>260</v>
      </c>
      <c r="H10" s="420" t="s">
        <v>38</v>
      </c>
      <c r="I10" s="420" t="s">
        <v>156</v>
      </c>
      <c r="J10" s="418"/>
      <c r="K10" s="420" t="s">
        <v>262</v>
      </c>
      <c r="L10" s="420" t="s">
        <v>265</v>
      </c>
    </row>
    <row r="11" spans="1:39" ht="13.8" x14ac:dyDescent="0.3">
      <c r="B11" s="419" t="s">
        <v>398</v>
      </c>
      <c r="C11" s="418" t="s">
        <v>399</v>
      </c>
      <c r="D11" s="418" t="s">
        <v>276</v>
      </c>
      <c r="E11" s="418" t="s">
        <v>400</v>
      </c>
      <c r="F11" s="417"/>
      <c r="G11" s="417" t="s">
        <v>420</v>
      </c>
      <c r="H11" s="417" t="s">
        <v>420</v>
      </c>
      <c r="I11" s="417" t="s">
        <v>420</v>
      </c>
      <c r="J11" s="417"/>
      <c r="K11" s="417" t="s">
        <v>401</v>
      </c>
      <c r="L11" s="417" t="s">
        <v>401</v>
      </c>
    </row>
    <row r="13" spans="1:39" ht="14.4" x14ac:dyDescent="0.3">
      <c r="B13" s="416" t="s">
        <v>402</v>
      </c>
      <c r="C13" s="415" t="s">
        <v>403</v>
      </c>
      <c r="D13" s="415" t="s">
        <v>404</v>
      </c>
      <c r="E13" s="415" t="s">
        <v>405</v>
      </c>
      <c r="F13" s="414"/>
      <c r="G13" s="413">
        <v>814.43759999999997</v>
      </c>
      <c r="H13" s="413">
        <v>227.77041332735993</v>
      </c>
      <c r="I13" s="413">
        <v>2745.4079000000002</v>
      </c>
      <c r="K13" s="412">
        <v>3.2713000000000001</v>
      </c>
      <c r="L13" s="412">
        <v>12.0534</v>
      </c>
    </row>
    <row r="14" spans="1:39" ht="14.4" x14ac:dyDescent="0.3">
      <c r="B14" s="416" t="s">
        <v>406</v>
      </c>
      <c r="C14" s="415" t="s">
        <v>407</v>
      </c>
      <c r="D14" s="415" t="s">
        <v>408</v>
      </c>
      <c r="E14" s="415" t="s">
        <v>409</v>
      </c>
      <c r="F14" s="414"/>
      <c r="G14" s="413" t="s">
        <v>377</v>
      </c>
      <c r="H14" s="413" t="s">
        <v>377</v>
      </c>
      <c r="I14" s="413">
        <v>1676.0562</v>
      </c>
      <c r="K14" s="412"/>
      <c r="L14" s="412"/>
    </row>
    <row r="15" spans="1:39" ht="14.4" x14ac:dyDescent="0.3">
      <c r="B15" s="416" t="s">
        <v>410</v>
      </c>
      <c r="C15" s="415" t="s">
        <v>411</v>
      </c>
      <c r="D15" s="415" t="s">
        <v>404</v>
      </c>
      <c r="E15" s="415" t="s">
        <v>381</v>
      </c>
      <c r="F15" s="414"/>
      <c r="G15" s="413">
        <v>85.921400000000006</v>
      </c>
      <c r="H15" s="413">
        <v>46.767857822249276</v>
      </c>
      <c r="I15" s="413">
        <v>983.39710000000002</v>
      </c>
      <c r="K15" s="412">
        <v>11.7621</v>
      </c>
      <c r="L15" s="412">
        <v>21.027200000000001</v>
      </c>
    </row>
    <row r="16" spans="1:39" ht="14.4" x14ac:dyDescent="0.3">
      <c r="B16" s="416" t="s">
        <v>412</v>
      </c>
      <c r="C16" s="415" t="s">
        <v>413</v>
      </c>
      <c r="D16" s="415" t="s">
        <v>414</v>
      </c>
      <c r="E16" s="415" t="s">
        <v>415</v>
      </c>
      <c r="F16" s="414"/>
      <c r="G16" s="413">
        <v>6831.5727999999999</v>
      </c>
      <c r="H16" s="413" t="s">
        <v>377</v>
      </c>
      <c r="I16" s="413">
        <v>3726.0120000000002</v>
      </c>
      <c r="K16" s="412">
        <v>0.59019999999999995</v>
      </c>
      <c r="L16" s="412"/>
    </row>
    <row r="17" spans="1:43" ht="14.4" x14ac:dyDescent="0.3">
      <c r="B17" s="416" t="s">
        <v>416</v>
      </c>
      <c r="C17" s="415" t="s">
        <v>411</v>
      </c>
      <c r="D17" s="415" t="s">
        <v>404</v>
      </c>
      <c r="E17" s="415" t="s">
        <v>378</v>
      </c>
      <c r="F17" s="414"/>
      <c r="G17" s="413">
        <v>85.921400000000006</v>
      </c>
      <c r="H17" s="413">
        <v>47.605330816742587</v>
      </c>
      <c r="I17" s="413">
        <v>786.93039999999996</v>
      </c>
      <c r="K17" s="412">
        <v>9.2467000000000006</v>
      </c>
      <c r="L17" s="412">
        <v>16.5303</v>
      </c>
    </row>
    <row r="18" spans="1:43" ht="14.4" x14ac:dyDescent="0.3">
      <c r="B18" s="416" t="s">
        <v>417</v>
      </c>
      <c r="C18" s="415" t="s">
        <v>418</v>
      </c>
      <c r="D18" s="415" t="s">
        <v>404</v>
      </c>
      <c r="E18" s="415" t="s">
        <v>403</v>
      </c>
      <c r="F18" s="414"/>
      <c r="G18" s="413">
        <v>363.63409999999999</v>
      </c>
      <c r="H18" s="413">
        <v>52.091244501206191</v>
      </c>
      <c r="I18" s="413">
        <v>550.63049999999998</v>
      </c>
      <c r="K18" s="412">
        <v>1.5705</v>
      </c>
      <c r="L18" s="412">
        <v>10.570499999999999</v>
      </c>
    </row>
    <row r="19" spans="1:43" x14ac:dyDescent="0.25">
      <c r="K19" s="411"/>
      <c r="L19" s="411"/>
    </row>
    <row r="20" spans="1:43" ht="14.4" x14ac:dyDescent="0.3">
      <c r="B20" s="410" t="s">
        <v>302</v>
      </c>
      <c r="C20" s="409"/>
      <c r="D20" s="407"/>
      <c r="E20" s="407"/>
      <c r="F20" s="321"/>
      <c r="G20" s="408">
        <f>+IFERROR(MAX(G13:G18),"n.a.")</f>
        <v>6831.5727999999999</v>
      </c>
      <c r="H20" s="408">
        <f>+IFERROR(MAX(H13:H18),"n.a.")</f>
        <v>227.77041332735993</v>
      </c>
      <c r="I20" s="408">
        <f>+IFERROR(MAX(I13:I18),"n.a.")</f>
        <v>3726.0120000000002</v>
      </c>
      <c r="J20" s="321"/>
      <c r="K20" s="406">
        <f>+IFERROR(MAX(K13:K18),"n.a.")</f>
        <v>11.7621</v>
      </c>
      <c r="L20" s="405">
        <f>+IFERROR(MAX(L13:L18),"n.a.")</f>
        <v>21.027200000000001</v>
      </c>
    </row>
    <row r="21" spans="1:43" ht="14.4" x14ac:dyDescent="0.3">
      <c r="B21" s="397" t="s">
        <v>303</v>
      </c>
      <c r="C21" s="396"/>
      <c r="D21" s="395"/>
      <c r="E21" s="395"/>
      <c r="F21" s="301"/>
      <c r="G21" s="394">
        <f>+IFERROR(_xlfn.PERCENTILE.INC(G13:G18,0.75),"n.a.")</f>
        <v>814.43759999999997</v>
      </c>
      <c r="H21" s="394">
        <f>+IFERROR(_xlfn.PERCENTILE.INC(H13:H18,0.75),"n.a.")</f>
        <v>96.011036707744623</v>
      </c>
      <c r="I21" s="394">
        <f>+IFERROR(_xlfn.PERCENTILE.INC(I13:I18,0.75),"n.a.")</f>
        <v>2478.0699750000003</v>
      </c>
      <c r="J21" s="301"/>
      <c r="K21" s="393">
        <f>+IFERROR(_xlfn.PERCENTILE.INC(K13:K18,0.75),"n.a.")</f>
        <v>9.2467000000000006</v>
      </c>
      <c r="L21" s="392">
        <f>+IFERROR(_xlfn.PERCENTILE.INC(L13:L18,0.75),"n.a.")</f>
        <v>17.654525</v>
      </c>
    </row>
    <row r="22" spans="1:43" ht="14.4" x14ac:dyDescent="0.3">
      <c r="B22" s="404" t="s">
        <v>304</v>
      </c>
      <c r="C22" s="403"/>
      <c r="D22" s="402"/>
      <c r="E22" s="402"/>
      <c r="F22" s="312"/>
      <c r="G22" s="401">
        <f>+IFERROR(MEDIAN(G13:G18),"n.a.")</f>
        <v>363.63409999999999</v>
      </c>
      <c r="H22" s="401">
        <f>+IFERROR(MEDIAN(H13:H18),"n.a.")</f>
        <v>49.848287658974385</v>
      </c>
      <c r="I22" s="401">
        <f>+IFERROR(MEDIAN(I13:I18),"n.a.")</f>
        <v>1329.7266500000001</v>
      </c>
      <c r="J22" s="312"/>
      <c r="K22" s="400">
        <f>+IFERROR(MEDIAN(K13:K18),"n.a.")</f>
        <v>3.2713000000000001</v>
      </c>
      <c r="L22" s="399">
        <f>+IFERROR(MEDIAN(L13:L18),"n.a.")</f>
        <v>14.29185</v>
      </c>
    </row>
    <row r="23" spans="1:43" ht="14.4" x14ac:dyDescent="0.3">
      <c r="B23" s="398" t="s">
        <v>45</v>
      </c>
      <c r="C23" s="396"/>
      <c r="D23" s="395"/>
      <c r="E23" s="395"/>
      <c r="F23" s="301"/>
      <c r="G23" s="394">
        <f>+IFERROR(AVERAGE(G13:G18),"n.a.")</f>
        <v>1636.2974600000002</v>
      </c>
      <c r="H23" s="394">
        <f>+IFERROR(AVERAGE(H13:H18),"n.a.")</f>
        <v>93.558711616889497</v>
      </c>
      <c r="I23" s="394">
        <f>+IFERROR(AVERAGE(I13:I18),"n.a.")</f>
        <v>1744.7390166666664</v>
      </c>
      <c r="J23" s="301"/>
      <c r="K23" s="393">
        <f>+IFERROR(AVERAGE(K13:K18),"n.a.")</f>
        <v>5.2881599999999995</v>
      </c>
      <c r="L23" s="392">
        <f>+IFERROR(AVERAGE(L13:L18),"n.a.")</f>
        <v>15.045349999999999</v>
      </c>
    </row>
    <row r="24" spans="1:43" ht="14.4" x14ac:dyDescent="0.3">
      <c r="B24" s="397" t="s">
        <v>305</v>
      </c>
      <c r="C24" s="396"/>
      <c r="D24" s="395"/>
      <c r="E24" s="395"/>
      <c r="F24" s="301"/>
      <c r="G24" s="394">
        <f>+IFERROR(_xlfn.PERCENTILE.INC(G13:G18,0.25),"n.a.")</f>
        <v>85.921400000000006</v>
      </c>
      <c r="H24" s="394">
        <f>+IFERROR(_xlfn.PERCENTILE.INC(H13:H18,0.25),"n.a.")</f>
        <v>47.395962568119259</v>
      </c>
      <c r="I24" s="394">
        <f>+IFERROR(_xlfn.PERCENTILE.INC(I13:I18,0.25),"n.a.")</f>
        <v>836.04707499999995</v>
      </c>
      <c r="J24" s="301"/>
      <c r="K24" s="393">
        <f>+IFERROR(_xlfn.PERCENTILE.INC(K13:K18,0.25),"n.a.")</f>
        <v>1.5705</v>
      </c>
      <c r="L24" s="392">
        <f>+IFERROR(_xlfn.PERCENTILE.INC(L13:L18,0.25),"n.a.")</f>
        <v>11.682675</v>
      </c>
    </row>
    <row r="25" spans="1:43" ht="14.4" x14ac:dyDescent="0.3">
      <c r="B25" s="391" t="s">
        <v>306</v>
      </c>
      <c r="C25" s="390"/>
      <c r="D25" s="389"/>
      <c r="E25" s="389"/>
      <c r="F25" s="293"/>
      <c r="G25" s="388">
        <f>+IFERROR(MIN(G13:G18),"n.a.")</f>
        <v>85.921400000000006</v>
      </c>
      <c r="H25" s="388">
        <f>+IFERROR(MIN(H13:H18),"n.a.")</f>
        <v>46.767857822249276</v>
      </c>
      <c r="I25" s="388">
        <f>+IFERROR(MIN(I13:I18),"n.a.")</f>
        <v>550.63049999999998</v>
      </c>
      <c r="J25" s="293"/>
      <c r="K25" s="387">
        <f>+IFERROR(MIN(K13:K18),"n.a.")</f>
        <v>0.59019999999999995</v>
      </c>
      <c r="L25" s="386">
        <f>+IFERROR(MIN(L13:L18),"n.a.")</f>
        <v>10.570499999999999</v>
      </c>
    </row>
    <row r="28" spans="1:43" customFormat="1" ht="4.05" customHeight="1" x14ac:dyDescent="0.3">
      <c r="A28" s="285"/>
      <c r="B28" s="285"/>
      <c r="C28" s="285"/>
      <c r="D28" s="285"/>
      <c r="E28" s="285"/>
      <c r="F28" s="285"/>
      <c r="G28" s="285"/>
      <c r="H28" s="286"/>
      <c r="I28" s="285"/>
      <c r="J28" s="285"/>
      <c r="K28" s="285"/>
      <c r="L28" s="285"/>
      <c r="M28" s="285"/>
      <c r="N28" s="285"/>
      <c r="O28" s="285"/>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row>
    <row r="29" spans="1:43" s="135" customFormat="1" ht="14.4" x14ac:dyDescent="0.3">
      <c r="A29" s="282" t="s">
        <v>307</v>
      </c>
      <c r="B29" s="284" t="s">
        <v>307</v>
      </c>
      <c r="C29" s="282" t="s">
        <v>307</v>
      </c>
      <c r="D29" s="282"/>
      <c r="E29" s="282" t="s">
        <v>307</v>
      </c>
      <c r="F29" s="282" t="s">
        <v>307</v>
      </c>
      <c r="G29" s="282" t="s">
        <v>307</v>
      </c>
      <c r="H29" s="283" t="s">
        <v>307</v>
      </c>
      <c r="I29" s="282" t="s">
        <v>307</v>
      </c>
      <c r="J29" s="282" t="s">
        <v>307</v>
      </c>
      <c r="K29" s="282" t="s">
        <v>307</v>
      </c>
      <c r="L29" s="282" t="s">
        <v>307</v>
      </c>
      <c r="M29" s="282" t="s">
        <v>307</v>
      </c>
      <c r="N29" s="282" t="s">
        <v>307</v>
      </c>
      <c r="O29" s="282" t="s">
        <v>307</v>
      </c>
      <c r="P29" s="282" t="s">
        <v>307</v>
      </c>
      <c r="Q29" s="282" t="s">
        <v>307</v>
      </c>
      <c r="R29" s="282" t="s">
        <v>307</v>
      </c>
      <c r="S29" s="282"/>
      <c r="T29" s="282"/>
      <c r="U29" s="282" t="s">
        <v>307</v>
      </c>
      <c r="V29" s="282" t="s">
        <v>307</v>
      </c>
      <c r="W29" s="282"/>
      <c r="X29" s="282"/>
      <c r="Y29" s="282" t="s">
        <v>307</v>
      </c>
      <c r="Z29" s="282" t="s">
        <v>307</v>
      </c>
      <c r="AA29" s="282" t="s">
        <v>307</v>
      </c>
      <c r="AB29" s="282" t="s">
        <v>307</v>
      </c>
      <c r="AC29" s="282" t="s">
        <v>307</v>
      </c>
      <c r="AD29" s="282"/>
      <c r="AE29" s="282"/>
      <c r="AF29" s="282" t="s">
        <v>307</v>
      </c>
      <c r="AG29" s="282" t="s">
        <v>307</v>
      </c>
      <c r="AH29" s="282"/>
      <c r="AI29" s="282" t="s">
        <v>307</v>
      </c>
      <c r="AJ29" s="282" t="s">
        <v>307</v>
      </c>
      <c r="AK29" s="282"/>
      <c r="AL29" s="282" t="s">
        <v>307</v>
      </c>
      <c r="AM29" s="282"/>
      <c r="AN29"/>
      <c r="AO29"/>
      <c r="AP29"/>
      <c r="AQ29"/>
    </row>
  </sheetData>
  <pageMargins left="0.98425196850393704" right="0.98425196850393704" top="0.98425196850393704" bottom="0.98425196850393704" header="0.98425196850393704" footer="0.98425196850393704"/>
  <pageSetup paperSize="9" orientation="portrait" verticalDpi="0"/>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34A8-20EE-A041-B466-35B06FB283A2}">
  <dimension ref="A1:AQ36"/>
  <sheetViews>
    <sheetView showGridLines="0" tabSelected="1" zoomScale="68" zoomScaleNormal="110" workbookViewId="0">
      <selection activeCell="H35" sqref="H35"/>
    </sheetView>
  </sheetViews>
  <sheetFormatPr defaultColWidth="11.5546875" defaultRowHeight="14.4" x14ac:dyDescent="0.3"/>
  <cols>
    <col min="1" max="1" width="1.6640625" customWidth="1"/>
    <col min="2" max="2" width="24.109375" customWidth="1"/>
    <col min="3" max="4" width="20.33203125" customWidth="1"/>
    <col min="5" max="5" width="17.6640625" customWidth="1"/>
    <col min="6" max="6" width="17.109375" customWidth="1"/>
    <col min="7" max="7" width="15.6640625" customWidth="1"/>
    <col min="8" max="8" width="11.77734375" customWidth="1"/>
    <col min="9" max="9" width="13" customWidth="1"/>
  </cols>
  <sheetData>
    <row r="1" spans="1:39" s="135" customFormat="1" ht="26.4" thickBot="1" x14ac:dyDescent="0.55000000000000004">
      <c r="A1" s="384"/>
      <c r="B1" s="384" t="s">
        <v>422</v>
      </c>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pans="1:39" ht="15" thickTop="1" x14ac:dyDescent="0.3">
      <c r="B2" s="438" t="s">
        <v>423</v>
      </c>
    </row>
    <row r="3" spans="1:39" x14ac:dyDescent="0.3">
      <c r="B3" t="s">
        <v>430</v>
      </c>
      <c r="C3" s="441">
        <v>2125.1999999999998</v>
      </c>
    </row>
    <row r="4" spans="1:39" x14ac:dyDescent="0.3">
      <c r="B4" t="s">
        <v>431</v>
      </c>
      <c r="C4" s="441">
        <v>405.4</v>
      </c>
    </row>
    <row r="5" spans="1:39" x14ac:dyDescent="0.3">
      <c r="B5" t="s">
        <v>43</v>
      </c>
      <c r="C5" s="441">
        <v>350.2</v>
      </c>
    </row>
    <row r="6" spans="1:39" x14ac:dyDescent="0.3">
      <c r="B6" t="s">
        <v>432</v>
      </c>
      <c r="C6">
        <v>79.099999999999994</v>
      </c>
    </row>
    <row r="7" spans="1:39" x14ac:dyDescent="0.3">
      <c r="B7" t="s">
        <v>437</v>
      </c>
      <c r="C7">
        <v>123.2</v>
      </c>
    </row>
    <row r="8" spans="1:39" x14ac:dyDescent="0.3">
      <c r="B8" t="s">
        <v>438</v>
      </c>
      <c r="C8">
        <v>2068.5</v>
      </c>
    </row>
    <row r="9" spans="1:39" x14ac:dyDescent="0.3">
      <c r="B9" t="s">
        <v>439</v>
      </c>
      <c r="C9">
        <v>1494.8</v>
      </c>
    </row>
    <row r="11" spans="1:39" x14ac:dyDescent="0.3">
      <c r="C11" t="s">
        <v>428</v>
      </c>
      <c r="F11" t="s">
        <v>429</v>
      </c>
      <c r="H11" t="s">
        <v>426</v>
      </c>
    </row>
    <row r="12" spans="1:39" x14ac:dyDescent="0.3">
      <c r="B12" s="448" t="s">
        <v>444</v>
      </c>
      <c r="C12" s="439" t="s">
        <v>424</v>
      </c>
      <c r="D12" s="439" t="s">
        <v>425</v>
      </c>
      <c r="E12" s="439" t="s">
        <v>427</v>
      </c>
      <c r="F12" s="439" t="s">
        <v>263</v>
      </c>
      <c r="G12" s="439" t="s">
        <v>266</v>
      </c>
      <c r="H12" s="439" t="s">
        <v>440</v>
      </c>
    </row>
    <row r="13" spans="1:39" x14ac:dyDescent="0.3">
      <c r="B13" s="440" t="s">
        <v>302</v>
      </c>
      <c r="C13" s="325">
        <v>12.360480000000001</v>
      </c>
      <c r="D13" s="325">
        <v>44.899540000000002</v>
      </c>
      <c r="E13" s="325">
        <v>51.355721271790877</v>
      </c>
      <c r="F13" s="325">
        <v>11.7621</v>
      </c>
      <c r="G13" s="325">
        <v>21.027200000000001</v>
      </c>
      <c r="H13" s="325">
        <v>183.5</v>
      </c>
    </row>
    <row r="14" spans="1:39" x14ac:dyDescent="0.3">
      <c r="B14" t="s">
        <v>303</v>
      </c>
      <c r="C14" s="450">
        <v>6.3695449999999996</v>
      </c>
      <c r="D14" s="325">
        <v>21.457380000000001</v>
      </c>
      <c r="E14" s="325">
        <v>30.492347641710889</v>
      </c>
      <c r="F14" s="325">
        <v>9.2467000000000006</v>
      </c>
      <c r="G14" s="325">
        <v>17.654525</v>
      </c>
      <c r="H14" s="325">
        <v>112.2</v>
      </c>
    </row>
    <row r="15" spans="1:39" x14ac:dyDescent="0.3">
      <c r="B15" s="440" t="s">
        <v>304</v>
      </c>
      <c r="C15" s="325">
        <v>5.2147000000000006</v>
      </c>
      <c r="D15" s="325">
        <v>17.126719999999999</v>
      </c>
      <c r="E15" s="325">
        <v>22.823621629958279</v>
      </c>
      <c r="F15" s="325">
        <v>3.2713000000000001</v>
      </c>
      <c r="G15" s="325">
        <v>14.29185</v>
      </c>
      <c r="H15" s="325">
        <v>62.65</v>
      </c>
    </row>
    <row r="16" spans="1:39" x14ac:dyDescent="0.3">
      <c r="B16" s="440" t="s">
        <v>305</v>
      </c>
      <c r="C16" s="325">
        <v>3.0687625000000001</v>
      </c>
      <c r="D16" s="325">
        <v>14.29101</v>
      </c>
      <c r="E16" s="325">
        <v>20.783489496372042</v>
      </c>
      <c r="F16" s="325">
        <v>1.5705</v>
      </c>
      <c r="G16" s="325">
        <v>11.682675</v>
      </c>
      <c r="H16" s="325">
        <v>43</v>
      </c>
      <c r="O16" t="s">
        <v>441</v>
      </c>
    </row>
    <row r="17" spans="2:10" x14ac:dyDescent="0.3">
      <c r="B17" s="440" t="s">
        <v>306</v>
      </c>
      <c r="C17" s="325">
        <v>1.64079</v>
      </c>
      <c r="D17" s="325">
        <v>11.40897</v>
      </c>
      <c r="E17" s="325">
        <v>18.224845173332504</v>
      </c>
      <c r="F17" s="325">
        <v>0.59019999999999995</v>
      </c>
      <c r="G17" s="325">
        <v>10.570499999999999</v>
      </c>
      <c r="H17" s="325">
        <v>37.1</v>
      </c>
    </row>
    <row r="19" spans="2:10" x14ac:dyDescent="0.3">
      <c r="B19" s="62"/>
    </row>
    <row r="21" spans="2:10" x14ac:dyDescent="0.3">
      <c r="B21" s="448" t="s">
        <v>444</v>
      </c>
      <c r="C21" s="439" t="s">
        <v>424</v>
      </c>
      <c r="D21" s="439" t="s">
        <v>425</v>
      </c>
      <c r="E21" s="439" t="s">
        <v>427</v>
      </c>
      <c r="F21" s="439" t="s">
        <v>263</v>
      </c>
      <c r="G21" s="439" t="s">
        <v>266</v>
      </c>
      <c r="H21" s="439" t="s">
        <v>440</v>
      </c>
    </row>
    <row r="22" spans="2:10" x14ac:dyDescent="0.3">
      <c r="B22" s="440" t="s">
        <v>302</v>
      </c>
      <c r="C22" s="442">
        <f>C13*$C$3</f>
        <v>26268.492095999998</v>
      </c>
      <c r="D22" s="442">
        <f>D13*$C$4</f>
        <v>18202.273516000001</v>
      </c>
      <c r="E22" s="442">
        <f>E13*$C$5</f>
        <v>17984.773589381166</v>
      </c>
      <c r="F22" s="442">
        <f>F13*$C$3</f>
        <v>24996.814919999997</v>
      </c>
      <c r="G22" s="442">
        <f>G13*$C$4</f>
        <v>8524.4268799999991</v>
      </c>
      <c r="H22" s="442">
        <f>H13*$C$7-$C$9+$C$8</f>
        <v>23180.9</v>
      </c>
    </row>
    <row r="23" spans="2:10" x14ac:dyDescent="0.3">
      <c r="B23" s="440" t="s">
        <v>303</v>
      </c>
      <c r="C23" s="442">
        <f>C14*$C$3</f>
        <v>13536.557033999998</v>
      </c>
      <c r="D23" s="442">
        <f>D14*$C$4</f>
        <v>8698.8218519999991</v>
      </c>
      <c r="E23" s="442">
        <f>E14*$C$5</f>
        <v>10678.420144127153</v>
      </c>
      <c r="F23" s="442">
        <f>F14*$C$3</f>
        <v>19651.08684</v>
      </c>
      <c r="G23" s="442">
        <f>G14*$C$4</f>
        <v>7157.1444349999992</v>
      </c>
      <c r="H23" s="442">
        <f>H14*$C$7-$C$9+$C$8</f>
        <v>14396.740000000002</v>
      </c>
      <c r="I23" s="62" t="s">
        <v>442</v>
      </c>
      <c r="J23" s="62" t="s">
        <v>443</v>
      </c>
    </row>
    <row r="24" spans="2:10" x14ac:dyDescent="0.3">
      <c r="B24" s="440" t="s">
        <v>304</v>
      </c>
      <c r="C24" s="442">
        <f>C15*$C$3</f>
        <v>11082.28044</v>
      </c>
      <c r="D24" s="442">
        <f>D15*$C$4</f>
        <v>6943.1722879999988</v>
      </c>
      <c r="E24" s="442">
        <f>E15*$C$5</f>
        <v>7992.8322948113891</v>
      </c>
      <c r="F24" s="442">
        <f>F15*$C$3</f>
        <v>6952.1667599999992</v>
      </c>
      <c r="G24" s="442">
        <f>G15*$C$4</f>
        <v>5793.9159899999995</v>
      </c>
      <c r="H24" s="442">
        <f>H15*$C$7-$C$9+$C$8</f>
        <v>8292.18</v>
      </c>
      <c r="I24" s="442">
        <f>MEDIAN(C24:H24)</f>
        <v>7472.4995274056946</v>
      </c>
      <c r="J24" s="442">
        <f>(I24+(C9-C8))/C7</f>
        <v>55.996749410760508</v>
      </c>
    </row>
    <row r="25" spans="2:10" x14ac:dyDescent="0.3">
      <c r="B25" s="440" t="s">
        <v>305</v>
      </c>
      <c r="C25" s="442">
        <f>C16*$C$3</f>
        <v>6521.7340649999996</v>
      </c>
      <c r="D25" s="442">
        <f>D16*$C$4</f>
        <v>5793.5754539999998</v>
      </c>
      <c r="E25" s="442">
        <f>E16*$C$5</f>
        <v>7278.378021629489</v>
      </c>
      <c r="F25" s="442">
        <f>F16*$C$3</f>
        <v>3337.6265999999996</v>
      </c>
      <c r="G25" s="442">
        <f>G16*$C$4</f>
        <v>4736.1564449999996</v>
      </c>
      <c r="H25" s="442">
        <f>H16*$C$7-$C$9+$C$8</f>
        <v>5871.3</v>
      </c>
    </row>
    <row r="26" spans="2:10" x14ac:dyDescent="0.3">
      <c r="B26" s="440" t="s">
        <v>306</v>
      </c>
      <c r="C26" s="442">
        <f>C17*$C$3</f>
        <v>3487.0069079999998</v>
      </c>
      <c r="D26" s="442">
        <f>D17*$C$4</f>
        <v>4625.1964379999999</v>
      </c>
      <c r="E26" s="442">
        <f>E17*$C$5</f>
        <v>6382.3407797010432</v>
      </c>
      <c r="F26" s="442">
        <f>F17*$C$3</f>
        <v>1254.2930399999998</v>
      </c>
      <c r="G26" s="442">
        <f>G17*$C$4</f>
        <v>4285.2806999999993</v>
      </c>
      <c r="H26" s="442">
        <f>H17*$C$7-$C$9+$C$8</f>
        <v>5144.42</v>
      </c>
    </row>
    <row r="28" spans="2:10" x14ac:dyDescent="0.3">
      <c r="C28" t="s">
        <v>428</v>
      </c>
      <c r="F28" t="s">
        <v>429</v>
      </c>
    </row>
    <row r="29" spans="2:10" x14ac:dyDescent="0.3">
      <c r="B29" s="448" t="s">
        <v>444</v>
      </c>
      <c r="C29" s="439" t="s">
        <v>424</v>
      </c>
      <c r="D29" s="439" t="s">
        <v>425</v>
      </c>
      <c r="E29" s="439" t="s">
        <v>427</v>
      </c>
      <c r="F29" s="439" t="s">
        <v>263</v>
      </c>
      <c r="G29" s="439" t="s">
        <v>266</v>
      </c>
      <c r="H29" s="439" t="s">
        <v>440</v>
      </c>
    </row>
    <row r="30" spans="2:10" x14ac:dyDescent="0.3">
      <c r="B30" s="449" t="s">
        <v>433</v>
      </c>
      <c r="C30" s="442">
        <f t="shared" ref="C30:H30" si="0">C25-C26</f>
        <v>3034.7271569999998</v>
      </c>
      <c r="D30" s="442">
        <f t="shared" si="0"/>
        <v>1168.3790159999999</v>
      </c>
      <c r="E30" s="442">
        <f t="shared" si="0"/>
        <v>896.03724192844584</v>
      </c>
      <c r="F30" s="442">
        <f t="shared" si="0"/>
        <v>2083.33356</v>
      </c>
      <c r="G30" s="442">
        <f t="shared" si="0"/>
        <v>450.87574500000028</v>
      </c>
      <c r="H30" s="442">
        <f t="shared" si="0"/>
        <v>726.88000000000011</v>
      </c>
    </row>
    <row r="31" spans="2:10" x14ac:dyDescent="0.3">
      <c r="B31" s="440" t="s">
        <v>434</v>
      </c>
      <c r="C31" s="442">
        <f t="shared" ref="C31:H31" si="1">C24-C25</f>
        <v>4560.5463750000008</v>
      </c>
      <c r="D31" s="442">
        <f t="shared" si="1"/>
        <v>1149.596833999999</v>
      </c>
      <c r="E31" s="442">
        <f t="shared" si="1"/>
        <v>714.45427318190013</v>
      </c>
      <c r="F31" s="442">
        <f t="shared" si="1"/>
        <v>3614.5401599999996</v>
      </c>
      <c r="G31" s="442">
        <f t="shared" si="1"/>
        <v>1057.7595449999999</v>
      </c>
      <c r="H31" s="442">
        <f t="shared" si="1"/>
        <v>2420.88</v>
      </c>
    </row>
    <row r="32" spans="2:10" x14ac:dyDescent="0.3">
      <c r="B32" s="440" t="s">
        <v>435</v>
      </c>
      <c r="C32" s="442">
        <f t="shared" ref="C32:H32" si="2">C23-C24</f>
        <v>2454.2765939999972</v>
      </c>
      <c r="D32" s="442">
        <f t="shared" si="2"/>
        <v>1755.6495640000003</v>
      </c>
      <c r="E32" s="442">
        <f t="shared" si="2"/>
        <v>2685.5878493157634</v>
      </c>
      <c r="F32" s="442">
        <f t="shared" si="2"/>
        <v>12698.92008</v>
      </c>
      <c r="G32" s="442">
        <f t="shared" si="2"/>
        <v>1363.2284449999997</v>
      </c>
      <c r="H32" s="442">
        <f t="shared" si="2"/>
        <v>6104.5600000000013</v>
      </c>
    </row>
    <row r="33" spans="1:43" x14ac:dyDescent="0.3">
      <c r="B33" s="440" t="s">
        <v>436</v>
      </c>
      <c r="C33" s="442">
        <f t="shared" ref="C33:H33" si="3">C22-C23</f>
        <v>12731.935062</v>
      </c>
      <c r="D33" s="442">
        <f t="shared" si="3"/>
        <v>9503.451664000002</v>
      </c>
      <c r="E33" s="442">
        <f t="shared" si="3"/>
        <v>7306.3534452540134</v>
      </c>
      <c r="F33" s="442">
        <f t="shared" si="3"/>
        <v>5345.7280799999971</v>
      </c>
      <c r="G33" s="442">
        <f t="shared" si="3"/>
        <v>1367.2824449999998</v>
      </c>
      <c r="H33" s="442">
        <f t="shared" si="3"/>
        <v>8784.16</v>
      </c>
    </row>
    <row r="35" spans="1:43" ht="4.05" customHeight="1" x14ac:dyDescent="0.3">
      <c r="A35" s="285"/>
      <c r="B35" s="285"/>
      <c r="C35" s="285"/>
      <c r="D35" s="285"/>
      <c r="E35" s="285"/>
      <c r="F35" s="285"/>
      <c r="G35" s="285"/>
      <c r="H35" s="286"/>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row>
    <row r="36" spans="1:43" s="135" customFormat="1" x14ac:dyDescent="0.3">
      <c r="A36" s="282" t="s">
        <v>307</v>
      </c>
      <c r="B36" s="284" t="s">
        <v>307</v>
      </c>
      <c r="C36" s="282" t="s">
        <v>307</v>
      </c>
      <c r="D36" s="282"/>
      <c r="E36" s="282" t="s">
        <v>307</v>
      </c>
      <c r="F36" s="282" t="s">
        <v>307</v>
      </c>
      <c r="G36" s="282" t="s">
        <v>307</v>
      </c>
      <c r="H36" s="283" t="s">
        <v>307</v>
      </c>
      <c r="I36" s="282" t="s">
        <v>307</v>
      </c>
      <c r="J36" s="282" t="s">
        <v>307</v>
      </c>
      <c r="K36" s="282" t="s">
        <v>307</v>
      </c>
      <c r="L36" s="282" t="s">
        <v>307</v>
      </c>
      <c r="M36" s="282" t="s">
        <v>307</v>
      </c>
      <c r="N36" s="282" t="s">
        <v>307</v>
      </c>
      <c r="O36" s="282" t="s">
        <v>307</v>
      </c>
      <c r="P36" s="282" t="s">
        <v>307</v>
      </c>
      <c r="Q36" s="282" t="s">
        <v>307</v>
      </c>
      <c r="R36" s="282" t="s">
        <v>307</v>
      </c>
      <c r="S36" s="282"/>
      <c r="T36" s="282"/>
      <c r="U36" s="282" t="s">
        <v>307</v>
      </c>
      <c r="V36" s="282" t="s">
        <v>307</v>
      </c>
      <c r="W36" s="282"/>
      <c r="X36" s="282"/>
      <c r="Y36" s="282" t="s">
        <v>307</v>
      </c>
      <c r="Z36" s="282" t="s">
        <v>307</v>
      </c>
      <c r="AA36" s="282" t="s">
        <v>307</v>
      </c>
      <c r="AB36" s="282" t="s">
        <v>307</v>
      </c>
      <c r="AC36" s="282" t="s">
        <v>307</v>
      </c>
      <c r="AD36" s="282"/>
      <c r="AE36" s="282"/>
      <c r="AF36" s="282" t="s">
        <v>307</v>
      </c>
      <c r="AG36" s="282" t="s">
        <v>307</v>
      </c>
      <c r="AH36" s="282"/>
      <c r="AI36" s="282" t="s">
        <v>307</v>
      </c>
      <c r="AJ36" s="282" t="s">
        <v>307</v>
      </c>
      <c r="AK36" s="282"/>
      <c r="AL36" s="282" t="s">
        <v>307</v>
      </c>
      <c r="AM36" s="282"/>
      <c r="AN36"/>
      <c r="AO36"/>
      <c r="AP36"/>
      <c r="AQ36"/>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069EC84DFA49048B847FB59D5DAC002" ma:contentTypeVersion="8" ma:contentTypeDescription="Ein neues Dokument erstellen." ma:contentTypeScope="" ma:versionID="5c19dd0179453f093106e3044ca13861">
  <xsd:schema xmlns:xsd="http://www.w3.org/2001/XMLSchema" xmlns:xs="http://www.w3.org/2001/XMLSchema" xmlns:p="http://schemas.microsoft.com/office/2006/metadata/properties" xmlns:ns2="36391ab9-5988-406b-856f-37eb1eb1730c" xmlns:ns3="d16526fb-e93a-4193-8962-7cf1c2aa7130" targetNamespace="http://schemas.microsoft.com/office/2006/metadata/properties" ma:root="true" ma:fieldsID="7d6f9cb0e65cb070ff620088ea84fec6" ns2:_="" ns3:_="">
    <xsd:import namespace="36391ab9-5988-406b-856f-37eb1eb1730c"/>
    <xsd:import namespace="d16526fb-e93a-4193-8962-7cf1c2aa71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91ab9-5988-406b-856f-37eb1eb173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526fb-e93a-4193-8962-7cf1c2aa7130"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7B139A-54C5-4313-A68E-80FAB415E3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91ab9-5988-406b-856f-37eb1eb1730c"/>
    <ds:schemaRef ds:uri="d16526fb-e93a-4193-8962-7cf1c2aa71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111CA4-B4CE-4FBD-913B-BB796FF816B7}">
  <ds:schemaRefs>
    <ds:schemaRef ds:uri="http://schemas.microsoft.com/sharepoint/v3/contenttype/forms"/>
  </ds:schemaRefs>
</ds:datastoreItem>
</file>

<file path=customXml/itemProps3.xml><?xml version="1.0" encoding="utf-8"?>
<ds:datastoreItem xmlns:ds="http://schemas.openxmlformats.org/officeDocument/2006/customXml" ds:itemID="{05F61F24-D1EE-4002-AF8F-2060E23B8081}">
  <ds:schemaRefs>
    <ds:schemaRef ds:uri="http://purl.org/dc/terms/"/>
    <ds:schemaRef ds:uri="36391ab9-5988-406b-856f-37eb1eb1730c"/>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d16526fb-e93a-4193-8962-7cf1c2aa713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8</vt:i4>
      </vt:variant>
      <vt:variant>
        <vt:lpstr>Intervalos Nomeados</vt:lpstr>
      </vt:variant>
      <vt:variant>
        <vt:i4>7</vt:i4>
      </vt:variant>
    </vt:vector>
  </HeadingPairs>
  <TitlesOfParts>
    <vt:vector size="15" baseType="lpstr">
      <vt:lpstr>DCF &amp; Sensitivity Model</vt:lpstr>
      <vt:lpstr>Synergy</vt:lpstr>
      <vt:lpstr>DCF for ppt</vt:lpstr>
      <vt:lpstr>WACC</vt:lpstr>
      <vt:lpstr>Additional Assumptions</vt:lpstr>
      <vt:lpstr>CCA</vt:lpstr>
      <vt:lpstr>CTA</vt:lpstr>
      <vt:lpstr>Football Field</vt:lpstr>
      <vt:lpstr>CCA!Company</vt:lpstr>
      <vt:lpstr>CCA!Conversion_Rate</vt:lpstr>
      <vt:lpstr>CCA!Currency</vt:lpstr>
      <vt:lpstr>CCA!Date</vt:lpstr>
      <vt:lpstr>CCA!Max_Comps</vt:lpstr>
      <vt:lpstr>CCA!Min_Comps</vt:lpstr>
      <vt:lpstr>CCA!Period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CFI</dc:creator>
  <cp:keywords/>
  <dc:description/>
  <cp:lastModifiedBy>Patrick Almeida</cp:lastModifiedBy>
  <cp:revision/>
  <dcterms:created xsi:type="dcterms:W3CDTF">2014-11-08T22:00:02Z</dcterms:created>
  <dcterms:modified xsi:type="dcterms:W3CDTF">2023-04-05T23:58:40Z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0x010100A069EC84DFA49048B847FB59D5DAC002</vt:lpwstr>
  </property>
</Properties>
</file>