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rown/Dropbox/MITEI/Projects/SolarDemandCurve/io/capacityexpansion-linear/"/>
    </mc:Choice>
  </mc:AlternateContent>
  <xr:revisionPtr revIDLastSave="0" documentId="13_ncr:1_{26E14A7A-4CCD-DD4E-8F13-4D0DFEC6F321}" xr6:coauthVersionLast="36" xr6:coauthVersionMax="36" xr10:uidLastSave="{00000000-0000-0000-0000-000000000000}"/>
  <bookViews>
    <workbookView xWindow="25600" yWindow="14620" windowWidth="25600" windowHeight="14180" firstSheet="6" activeTab="8" xr2:uid="{00000000-000D-0000-FFFF-FFFF00000000}"/>
  </bookViews>
  <sheets>
    <sheet name="Generators_rawUSD" sheetId="9" r:id="rId1"/>
    <sheet name="Generators" sheetId="1" r:id="rId2"/>
    <sheet name="Transmission_raw" sheetId="17" r:id="rId3"/>
    <sheet name="Transmission" sheetId="18" r:id="rId4"/>
    <sheet name="Hydro_rawUSD" sheetId="15" r:id="rId5"/>
    <sheet name="Hydro" sheetId="16" r:id="rId6"/>
    <sheet name="Storage_scaler" sheetId="14" r:id="rId7"/>
    <sheet name="Storage_variable_rawUSD" sheetId="11" r:id="rId8"/>
    <sheet name="Storage_variable" sheetId="8" r:id="rId9"/>
    <sheet name="Fuels_rawUSD" sheetId="12" r:id="rId10"/>
    <sheet name="Fuels" sheetId="2" r:id="rId11"/>
    <sheet name="Financials" sheetId="7" r:id="rId12"/>
    <sheet name="Storage_rawUSD" sheetId="10" r:id="rId13"/>
    <sheet name="Storage" sheetId="6" r:id="rId14"/>
    <sheet name="Storage_variable_rawUSD(old)" sheetId="13" r:id="rId15"/>
  </sheets>
  <definedNames>
    <definedName name="dollaryear">Financials!$B$4</definedName>
    <definedName name="inflator_2010">Financials!$E$4</definedName>
    <definedName name="inflator_2013">Financials!$E$7</definedName>
    <definedName name="inflator_2015">Financials!$E$9</definedName>
    <definedName name="inflator_2016">Financials!$E$10</definedName>
    <definedName name="inflator_2017">Financials!$E$11</definedName>
    <definedName name="inflator_2018">Financials!$E$12</definedName>
    <definedName name="wacc">Financials!$A$4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21" i="8" l="1"/>
  <c r="S21" i="8"/>
  <c r="R21" i="8"/>
  <c r="Q21" i="8"/>
  <c r="P21" i="8"/>
  <c r="O21" i="8"/>
  <c r="N21" i="8"/>
  <c r="M21" i="8"/>
  <c r="L21" i="8"/>
  <c r="K21" i="8"/>
  <c r="J21" i="8"/>
  <c r="I21" i="8"/>
  <c r="E21" i="8"/>
  <c r="F21" i="8" s="1"/>
  <c r="D21" i="8"/>
  <c r="C21" i="8"/>
  <c r="B21" i="8"/>
  <c r="G21" i="8" s="1"/>
  <c r="A21" i="8"/>
  <c r="Q21" i="11"/>
  <c r="P21" i="11"/>
  <c r="H21" i="11"/>
  <c r="G21" i="11"/>
  <c r="F21" i="11"/>
  <c r="H21" i="8" l="1"/>
  <c r="K8" i="18"/>
  <c r="K7" i="18"/>
  <c r="K6" i="18"/>
  <c r="K5" i="18"/>
  <c r="K4" i="18"/>
  <c r="K2" i="18"/>
  <c r="K3" i="18"/>
  <c r="K1" i="18"/>
  <c r="T2" i="6" l="1"/>
  <c r="T3" i="6"/>
  <c r="T4" i="6"/>
  <c r="T5" i="6"/>
  <c r="T6" i="6"/>
  <c r="T7" i="6"/>
  <c r="T8" i="6"/>
  <c r="T9" i="6"/>
  <c r="T10" i="6"/>
  <c r="T11" i="6"/>
  <c r="T12" i="6"/>
  <c r="T13" i="6"/>
  <c r="T1" i="6"/>
  <c r="U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1" i="8"/>
  <c r="P2" i="16"/>
  <c r="P3" i="16"/>
  <c r="P4" i="16"/>
  <c r="P5" i="16"/>
  <c r="P1" i="16"/>
  <c r="N2" i="18"/>
  <c r="N3" i="18"/>
  <c r="N4" i="18"/>
  <c r="N5" i="18"/>
  <c r="N6" i="18"/>
  <c r="N7" i="18"/>
  <c r="N8" i="18"/>
  <c r="N1" i="18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A20" i="8" l="1"/>
  <c r="B20" i="8"/>
  <c r="C20" i="8"/>
  <c r="D20" i="8"/>
  <c r="E20" i="8"/>
  <c r="F20" i="8" s="1"/>
  <c r="H20" i="8" s="1"/>
  <c r="I20" i="8"/>
  <c r="J20" i="8"/>
  <c r="K20" i="8"/>
  <c r="L20" i="8"/>
  <c r="M20" i="8"/>
  <c r="N20" i="8"/>
  <c r="O20" i="8"/>
  <c r="P20" i="8"/>
  <c r="Q20" i="8"/>
  <c r="R20" i="8"/>
  <c r="S20" i="8"/>
  <c r="B20" i="11"/>
  <c r="G20" i="11" s="1"/>
  <c r="Q20" i="11"/>
  <c r="P20" i="11"/>
  <c r="F20" i="11"/>
  <c r="H20" i="11" s="1"/>
  <c r="B19" i="11"/>
  <c r="B19" i="8" s="1"/>
  <c r="A19" i="8"/>
  <c r="C19" i="8"/>
  <c r="D19" i="8"/>
  <c r="E19" i="8"/>
  <c r="F19" i="8" s="1"/>
  <c r="H19" i="8" s="1"/>
  <c r="I19" i="8"/>
  <c r="J19" i="8"/>
  <c r="K19" i="8"/>
  <c r="L19" i="8"/>
  <c r="M19" i="8"/>
  <c r="N19" i="8"/>
  <c r="O19" i="8"/>
  <c r="P19" i="8"/>
  <c r="Q19" i="8"/>
  <c r="R19" i="8"/>
  <c r="S19" i="8"/>
  <c r="Q19" i="11"/>
  <c r="P19" i="11"/>
  <c r="F19" i="11"/>
  <c r="H19" i="11" s="1"/>
  <c r="G20" i="8" l="1"/>
  <c r="G19" i="11"/>
  <c r="G19" i="8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A65" i="1"/>
  <c r="B65" i="1"/>
  <c r="F65" i="1" s="1"/>
  <c r="C65" i="1"/>
  <c r="D65" i="1"/>
  <c r="E65" i="1"/>
  <c r="G65" i="1"/>
  <c r="H65" i="1"/>
  <c r="I65" i="1"/>
  <c r="J65" i="1"/>
  <c r="K65" i="1"/>
  <c r="L65" i="1"/>
  <c r="M65" i="1"/>
  <c r="N65" i="1"/>
  <c r="A66" i="1"/>
  <c r="B66" i="1"/>
  <c r="C66" i="1"/>
  <c r="D66" i="1"/>
  <c r="E66" i="1" s="1"/>
  <c r="G66" i="1"/>
  <c r="H66" i="1"/>
  <c r="I66" i="1"/>
  <c r="J66" i="1"/>
  <c r="K66" i="1"/>
  <c r="L66" i="1"/>
  <c r="M66" i="1"/>
  <c r="N66" i="1"/>
  <c r="E66" i="9"/>
  <c r="F66" i="9" s="1"/>
  <c r="E65" i="9"/>
  <c r="F65" i="9" s="1"/>
  <c r="F66" i="1" l="1"/>
  <c r="B62" i="9" l="1"/>
  <c r="E64" i="9" l="1"/>
  <c r="F64" i="9" s="1"/>
  <c r="A18" i="8"/>
  <c r="B18" i="8"/>
  <c r="C18" i="8"/>
  <c r="D18" i="8"/>
  <c r="E18" i="8"/>
  <c r="I18" i="8"/>
  <c r="J18" i="8"/>
  <c r="K18" i="8"/>
  <c r="L18" i="8"/>
  <c r="M18" i="8"/>
  <c r="N18" i="8"/>
  <c r="O18" i="8"/>
  <c r="P18" i="8"/>
  <c r="Q18" i="8"/>
  <c r="R18" i="8"/>
  <c r="S18" i="8"/>
  <c r="C18" i="11"/>
  <c r="B18" i="11"/>
  <c r="Q18" i="11"/>
  <c r="P18" i="11"/>
  <c r="F18" i="11"/>
  <c r="G18" i="11" s="1"/>
  <c r="J18" i="11"/>
  <c r="I18" i="11"/>
  <c r="A62" i="1"/>
  <c r="B62" i="1"/>
  <c r="C62" i="1"/>
  <c r="D62" i="1"/>
  <c r="E62" i="1" s="1"/>
  <c r="G62" i="1"/>
  <c r="H62" i="1"/>
  <c r="I62" i="1"/>
  <c r="J62" i="1"/>
  <c r="K62" i="1"/>
  <c r="L62" i="1"/>
  <c r="M62" i="1"/>
  <c r="N62" i="1"/>
  <c r="A63" i="1"/>
  <c r="B63" i="1"/>
  <c r="C63" i="1"/>
  <c r="D63" i="1"/>
  <c r="E63" i="1" s="1"/>
  <c r="F63" i="1" s="1"/>
  <c r="G63" i="1"/>
  <c r="H63" i="1"/>
  <c r="I63" i="1"/>
  <c r="J63" i="1"/>
  <c r="K63" i="1"/>
  <c r="L63" i="1"/>
  <c r="M63" i="1"/>
  <c r="N63" i="1"/>
  <c r="E63" i="9"/>
  <c r="F63" i="9" s="1"/>
  <c r="G62" i="9"/>
  <c r="E62" i="9"/>
  <c r="F62" i="9" s="1"/>
  <c r="F18" i="8" l="1"/>
  <c r="H18" i="8" s="1"/>
  <c r="F62" i="1"/>
  <c r="H18" i="11"/>
  <c r="G18" i="8" l="1"/>
  <c r="F13" i="6"/>
  <c r="F12" i="6"/>
  <c r="F11" i="6"/>
  <c r="F10" i="6"/>
  <c r="F9" i="6"/>
  <c r="F8" i="6"/>
  <c r="F7" i="6"/>
  <c r="G7" i="6" s="1"/>
  <c r="F6" i="6"/>
  <c r="G6" i="6" s="1"/>
  <c r="F5" i="6"/>
  <c r="F4" i="6"/>
  <c r="G4" i="6" s="1"/>
  <c r="G13" i="6"/>
  <c r="G12" i="6"/>
  <c r="G11" i="6"/>
  <c r="G10" i="6"/>
  <c r="G9" i="6"/>
  <c r="G8" i="6"/>
  <c r="G5" i="6"/>
  <c r="G13" i="10"/>
  <c r="G12" i="10"/>
  <c r="G11" i="10"/>
  <c r="G10" i="10"/>
  <c r="G9" i="10"/>
  <c r="G8" i="10"/>
  <c r="G7" i="10"/>
  <c r="G6" i="10"/>
  <c r="G5" i="10"/>
  <c r="G4" i="10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4" i="8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D5" i="16"/>
  <c r="D4" i="16"/>
  <c r="E4" i="16"/>
  <c r="E5" i="15"/>
  <c r="E4" i="15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4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4" i="9"/>
  <c r="G38" i="9" l="1"/>
  <c r="G37" i="9"/>
  <c r="G36" i="9"/>
  <c r="G35" i="9"/>
  <c r="G34" i="9"/>
  <c r="G33" i="9"/>
  <c r="G32" i="9"/>
  <c r="G31" i="9"/>
  <c r="G30" i="9"/>
  <c r="G29" i="9"/>
  <c r="G28" i="9"/>
  <c r="S17" i="8" l="1"/>
  <c r="R17" i="8"/>
  <c r="Q17" i="8"/>
  <c r="P17" i="8"/>
  <c r="O17" i="8"/>
  <c r="N17" i="8"/>
  <c r="M17" i="8"/>
  <c r="L17" i="8"/>
  <c r="K17" i="8"/>
  <c r="J17" i="8"/>
  <c r="I17" i="8"/>
  <c r="D17" i="8"/>
  <c r="C17" i="8"/>
  <c r="B17" i="8"/>
  <c r="A17" i="8"/>
  <c r="Q17" i="11"/>
  <c r="P17" i="11"/>
  <c r="H17" i="11"/>
  <c r="G17" i="11"/>
  <c r="C17" i="11"/>
  <c r="B17" i="11"/>
  <c r="F17" i="8" l="1"/>
  <c r="G17" i="8" s="1"/>
  <c r="N61" i="1"/>
  <c r="M61" i="1"/>
  <c r="L61" i="1"/>
  <c r="K61" i="1"/>
  <c r="J61" i="1"/>
  <c r="I61" i="1"/>
  <c r="H61" i="1"/>
  <c r="G61" i="1"/>
  <c r="C61" i="1"/>
  <c r="B61" i="1"/>
  <c r="A61" i="1"/>
  <c r="F61" i="9"/>
  <c r="H17" i="8" l="1"/>
  <c r="F61" i="1"/>
  <c r="N60" i="1"/>
  <c r="M60" i="1"/>
  <c r="L60" i="1"/>
  <c r="K60" i="1"/>
  <c r="J60" i="1"/>
  <c r="I60" i="1"/>
  <c r="H60" i="1"/>
  <c r="G60" i="1"/>
  <c r="C60" i="1"/>
  <c r="B60" i="1"/>
  <c r="A60" i="1"/>
  <c r="F60" i="9"/>
  <c r="F60" i="1" l="1"/>
  <c r="G59" i="1"/>
  <c r="B59" i="1"/>
  <c r="B58" i="1"/>
  <c r="A58" i="1"/>
  <c r="C58" i="1"/>
  <c r="G58" i="1"/>
  <c r="H58" i="1"/>
  <c r="I58" i="1"/>
  <c r="J58" i="1"/>
  <c r="K58" i="1"/>
  <c r="L58" i="1"/>
  <c r="M58" i="1"/>
  <c r="N58" i="1"/>
  <c r="A59" i="1"/>
  <c r="C59" i="1"/>
  <c r="H59" i="1"/>
  <c r="I59" i="1"/>
  <c r="J59" i="1"/>
  <c r="K59" i="1"/>
  <c r="L59" i="1"/>
  <c r="M59" i="1"/>
  <c r="N59" i="1"/>
  <c r="F59" i="9"/>
  <c r="F58" i="9"/>
  <c r="F58" i="1" l="1"/>
  <c r="F59" i="1"/>
  <c r="G57" i="1"/>
  <c r="B57" i="1"/>
  <c r="G26" i="1"/>
  <c r="B26" i="1"/>
  <c r="B25" i="1"/>
  <c r="A26" i="1"/>
  <c r="C26" i="1"/>
  <c r="H26" i="1"/>
  <c r="I26" i="1"/>
  <c r="J26" i="1"/>
  <c r="K26" i="1"/>
  <c r="L26" i="1"/>
  <c r="M26" i="1"/>
  <c r="N26" i="1"/>
  <c r="B26" i="9"/>
  <c r="F26" i="9"/>
  <c r="B32" i="9"/>
  <c r="B31" i="9"/>
  <c r="F26" i="1" l="1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4" i="2"/>
  <c r="B4" i="2"/>
  <c r="G25" i="1" l="1"/>
  <c r="A30" i="1"/>
  <c r="C30" i="1"/>
  <c r="G30" i="1"/>
  <c r="H30" i="1"/>
  <c r="I30" i="1"/>
  <c r="J30" i="1"/>
  <c r="K30" i="1"/>
  <c r="L30" i="1"/>
  <c r="M30" i="1"/>
  <c r="N30" i="1"/>
  <c r="A31" i="1"/>
  <c r="C31" i="1"/>
  <c r="H31" i="1"/>
  <c r="I31" i="1"/>
  <c r="J31" i="1"/>
  <c r="K31" i="1"/>
  <c r="L31" i="1"/>
  <c r="M31" i="1"/>
  <c r="N31" i="1"/>
  <c r="A32" i="1"/>
  <c r="C32" i="1"/>
  <c r="H32" i="1"/>
  <c r="I32" i="1"/>
  <c r="J32" i="1"/>
  <c r="K32" i="1"/>
  <c r="L32" i="1"/>
  <c r="M32" i="1"/>
  <c r="N32" i="1"/>
  <c r="A33" i="1"/>
  <c r="C33" i="1"/>
  <c r="G33" i="1"/>
  <c r="H33" i="1"/>
  <c r="I33" i="1"/>
  <c r="J33" i="1"/>
  <c r="K33" i="1"/>
  <c r="L33" i="1"/>
  <c r="M33" i="1"/>
  <c r="N33" i="1"/>
  <c r="A34" i="1"/>
  <c r="C34" i="1"/>
  <c r="G34" i="1"/>
  <c r="H34" i="1"/>
  <c r="I34" i="1"/>
  <c r="J34" i="1"/>
  <c r="K34" i="1"/>
  <c r="L34" i="1"/>
  <c r="M34" i="1"/>
  <c r="N34" i="1"/>
  <c r="A35" i="1"/>
  <c r="C35" i="1"/>
  <c r="G35" i="1"/>
  <c r="H35" i="1"/>
  <c r="I35" i="1"/>
  <c r="J35" i="1"/>
  <c r="K35" i="1"/>
  <c r="L35" i="1"/>
  <c r="M35" i="1"/>
  <c r="N35" i="1"/>
  <c r="A36" i="1"/>
  <c r="C36" i="1"/>
  <c r="G36" i="1"/>
  <c r="H36" i="1"/>
  <c r="I36" i="1"/>
  <c r="J36" i="1"/>
  <c r="K36" i="1"/>
  <c r="L36" i="1"/>
  <c r="M36" i="1"/>
  <c r="N36" i="1"/>
  <c r="A37" i="1"/>
  <c r="C37" i="1"/>
  <c r="G37" i="1"/>
  <c r="H37" i="1"/>
  <c r="I37" i="1"/>
  <c r="J37" i="1"/>
  <c r="K37" i="1"/>
  <c r="L37" i="1"/>
  <c r="M37" i="1"/>
  <c r="N37" i="1"/>
  <c r="A38" i="1"/>
  <c r="C38" i="1"/>
  <c r="G38" i="1"/>
  <c r="H38" i="1"/>
  <c r="I38" i="1"/>
  <c r="J38" i="1"/>
  <c r="K38" i="1"/>
  <c r="L38" i="1"/>
  <c r="M38" i="1"/>
  <c r="N38" i="1"/>
  <c r="A39" i="1"/>
  <c r="B39" i="1"/>
  <c r="C39" i="1"/>
  <c r="G39" i="1"/>
  <c r="H39" i="1"/>
  <c r="I39" i="1"/>
  <c r="J39" i="1"/>
  <c r="K39" i="1"/>
  <c r="L39" i="1"/>
  <c r="M39" i="1"/>
  <c r="N39" i="1"/>
  <c r="A40" i="1"/>
  <c r="B40" i="1"/>
  <c r="C40" i="1"/>
  <c r="G40" i="1"/>
  <c r="H40" i="1"/>
  <c r="I40" i="1"/>
  <c r="J40" i="1"/>
  <c r="K40" i="1"/>
  <c r="L40" i="1"/>
  <c r="M40" i="1"/>
  <c r="N40" i="1"/>
  <c r="A41" i="1"/>
  <c r="C41" i="1"/>
  <c r="H41" i="1"/>
  <c r="I41" i="1"/>
  <c r="J41" i="1"/>
  <c r="K41" i="1"/>
  <c r="L41" i="1"/>
  <c r="M41" i="1"/>
  <c r="N41" i="1"/>
  <c r="A42" i="1"/>
  <c r="C42" i="1"/>
  <c r="H42" i="1"/>
  <c r="I42" i="1"/>
  <c r="J42" i="1"/>
  <c r="K42" i="1"/>
  <c r="L42" i="1"/>
  <c r="M42" i="1"/>
  <c r="N42" i="1"/>
  <c r="A43" i="1"/>
  <c r="B43" i="1"/>
  <c r="C43" i="1"/>
  <c r="G43" i="1"/>
  <c r="H43" i="1"/>
  <c r="I43" i="1"/>
  <c r="J43" i="1"/>
  <c r="K43" i="1"/>
  <c r="L43" i="1"/>
  <c r="M43" i="1"/>
  <c r="N43" i="1"/>
  <c r="A44" i="1"/>
  <c r="B44" i="1"/>
  <c r="C44" i="1"/>
  <c r="G44" i="1"/>
  <c r="H44" i="1"/>
  <c r="I44" i="1"/>
  <c r="J44" i="1"/>
  <c r="K44" i="1"/>
  <c r="L44" i="1"/>
  <c r="M44" i="1"/>
  <c r="N44" i="1"/>
  <c r="A45" i="1"/>
  <c r="B45" i="1"/>
  <c r="C45" i="1"/>
  <c r="F45" i="1" s="1"/>
  <c r="G45" i="1"/>
  <c r="H45" i="1"/>
  <c r="I45" i="1"/>
  <c r="J45" i="1"/>
  <c r="K45" i="1"/>
  <c r="L45" i="1"/>
  <c r="M45" i="1"/>
  <c r="N45" i="1"/>
  <c r="A46" i="1"/>
  <c r="B46" i="1"/>
  <c r="C46" i="1"/>
  <c r="G46" i="1"/>
  <c r="H46" i="1"/>
  <c r="I46" i="1"/>
  <c r="J46" i="1"/>
  <c r="K46" i="1"/>
  <c r="L46" i="1"/>
  <c r="M46" i="1"/>
  <c r="N46" i="1"/>
  <c r="A47" i="1"/>
  <c r="B47" i="1"/>
  <c r="C47" i="1"/>
  <c r="G47" i="1"/>
  <c r="H47" i="1"/>
  <c r="I47" i="1"/>
  <c r="J47" i="1"/>
  <c r="K47" i="1"/>
  <c r="L47" i="1"/>
  <c r="M47" i="1"/>
  <c r="N47" i="1"/>
  <c r="A48" i="1"/>
  <c r="B48" i="1"/>
  <c r="C48" i="1"/>
  <c r="G48" i="1"/>
  <c r="H48" i="1"/>
  <c r="I48" i="1"/>
  <c r="J48" i="1"/>
  <c r="K48" i="1"/>
  <c r="L48" i="1"/>
  <c r="M48" i="1"/>
  <c r="N48" i="1"/>
  <c r="A49" i="1"/>
  <c r="C49" i="1"/>
  <c r="H49" i="1"/>
  <c r="I49" i="1"/>
  <c r="J49" i="1"/>
  <c r="K49" i="1"/>
  <c r="L49" i="1"/>
  <c r="M49" i="1"/>
  <c r="N49" i="1"/>
  <c r="A50" i="1"/>
  <c r="C50" i="1"/>
  <c r="H50" i="1"/>
  <c r="I50" i="1"/>
  <c r="J50" i="1"/>
  <c r="K50" i="1"/>
  <c r="L50" i="1"/>
  <c r="M50" i="1"/>
  <c r="N50" i="1"/>
  <c r="A51" i="1"/>
  <c r="C51" i="1"/>
  <c r="H51" i="1"/>
  <c r="I51" i="1"/>
  <c r="J51" i="1"/>
  <c r="K51" i="1"/>
  <c r="L51" i="1"/>
  <c r="M51" i="1"/>
  <c r="N51" i="1"/>
  <c r="A52" i="1"/>
  <c r="C52" i="1"/>
  <c r="H52" i="1"/>
  <c r="I52" i="1"/>
  <c r="J52" i="1"/>
  <c r="K52" i="1"/>
  <c r="L52" i="1"/>
  <c r="M52" i="1"/>
  <c r="N52" i="1"/>
  <c r="A53" i="1"/>
  <c r="C53" i="1"/>
  <c r="H53" i="1"/>
  <c r="I53" i="1"/>
  <c r="J53" i="1"/>
  <c r="K53" i="1"/>
  <c r="L53" i="1"/>
  <c r="M53" i="1"/>
  <c r="N53" i="1"/>
  <c r="A54" i="1"/>
  <c r="C54" i="1"/>
  <c r="H54" i="1"/>
  <c r="I54" i="1"/>
  <c r="J54" i="1"/>
  <c r="K54" i="1"/>
  <c r="L54" i="1"/>
  <c r="M54" i="1"/>
  <c r="N54" i="1"/>
  <c r="A55" i="1"/>
  <c r="C55" i="1"/>
  <c r="H55" i="1"/>
  <c r="I55" i="1"/>
  <c r="J55" i="1"/>
  <c r="K55" i="1"/>
  <c r="L55" i="1"/>
  <c r="M55" i="1"/>
  <c r="N55" i="1"/>
  <c r="A56" i="1"/>
  <c r="C56" i="1"/>
  <c r="H56" i="1"/>
  <c r="I56" i="1"/>
  <c r="J56" i="1"/>
  <c r="K56" i="1"/>
  <c r="L56" i="1"/>
  <c r="M56" i="1"/>
  <c r="N56" i="1"/>
  <c r="A57" i="1"/>
  <c r="C57" i="1"/>
  <c r="H57" i="1"/>
  <c r="I57" i="1"/>
  <c r="J57" i="1"/>
  <c r="K57" i="1"/>
  <c r="L57" i="1"/>
  <c r="M57" i="1"/>
  <c r="N57" i="1"/>
  <c r="A25" i="1"/>
  <c r="C25" i="1"/>
  <c r="H25" i="1"/>
  <c r="I25" i="1"/>
  <c r="J25" i="1"/>
  <c r="K25" i="1"/>
  <c r="L25" i="1"/>
  <c r="M25" i="1"/>
  <c r="N25" i="1"/>
  <c r="A27" i="1"/>
  <c r="B27" i="1"/>
  <c r="C27" i="1"/>
  <c r="G27" i="1"/>
  <c r="H27" i="1"/>
  <c r="I27" i="1"/>
  <c r="J27" i="1"/>
  <c r="K27" i="1"/>
  <c r="L27" i="1"/>
  <c r="M27" i="1"/>
  <c r="N27" i="1"/>
  <c r="A28" i="1"/>
  <c r="C28" i="1"/>
  <c r="G28" i="1"/>
  <c r="H28" i="1"/>
  <c r="I28" i="1"/>
  <c r="J28" i="1"/>
  <c r="K28" i="1"/>
  <c r="L28" i="1"/>
  <c r="M28" i="1"/>
  <c r="N28" i="1"/>
  <c r="A29" i="1"/>
  <c r="C29" i="1"/>
  <c r="G29" i="1"/>
  <c r="H29" i="1"/>
  <c r="I29" i="1"/>
  <c r="J29" i="1"/>
  <c r="K29" i="1"/>
  <c r="L29" i="1"/>
  <c r="M29" i="1"/>
  <c r="N29" i="1"/>
  <c r="F25" i="9"/>
  <c r="F40" i="1" l="1"/>
  <c r="F46" i="1"/>
  <c r="F48" i="1"/>
  <c r="F43" i="1"/>
  <c r="F57" i="1"/>
  <c r="F25" i="1"/>
  <c r="F47" i="1"/>
  <c r="F39" i="1"/>
  <c r="F44" i="1"/>
  <c r="F27" i="1"/>
  <c r="J1" i="18"/>
  <c r="J2" i="18"/>
  <c r="J3" i="18"/>
  <c r="L5" i="18"/>
  <c r="L6" i="18"/>
  <c r="L7" i="18"/>
  <c r="L8" i="18"/>
  <c r="L4" i="18"/>
  <c r="I5" i="18"/>
  <c r="I6" i="18"/>
  <c r="I7" i="18"/>
  <c r="I8" i="18"/>
  <c r="H5" i="18"/>
  <c r="H6" i="18"/>
  <c r="H7" i="18"/>
  <c r="H8" i="18"/>
  <c r="E5" i="18"/>
  <c r="E6" i="18"/>
  <c r="E7" i="18"/>
  <c r="F7" i="18" s="1"/>
  <c r="E8" i="18"/>
  <c r="F8" i="18" s="1"/>
  <c r="E4" i="18"/>
  <c r="D5" i="18"/>
  <c r="D6" i="18"/>
  <c r="D7" i="18"/>
  <c r="D8" i="18"/>
  <c r="D4" i="18"/>
  <c r="C5" i="18"/>
  <c r="C6" i="18"/>
  <c r="C7" i="18"/>
  <c r="C4" i="18"/>
  <c r="B7" i="18"/>
  <c r="B8" i="18"/>
  <c r="A5" i="18"/>
  <c r="A6" i="18"/>
  <c r="A7" i="18"/>
  <c r="A8" i="18"/>
  <c r="A4" i="18"/>
  <c r="C8" i="17"/>
  <c r="C8" i="18" s="1"/>
  <c r="J8" i="17"/>
  <c r="J8" i="18" s="1"/>
  <c r="F8" i="17"/>
  <c r="B8" i="17"/>
  <c r="J7" i="17"/>
  <c r="J7" i="18" s="1"/>
  <c r="J6" i="17"/>
  <c r="J6" i="18" s="1"/>
  <c r="J5" i="17"/>
  <c r="J5" i="18" s="1"/>
  <c r="J4" i="17"/>
  <c r="J4" i="18" s="1"/>
  <c r="I4" i="18"/>
  <c r="H4" i="18"/>
  <c r="B5" i="17"/>
  <c r="B5" i="18" s="1"/>
  <c r="F5" i="17"/>
  <c r="B6" i="17"/>
  <c r="B6" i="18" s="1"/>
  <c r="F6" i="17"/>
  <c r="B7" i="17"/>
  <c r="F7" i="17"/>
  <c r="B4" i="17"/>
  <c r="B4" i="18" s="1"/>
  <c r="F4" i="17"/>
  <c r="N5" i="16"/>
  <c r="N4" i="16"/>
  <c r="M5" i="16"/>
  <c r="M4" i="16"/>
  <c r="L5" i="16"/>
  <c r="L4" i="16"/>
  <c r="K5" i="16"/>
  <c r="K4" i="16"/>
  <c r="J5" i="16"/>
  <c r="J4" i="16"/>
  <c r="I5" i="16"/>
  <c r="I4" i="16"/>
  <c r="C5" i="16"/>
  <c r="E5" i="16" s="1"/>
  <c r="F5" i="16" s="1"/>
  <c r="C4" i="16"/>
  <c r="A5" i="16"/>
  <c r="A4" i="16"/>
  <c r="F57" i="9"/>
  <c r="H5" i="16"/>
  <c r="H4" i="16"/>
  <c r="G5" i="16"/>
  <c r="G4" i="16"/>
  <c r="B5" i="16"/>
  <c r="B4" i="16"/>
  <c r="F5" i="15"/>
  <c r="F4" i="15"/>
  <c r="K5" i="8"/>
  <c r="K6" i="8"/>
  <c r="K7" i="8"/>
  <c r="K8" i="8"/>
  <c r="K9" i="8"/>
  <c r="K10" i="8"/>
  <c r="K11" i="8"/>
  <c r="K12" i="8"/>
  <c r="K13" i="8"/>
  <c r="K14" i="8"/>
  <c r="K15" i="8"/>
  <c r="K16" i="8"/>
  <c r="K4" i="8"/>
  <c r="G42" i="1"/>
  <c r="G41" i="1"/>
  <c r="B42" i="1"/>
  <c r="F42" i="1" s="1"/>
  <c r="B41" i="1"/>
  <c r="F41" i="1" s="1"/>
  <c r="G32" i="1"/>
  <c r="G31" i="1"/>
  <c r="B32" i="1"/>
  <c r="F32" i="1" s="1"/>
  <c r="B31" i="1"/>
  <c r="F31" i="1" s="1"/>
  <c r="S16" i="8"/>
  <c r="R16" i="8"/>
  <c r="O16" i="8"/>
  <c r="N16" i="8"/>
  <c r="M16" i="8"/>
  <c r="L16" i="8"/>
  <c r="J16" i="8"/>
  <c r="I16" i="8"/>
  <c r="D16" i="8"/>
  <c r="F16" i="8" s="1"/>
  <c r="C16" i="8"/>
  <c r="B16" i="8"/>
  <c r="A16" i="8"/>
  <c r="Q16" i="11"/>
  <c r="Q16" i="8" s="1"/>
  <c r="P16" i="11"/>
  <c r="P16" i="8" s="1"/>
  <c r="H16" i="11"/>
  <c r="J15" i="8"/>
  <c r="I15" i="8"/>
  <c r="A15" i="8"/>
  <c r="B15" i="8"/>
  <c r="C15" i="8"/>
  <c r="D15" i="8"/>
  <c r="L15" i="8"/>
  <c r="M15" i="8"/>
  <c r="N15" i="8"/>
  <c r="O15" i="8"/>
  <c r="R15" i="8"/>
  <c r="S15" i="8"/>
  <c r="Q15" i="11"/>
  <c r="Q15" i="8" s="1"/>
  <c r="P15" i="11"/>
  <c r="P15" i="8" s="1"/>
  <c r="G15" i="11"/>
  <c r="J4" i="8"/>
  <c r="C4" i="8"/>
  <c r="I4" i="8"/>
  <c r="B4" i="8"/>
  <c r="B1" i="8"/>
  <c r="C1" i="8"/>
  <c r="D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B2" i="8"/>
  <c r="C2" i="8"/>
  <c r="D2" i="8"/>
  <c r="F2" i="8"/>
  <c r="G2" i="8"/>
  <c r="H2" i="8"/>
  <c r="I2" i="8"/>
  <c r="J2" i="8"/>
  <c r="K2" i="8"/>
  <c r="L2" i="8"/>
  <c r="M2" i="8"/>
  <c r="N2" i="8"/>
  <c r="O2" i="8"/>
  <c r="P2" i="8"/>
  <c r="Q2" i="8"/>
  <c r="R2" i="8"/>
  <c r="B3" i="8"/>
  <c r="C3" i="8"/>
  <c r="D3" i="8"/>
  <c r="F3" i="8"/>
  <c r="G3" i="8"/>
  <c r="H3" i="8"/>
  <c r="I3" i="8"/>
  <c r="J3" i="8"/>
  <c r="K3" i="8"/>
  <c r="L3" i="8"/>
  <c r="M3" i="8"/>
  <c r="N3" i="8"/>
  <c r="O3" i="8"/>
  <c r="P3" i="8"/>
  <c r="Q3" i="8"/>
  <c r="R3" i="8"/>
  <c r="D4" i="8"/>
  <c r="L4" i="8"/>
  <c r="M4" i="8"/>
  <c r="N4" i="8"/>
  <c r="O4" i="8"/>
  <c r="P4" i="8"/>
  <c r="R4" i="8"/>
  <c r="S4" i="8"/>
  <c r="D5" i="8"/>
  <c r="F5" i="8" s="1"/>
  <c r="L5" i="8"/>
  <c r="M5" i="8"/>
  <c r="N5" i="8"/>
  <c r="O5" i="8"/>
  <c r="P5" i="8"/>
  <c r="R5" i="8"/>
  <c r="S5" i="8"/>
  <c r="D6" i="8"/>
  <c r="F6" i="8" s="1"/>
  <c r="L6" i="8"/>
  <c r="M6" i="8"/>
  <c r="N6" i="8"/>
  <c r="O6" i="8"/>
  <c r="R6" i="8"/>
  <c r="S6" i="8"/>
  <c r="D7" i="8"/>
  <c r="F7" i="8" s="1"/>
  <c r="L7" i="8"/>
  <c r="M7" i="8"/>
  <c r="N7" i="8"/>
  <c r="O7" i="8"/>
  <c r="R7" i="8"/>
  <c r="S7" i="8"/>
  <c r="D8" i="8"/>
  <c r="F8" i="8" s="1"/>
  <c r="L8" i="8"/>
  <c r="M8" i="8"/>
  <c r="N8" i="8"/>
  <c r="O8" i="8"/>
  <c r="R8" i="8"/>
  <c r="S8" i="8"/>
  <c r="D9" i="8"/>
  <c r="F9" i="8" s="1"/>
  <c r="L9" i="8"/>
  <c r="M9" i="8"/>
  <c r="N9" i="8"/>
  <c r="O9" i="8"/>
  <c r="R9" i="8"/>
  <c r="S9" i="8"/>
  <c r="D10" i="8"/>
  <c r="F10" i="8" s="1"/>
  <c r="L10" i="8"/>
  <c r="M10" i="8"/>
  <c r="N10" i="8"/>
  <c r="O10" i="8"/>
  <c r="R10" i="8"/>
  <c r="S10" i="8"/>
  <c r="D11" i="8"/>
  <c r="F11" i="8" s="1"/>
  <c r="L11" i="8"/>
  <c r="M11" i="8"/>
  <c r="N11" i="8"/>
  <c r="O11" i="8"/>
  <c r="Q11" i="8"/>
  <c r="R11" i="8"/>
  <c r="S11" i="8"/>
  <c r="D12" i="8"/>
  <c r="F12" i="8" s="1"/>
  <c r="L12" i="8"/>
  <c r="M12" i="8"/>
  <c r="N12" i="8"/>
  <c r="O12" i="8"/>
  <c r="Q12" i="8"/>
  <c r="R12" i="8"/>
  <c r="S12" i="8"/>
  <c r="D13" i="8"/>
  <c r="F13" i="8" s="1"/>
  <c r="L13" i="8"/>
  <c r="M13" i="8"/>
  <c r="N13" i="8"/>
  <c r="O13" i="8"/>
  <c r="P13" i="8"/>
  <c r="R13" i="8"/>
  <c r="S13" i="8"/>
  <c r="D14" i="8"/>
  <c r="F14" i="8" s="1"/>
  <c r="L14" i="8"/>
  <c r="M14" i="8"/>
  <c r="N14" i="8"/>
  <c r="O14" i="8"/>
  <c r="R14" i="8"/>
  <c r="S14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" i="8"/>
  <c r="I10" i="11"/>
  <c r="Q14" i="11"/>
  <c r="Q14" i="8" s="1"/>
  <c r="P14" i="11"/>
  <c r="P14" i="8" s="1"/>
  <c r="Q13" i="11"/>
  <c r="Q13" i="8" s="1"/>
  <c r="P13" i="11"/>
  <c r="Q12" i="11"/>
  <c r="P12" i="11"/>
  <c r="P12" i="8" s="1"/>
  <c r="Q11" i="11"/>
  <c r="P11" i="11"/>
  <c r="P11" i="8" s="1"/>
  <c r="Q10" i="11"/>
  <c r="Q10" i="8" s="1"/>
  <c r="P10" i="11"/>
  <c r="P10" i="8" s="1"/>
  <c r="Q9" i="11"/>
  <c r="Q9" i="8" s="1"/>
  <c r="P9" i="11"/>
  <c r="P9" i="8" s="1"/>
  <c r="Q8" i="11"/>
  <c r="Q8" i="8" s="1"/>
  <c r="P8" i="11"/>
  <c r="P8" i="8" s="1"/>
  <c r="Q7" i="11"/>
  <c r="Q7" i="8" s="1"/>
  <c r="P7" i="11"/>
  <c r="P7" i="8" s="1"/>
  <c r="Q6" i="11"/>
  <c r="Q6" i="8" s="1"/>
  <c r="P6" i="11"/>
  <c r="P6" i="8" s="1"/>
  <c r="Q5" i="11"/>
  <c r="Q5" i="8" s="1"/>
  <c r="P5" i="11"/>
  <c r="C14" i="11"/>
  <c r="C14" i="8" s="1"/>
  <c r="C13" i="11"/>
  <c r="J13" i="11" s="1"/>
  <c r="C12" i="11"/>
  <c r="J12" i="11" s="1"/>
  <c r="C11" i="11"/>
  <c r="J11" i="11" s="1"/>
  <c r="H11" i="11"/>
  <c r="C10" i="11"/>
  <c r="C10" i="8" s="1"/>
  <c r="J10" i="11"/>
  <c r="B14" i="11"/>
  <c r="B14" i="8" s="1"/>
  <c r="B13" i="11"/>
  <c r="G13" i="11" s="1"/>
  <c r="B12" i="11"/>
  <c r="B12" i="8" s="1"/>
  <c r="B11" i="11"/>
  <c r="G11" i="11" s="1"/>
  <c r="B10" i="11"/>
  <c r="B10" i="8" s="1"/>
  <c r="C9" i="11"/>
  <c r="C9" i="8" s="1"/>
  <c r="C8" i="11"/>
  <c r="H8" i="11" s="1"/>
  <c r="C7" i="11"/>
  <c r="C7" i="8" s="1"/>
  <c r="J7" i="11"/>
  <c r="C6" i="11"/>
  <c r="C6" i="8" s="1"/>
  <c r="J6" i="11"/>
  <c r="C5" i="11"/>
  <c r="C5" i="8" s="1"/>
  <c r="B9" i="11"/>
  <c r="I9" i="11" s="1"/>
  <c r="B8" i="11"/>
  <c r="B8" i="8" s="1"/>
  <c r="B7" i="11"/>
  <c r="B7" i="8" s="1"/>
  <c r="I7" i="11"/>
  <c r="B6" i="11"/>
  <c r="G6" i="11" s="1"/>
  <c r="B5" i="11"/>
  <c r="G5" i="11" s="1"/>
  <c r="O41" i="13"/>
  <c r="N41" i="13"/>
  <c r="H41" i="13"/>
  <c r="E41" i="13"/>
  <c r="G41" i="13" s="1"/>
  <c r="O40" i="13"/>
  <c r="N40" i="13"/>
  <c r="H40" i="13"/>
  <c r="E40" i="13"/>
  <c r="F40" i="13" s="1"/>
  <c r="O39" i="13"/>
  <c r="N39" i="13"/>
  <c r="H39" i="13"/>
  <c r="E39" i="13"/>
  <c r="G39" i="13"/>
  <c r="F39" i="13"/>
  <c r="O38" i="13"/>
  <c r="N38" i="13"/>
  <c r="H38" i="13"/>
  <c r="E38" i="13"/>
  <c r="F38" i="13" s="1"/>
  <c r="O37" i="13"/>
  <c r="N37" i="13"/>
  <c r="H37" i="13"/>
  <c r="E37" i="13"/>
  <c r="O36" i="13"/>
  <c r="N36" i="13"/>
  <c r="H36" i="13"/>
  <c r="E36" i="13"/>
  <c r="F36" i="13" s="1"/>
  <c r="O35" i="13"/>
  <c r="N35" i="13"/>
  <c r="H35" i="13"/>
  <c r="E35" i="13"/>
  <c r="F35" i="13"/>
  <c r="O34" i="13"/>
  <c r="N34" i="13"/>
  <c r="H34" i="13"/>
  <c r="E34" i="13"/>
  <c r="F34" i="13"/>
  <c r="O33" i="13"/>
  <c r="N33" i="13"/>
  <c r="H33" i="13"/>
  <c r="E33" i="13"/>
  <c r="G33" i="13"/>
  <c r="O32" i="13"/>
  <c r="N32" i="13"/>
  <c r="H32" i="13"/>
  <c r="E32" i="13"/>
  <c r="G32" i="13" s="1"/>
  <c r="O31" i="13"/>
  <c r="N31" i="13"/>
  <c r="H31" i="13"/>
  <c r="E31" i="13"/>
  <c r="O30" i="13"/>
  <c r="N30" i="13"/>
  <c r="H30" i="13"/>
  <c r="E30" i="13"/>
  <c r="F30" i="13" s="1"/>
  <c r="O29" i="13"/>
  <c r="N29" i="13"/>
  <c r="H29" i="13"/>
  <c r="E29" i="13"/>
  <c r="O28" i="13"/>
  <c r="N28" i="13"/>
  <c r="E28" i="13"/>
  <c r="G28" i="13" s="1"/>
  <c r="F28" i="13"/>
  <c r="O27" i="13"/>
  <c r="N27" i="13"/>
  <c r="E27" i="13"/>
  <c r="G27" i="13" s="1"/>
  <c r="O26" i="13"/>
  <c r="N26" i="13"/>
  <c r="E26" i="13"/>
  <c r="F26" i="13" s="1"/>
  <c r="G26" i="13"/>
  <c r="O25" i="13"/>
  <c r="N25" i="13"/>
  <c r="E25" i="13"/>
  <c r="F25" i="13" s="1"/>
  <c r="O24" i="13"/>
  <c r="N24" i="13"/>
  <c r="E24" i="13"/>
  <c r="G24" i="13" s="1"/>
  <c r="F24" i="13"/>
  <c r="O23" i="13"/>
  <c r="N23" i="13"/>
  <c r="E23" i="13"/>
  <c r="F23" i="13" s="1"/>
  <c r="O22" i="13"/>
  <c r="N22" i="13"/>
  <c r="E22" i="13"/>
  <c r="G22" i="13"/>
  <c r="O21" i="13"/>
  <c r="N21" i="13"/>
  <c r="E21" i="13"/>
  <c r="G21" i="13" s="1"/>
  <c r="O20" i="13"/>
  <c r="N20" i="13"/>
  <c r="E20" i="13"/>
  <c r="F20" i="13" s="1"/>
  <c r="O19" i="13"/>
  <c r="N19" i="13"/>
  <c r="E19" i="13"/>
  <c r="G19" i="13" s="1"/>
  <c r="O18" i="13"/>
  <c r="N18" i="13"/>
  <c r="E18" i="13"/>
  <c r="G18" i="13"/>
  <c r="O17" i="13"/>
  <c r="N17" i="13"/>
  <c r="E17" i="13"/>
  <c r="F17" i="13" s="1"/>
  <c r="O16" i="13"/>
  <c r="N16" i="13"/>
  <c r="E16" i="13"/>
  <c r="F16" i="13" s="1"/>
  <c r="O15" i="13"/>
  <c r="N15" i="13"/>
  <c r="E15" i="13"/>
  <c r="F15" i="13" s="1"/>
  <c r="O14" i="13"/>
  <c r="N14" i="13"/>
  <c r="E14" i="13"/>
  <c r="G14" i="13" s="1"/>
  <c r="O13" i="13"/>
  <c r="N13" i="13"/>
  <c r="E13" i="13"/>
  <c r="G13" i="13" s="1"/>
  <c r="O12" i="13"/>
  <c r="N12" i="13"/>
  <c r="E12" i="13"/>
  <c r="G12" i="13" s="1"/>
  <c r="O11" i="13"/>
  <c r="N11" i="13"/>
  <c r="E11" i="13"/>
  <c r="G11" i="13" s="1"/>
  <c r="O10" i="13"/>
  <c r="N10" i="13"/>
  <c r="E10" i="13"/>
  <c r="G10" i="13" s="1"/>
  <c r="F10" i="13"/>
  <c r="O9" i="13"/>
  <c r="N9" i="13"/>
  <c r="E9" i="13"/>
  <c r="F9" i="13" s="1"/>
  <c r="O8" i="13"/>
  <c r="N8" i="13"/>
  <c r="E8" i="13"/>
  <c r="G8" i="13" s="1"/>
  <c r="F8" i="13"/>
  <c r="O7" i="13"/>
  <c r="N7" i="13"/>
  <c r="E7" i="13"/>
  <c r="F7" i="13" s="1"/>
  <c r="O6" i="13"/>
  <c r="N6" i="13"/>
  <c r="E6" i="13"/>
  <c r="G6" i="13"/>
  <c r="O5" i="13"/>
  <c r="N5" i="13"/>
  <c r="E5" i="13"/>
  <c r="G5" i="13" s="1"/>
  <c r="O4" i="13"/>
  <c r="N4" i="13"/>
  <c r="E4" i="13"/>
  <c r="F4" i="13" s="1"/>
  <c r="F22" i="13"/>
  <c r="G35" i="13"/>
  <c r="J9" i="11"/>
  <c r="G7" i="11"/>
  <c r="G10" i="11"/>
  <c r="H7" i="11"/>
  <c r="H6" i="11"/>
  <c r="H10" i="11"/>
  <c r="G7" i="13"/>
  <c r="G23" i="13"/>
  <c r="G17" i="13"/>
  <c r="F6" i="13"/>
  <c r="F18" i="13"/>
  <c r="G20" i="13"/>
  <c r="G34" i="13"/>
  <c r="F5" i="13"/>
  <c r="F21" i="13"/>
  <c r="F33" i="13"/>
  <c r="F41" i="13"/>
  <c r="F27" i="13"/>
  <c r="N24" i="1"/>
  <c r="M24" i="1"/>
  <c r="L24" i="1"/>
  <c r="K24" i="1"/>
  <c r="J24" i="1"/>
  <c r="I24" i="1"/>
  <c r="H24" i="1"/>
  <c r="G24" i="1"/>
  <c r="C24" i="1"/>
  <c r="B24" i="1"/>
  <c r="A24" i="1"/>
  <c r="N23" i="1"/>
  <c r="M23" i="1"/>
  <c r="L23" i="1"/>
  <c r="K23" i="1"/>
  <c r="J23" i="1"/>
  <c r="I23" i="1"/>
  <c r="H23" i="1"/>
  <c r="G23" i="1"/>
  <c r="C23" i="1"/>
  <c r="B23" i="1"/>
  <c r="A23" i="1"/>
  <c r="N22" i="1"/>
  <c r="M22" i="1"/>
  <c r="L22" i="1"/>
  <c r="K22" i="1"/>
  <c r="J22" i="1"/>
  <c r="I22" i="1"/>
  <c r="H22" i="1"/>
  <c r="G22" i="1"/>
  <c r="C22" i="1"/>
  <c r="B22" i="1"/>
  <c r="A22" i="1"/>
  <c r="N21" i="1"/>
  <c r="M21" i="1"/>
  <c r="L21" i="1"/>
  <c r="K21" i="1"/>
  <c r="J21" i="1"/>
  <c r="I21" i="1"/>
  <c r="H21" i="1"/>
  <c r="G21" i="1"/>
  <c r="C21" i="1"/>
  <c r="B21" i="1"/>
  <c r="A21" i="1"/>
  <c r="N20" i="1"/>
  <c r="M20" i="1"/>
  <c r="L20" i="1"/>
  <c r="K20" i="1"/>
  <c r="J20" i="1"/>
  <c r="I20" i="1"/>
  <c r="H20" i="1"/>
  <c r="G20" i="1"/>
  <c r="C20" i="1"/>
  <c r="B20" i="1"/>
  <c r="A20" i="1"/>
  <c r="N19" i="1"/>
  <c r="M19" i="1"/>
  <c r="L19" i="1"/>
  <c r="K19" i="1"/>
  <c r="J19" i="1"/>
  <c r="I19" i="1"/>
  <c r="H19" i="1"/>
  <c r="G19" i="1"/>
  <c r="C19" i="1"/>
  <c r="B19" i="1"/>
  <c r="A19" i="1"/>
  <c r="N18" i="1"/>
  <c r="M18" i="1"/>
  <c r="L18" i="1"/>
  <c r="K18" i="1"/>
  <c r="J18" i="1"/>
  <c r="I18" i="1"/>
  <c r="H18" i="1"/>
  <c r="G18" i="1"/>
  <c r="C18" i="1"/>
  <c r="B18" i="1"/>
  <c r="A18" i="1"/>
  <c r="N17" i="1"/>
  <c r="M17" i="1"/>
  <c r="L17" i="1"/>
  <c r="K17" i="1"/>
  <c r="J17" i="1"/>
  <c r="I17" i="1"/>
  <c r="H17" i="1"/>
  <c r="G17" i="1"/>
  <c r="C17" i="1"/>
  <c r="B17" i="1"/>
  <c r="A17" i="1"/>
  <c r="N16" i="1"/>
  <c r="M16" i="1"/>
  <c r="L16" i="1"/>
  <c r="K16" i="1"/>
  <c r="J16" i="1"/>
  <c r="I16" i="1"/>
  <c r="H16" i="1"/>
  <c r="G16" i="1"/>
  <c r="C16" i="1"/>
  <c r="B16" i="1"/>
  <c r="A16" i="1"/>
  <c r="N15" i="1"/>
  <c r="M15" i="1"/>
  <c r="L15" i="1"/>
  <c r="K15" i="1"/>
  <c r="J15" i="1"/>
  <c r="I15" i="1"/>
  <c r="H15" i="1"/>
  <c r="G15" i="1"/>
  <c r="C15" i="1"/>
  <c r="B15" i="1"/>
  <c r="A15" i="1"/>
  <c r="N14" i="1"/>
  <c r="M14" i="1"/>
  <c r="L14" i="1"/>
  <c r="K14" i="1"/>
  <c r="J14" i="1"/>
  <c r="I14" i="1"/>
  <c r="H14" i="1"/>
  <c r="G14" i="1"/>
  <c r="C14" i="1"/>
  <c r="B14" i="1"/>
  <c r="A14" i="1"/>
  <c r="N13" i="1"/>
  <c r="M13" i="1"/>
  <c r="L13" i="1"/>
  <c r="K13" i="1"/>
  <c r="J13" i="1"/>
  <c r="I13" i="1"/>
  <c r="H13" i="1"/>
  <c r="G13" i="1"/>
  <c r="C13" i="1"/>
  <c r="B13" i="1"/>
  <c r="A13" i="1"/>
  <c r="N12" i="1"/>
  <c r="M12" i="1"/>
  <c r="L12" i="1"/>
  <c r="K12" i="1"/>
  <c r="J12" i="1"/>
  <c r="I12" i="1"/>
  <c r="H12" i="1"/>
  <c r="G12" i="1"/>
  <c r="C12" i="1"/>
  <c r="B12" i="1"/>
  <c r="A12" i="1"/>
  <c r="N11" i="1"/>
  <c r="M11" i="1"/>
  <c r="L11" i="1"/>
  <c r="K11" i="1"/>
  <c r="J11" i="1"/>
  <c r="I11" i="1"/>
  <c r="H11" i="1"/>
  <c r="G11" i="1"/>
  <c r="C11" i="1"/>
  <c r="B11" i="1"/>
  <c r="A11" i="1"/>
  <c r="N10" i="1"/>
  <c r="M10" i="1"/>
  <c r="L10" i="1"/>
  <c r="K10" i="1"/>
  <c r="J10" i="1"/>
  <c r="I10" i="1"/>
  <c r="H10" i="1"/>
  <c r="G10" i="1"/>
  <c r="C10" i="1"/>
  <c r="B10" i="1"/>
  <c r="A10" i="1"/>
  <c r="N9" i="1"/>
  <c r="M9" i="1"/>
  <c r="L9" i="1"/>
  <c r="K9" i="1"/>
  <c r="J9" i="1"/>
  <c r="I9" i="1"/>
  <c r="H9" i="1"/>
  <c r="G9" i="1"/>
  <c r="C9" i="1"/>
  <c r="B9" i="1"/>
  <c r="A9" i="1"/>
  <c r="N8" i="1"/>
  <c r="M8" i="1"/>
  <c r="L8" i="1"/>
  <c r="K8" i="1"/>
  <c r="J8" i="1"/>
  <c r="I8" i="1"/>
  <c r="H8" i="1"/>
  <c r="G8" i="1"/>
  <c r="C8" i="1"/>
  <c r="B8" i="1"/>
  <c r="A8" i="1"/>
  <c r="N7" i="1"/>
  <c r="M7" i="1"/>
  <c r="L7" i="1"/>
  <c r="K7" i="1"/>
  <c r="J7" i="1"/>
  <c r="I7" i="1"/>
  <c r="H7" i="1"/>
  <c r="G7" i="1"/>
  <c r="C7" i="1"/>
  <c r="B7" i="1"/>
  <c r="A7" i="1"/>
  <c r="N6" i="1"/>
  <c r="M6" i="1"/>
  <c r="L6" i="1"/>
  <c r="K6" i="1"/>
  <c r="J6" i="1"/>
  <c r="I6" i="1"/>
  <c r="H6" i="1"/>
  <c r="G6" i="1"/>
  <c r="C6" i="1"/>
  <c r="B6" i="1"/>
  <c r="A6" i="1"/>
  <c r="N5" i="1"/>
  <c r="M5" i="1"/>
  <c r="L5" i="1"/>
  <c r="K5" i="1"/>
  <c r="J5" i="1"/>
  <c r="I5" i="1"/>
  <c r="H5" i="1"/>
  <c r="G5" i="1"/>
  <c r="C5" i="1"/>
  <c r="B5" i="1"/>
  <c r="A5" i="1"/>
  <c r="H4" i="1"/>
  <c r="G4" i="1"/>
  <c r="B4" i="1"/>
  <c r="A4" i="1"/>
  <c r="G56" i="1"/>
  <c r="G55" i="1"/>
  <c r="G54" i="1"/>
  <c r="G53" i="1"/>
  <c r="G52" i="1"/>
  <c r="G51" i="1"/>
  <c r="G50" i="1"/>
  <c r="G49" i="1"/>
  <c r="B56" i="1"/>
  <c r="F56" i="1" s="1"/>
  <c r="B55" i="1"/>
  <c r="F55" i="1" s="1"/>
  <c r="B54" i="1"/>
  <c r="F54" i="1" s="1"/>
  <c r="B53" i="1"/>
  <c r="F53" i="1" s="1"/>
  <c r="B52" i="1"/>
  <c r="F52" i="1" s="1"/>
  <c r="B51" i="1"/>
  <c r="F51" i="1" s="1"/>
  <c r="B50" i="1"/>
  <c r="F50" i="1" s="1"/>
  <c r="F19" i="9"/>
  <c r="F18" i="9"/>
  <c r="F17" i="9"/>
  <c r="F16" i="9"/>
  <c r="F11" i="9"/>
  <c r="F10" i="9"/>
  <c r="F9" i="9"/>
  <c r="F8" i="9"/>
  <c r="F24" i="9"/>
  <c r="F23" i="9"/>
  <c r="F22" i="9"/>
  <c r="F21" i="9"/>
  <c r="F48" i="9"/>
  <c r="F47" i="9"/>
  <c r="F46" i="9"/>
  <c r="F45" i="9"/>
  <c r="F39" i="9"/>
  <c r="B38" i="9"/>
  <c r="B38" i="1" s="1"/>
  <c r="F38" i="1" s="1"/>
  <c r="B37" i="9"/>
  <c r="B37" i="1" s="1"/>
  <c r="F37" i="1" s="1"/>
  <c r="B36" i="9"/>
  <c r="B36" i="1" s="1"/>
  <c r="F36" i="1" s="1"/>
  <c r="B35" i="9"/>
  <c r="B35" i="1" s="1"/>
  <c r="F35" i="1" s="1"/>
  <c r="B34" i="9"/>
  <c r="B34" i="1" s="1"/>
  <c r="F34" i="1" s="1"/>
  <c r="B33" i="9"/>
  <c r="B33" i="1" s="1"/>
  <c r="F33" i="1" s="1"/>
  <c r="B30" i="9"/>
  <c r="B30" i="1" s="1"/>
  <c r="F30" i="1" s="1"/>
  <c r="B28" i="9"/>
  <c r="B28" i="1" s="1"/>
  <c r="F28" i="1" s="1"/>
  <c r="F15" i="9"/>
  <c r="F14" i="9"/>
  <c r="F13" i="9"/>
  <c r="F7" i="9"/>
  <c r="F4" i="9"/>
  <c r="F44" i="9"/>
  <c r="F43" i="9"/>
  <c r="F40" i="9"/>
  <c r="B29" i="9"/>
  <c r="B29" i="1" s="1"/>
  <c r="F29" i="1" s="1"/>
  <c r="J10" i="6"/>
  <c r="J11" i="6"/>
  <c r="J12" i="6"/>
  <c r="J13" i="6"/>
  <c r="J9" i="6"/>
  <c r="D10" i="6"/>
  <c r="D12" i="6"/>
  <c r="C13" i="6"/>
  <c r="A9" i="6"/>
  <c r="B9" i="6"/>
  <c r="E9" i="6"/>
  <c r="K9" i="6"/>
  <c r="L9" i="6"/>
  <c r="M9" i="6"/>
  <c r="N9" i="6"/>
  <c r="O9" i="6"/>
  <c r="P9" i="6"/>
  <c r="Q9" i="6"/>
  <c r="R9" i="6"/>
  <c r="A10" i="6"/>
  <c r="B10" i="6"/>
  <c r="E10" i="6"/>
  <c r="H10" i="6"/>
  <c r="K10" i="6"/>
  <c r="L10" i="6"/>
  <c r="M10" i="6"/>
  <c r="N10" i="6"/>
  <c r="P10" i="6"/>
  <c r="Q10" i="6"/>
  <c r="R10" i="6"/>
  <c r="A11" i="6"/>
  <c r="B11" i="6"/>
  <c r="E11" i="6"/>
  <c r="K11" i="6"/>
  <c r="L11" i="6"/>
  <c r="M11" i="6"/>
  <c r="N11" i="6"/>
  <c r="P11" i="6"/>
  <c r="Q11" i="6"/>
  <c r="R11" i="6"/>
  <c r="A12" i="6"/>
  <c r="B12" i="6"/>
  <c r="E12" i="6"/>
  <c r="K12" i="6"/>
  <c r="L12" i="6"/>
  <c r="M12" i="6"/>
  <c r="N12" i="6"/>
  <c r="O12" i="6"/>
  <c r="Q12" i="6"/>
  <c r="R12" i="6"/>
  <c r="A13" i="6"/>
  <c r="B13" i="6"/>
  <c r="E13" i="6"/>
  <c r="K13" i="6"/>
  <c r="L13" i="6"/>
  <c r="M13" i="6"/>
  <c r="N13" i="6"/>
  <c r="O13" i="6"/>
  <c r="Q13" i="6"/>
  <c r="R13" i="6"/>
  <c r="L4" i="6"/>
  <c r="M4" i="6"/>
  <c r="N4" i="6"/>
  <c r="P4" i="6"/>
  <c r="Q4" i="6"/>
  <c r="R4" i="6"/>
  <c r="L5" i="6"/>
  <c r="M5" i="6"/>
  <c r="N5" i="6"/>
  <c r="Q5" i="6"/>
  <c r="R5" i="6"/>
  <c r="L6" i="6"/>
  <c r="M6" i="6"/>
  <c r="N6" i="6"/>
  <c r="Q6" i="6"/>
  <c r="R6" i="6"/>
  <c r="L7" i="6"/>
  <c r="M7" i="6"/>
  <c r="N7" i="6"/>
  <c r="P7" i="6"/>
  <c r="Q7" i="6"/>
  <c r="R7" i="6"/>
  <c r="L8" i="6"/>
  <c r="M8" i="6"/>
  <c r="N8" i="6"/>
  <c r="O8" i="6"/>
  <c r="P8" i="6"/>
  <c r="Q8" i="6"/>
  <c r="R8" i="6"/>
  <c r="K5" i="6"/>
  <c r="K6" i="6"/>
  <c r="K7" i="6"/>
  <c r="K8" i="6"/>
  <c r="K4" i="6"/>
  <c r="E5" i="6"/>
  <c r="E6" i="6"/>
  <c r="E7" i="6"/>
  <c r="E8" i="6"/>
  <c r="E4" i="6"/>
  <c r="P13" i="10"/>
  <c r="P13" i="6" s="1"/>
  <c r="O13" i="10"/>
  <c r="P12" i="10"/>
  <c r="P12" i="6" s="1"/>
  <c r="O12" i="10"/>
  <c r="P11" i="10"/>
  <c r="O11" i="10"/>
  <c r="O11" i="6" s="1"/>
  <c r="P10" i="10"/>
  <c r="O10" i="10"/>
  <c r="O10" i="6" s="1"/>
  <c r="P9" i="10"/>
  <c r="O9" i="10"/>
  <c r="I10" i="10"/>
  <c r="I10" i="6" s="1"/>
  <c r="I12" i="10"/>
  <c r="I12" i="6" s="1"/>
  <c r="H12" i="10"/>
  <c r="D10" i="10"/>
  <c r="H10" i="10" s="1"/>
  <c r="D11" i="10"/>
  <c r="D12" i="10"/>
  <c r="C12" i="10" s="1"/>
  <c r="C12" i="6" s="1"/>
  <c r="D13" i="10"/>
  <c r="D9" i="10"/>
  <c r="D9" i="6" s="1"/>
  <c r="C13" i="10"/>
  <c r="C10" i="10"/>
  <c r="C10" i="6" s="1"/>
  <c r="B5" i="6"/>
  <c r="B6" i="6"/>
  <c r="B7" i="6"/>
  <c r="B8" i="6"/>
  <c r="B4" i="6"/>
  <c r="A5" i="6"/>
  <c r="A6" i="6"/>
  <c r="A7" i="6"/>
  <c r="A8" i="6"/>
  <c r="A4" i="6"/>
  <c r="I4" i="1"/>
  <c r="J4" i="1"/>
  <c r="K4" i="1"/>
  <c r="L4" i="1"/>
  <c r="N4" i="1"/>
  <c r="M4" i="1"/>
  <c r="C4" i="1"/>
  <c r="F6" i="9"/>
  <c r="F5" i="9"/>
  <c r="J5" i="6"/>
  <c r="J6" i="6"/>
  <c r="J7" i="6"/>
  <c r="J8" i="6"/>
  <c r="J4" i="6"/>
  <c r="I6" i="6"/>
  <c r="I7" i="6"/>
  <c r="D5" i="6"/>
  <c r="C7" i="6"/>
  <c r="D7" i="6"/>
  <c r="Q4" i="11"/>
  <c r="Q4" i="8" s="1"/>
  <c r="P4" i="11"/>
  <c r="H4" i="11"/>
  <c r="P8" i="10"/>
  <c r="O8" i="10"/>
  <c r="I8" i="10"/>
  <c r="I8" i="6" s="1"/>
  <c r="D8" i="10"/>
  <c r="P7" i="10"/>
  <c r="O7" i="10"/>
  <c r="O7" i="6" s="1"/>
  <c r="D7" i="10"/>
  <c r="C7" i="10"/>
  <c r="P6" i="10"/>
  <c r="P6" i="6" s="1"/>
  <c r="O6" i="10"/>
  <c r="O6" i="6" s="1"/>
  <c r="I6" i="10"/>
  <c r="D6" i="10"/>
  <c r="P5" i="10"/>
  <c r="P5" i="6" s="1"/>
  <c r="O5" i="10"/>
  <c r="O5" i="6" s="1"/>
  <c r="I5" i="10"/>
  <c r="I5" i="6" s="1"/>
  <c r="H5" i="10"/>
  <c r="D5" i="10"/>
  <c r="C5" i="10"/>
  <c r="C5" i="6" s="1"/>
  <c r="P4" i="10"/>
  <c r="O4" i="10"/>
  <c r="O4" i="6" s="1"/>
  <c r="I4" i="10"/>
  <c r="I4" i="6" s="1"/>
  <c r="H4" i="10"/>
  <c r="D4" i="10"/>
  <c r="C4" i="10" s="1"/>
  <c r="C4" i="6" s="1"/>
  <c r="F28" i="9"/>
  <c r="F20" i="9"/>
  <c r="F12" i="9"/>
  <c r="G4" i="11"/>
  <c r="H7" i="10"/>
  <c r="H7" i="6"/>
  <c r="F4" i="18" l="1"/>
  <c r="F6" i="18"/>
  <c r="F15" i="8"/>
  <c r="H15" i="8" s="1"/>
  <c r="F4" i="8"/>
  <c r="H4" i="8" s="1"/>
  <c r="F32" i="13"/>
  <c r="F11" i="13"/>
  <c r="G4" i="13"/>
  <c r="G36" i="13"/>
  <c r="F12" i="13"/>
  <c r="G16" i="13"/>
  <c r="F14" i="13"/>
  <c r="H9" i="6"/>
  <c r="H12" i="6"/>
  <c r="J7" i="8"/>
  <c r="G16" i="11"/>
  <c r="H12" i="11"/>
  <c r="I6" i="11"/>
  <c r="J14" i="11"/>
  <c r="G12" i="11"/>
  <c r="G15" i="8"/>
  <c r="H13" i="11"/>
  <c r="H14" i="8"/>
  <c r="C12" i="8"/>
  <c r="J5" i="11"/>
  <c r="F4" i="16"/>
  <c r="F5" i="18"/>
  <c r="F4" i="1"/>
  <c r="F17" i="1"/>
  <c r="F51" i="9"/>
  <c r="F5" i="1"/>
  <c r="F23" i="1"/>
  <c r="F19" i="1"/>
  <c r="F7" i="1"/>
  <c r="F50" i="9"/>
  <c r="F49" i="9"/>
  <c r="B49" i="1"/>
  <c r="F49" i="1" s="1"/>
  <c r="F12" i="1"/>
  <c r="F42" i="9"/>
  <c r="F33" i="9"/>
  <c r="F35" i="9"/>
  <c r="F11" i="1"/>
  <c r="F21" i="1"/>
  <c r="F14" i="1"/>
  <c r="F9" i="1"/>
  <c r="F56" i="9"/>
  <c r="F34" i="9"/>
  <c r="F10" i="1"/>
  <c r="F54" i="9"/>
  <c r="F6" i="1"/>
  <c r="F22" i="1"/>
  <c r="F24" i="1"/>
  <c r="F18" i="1"/>
  <c r="F20" i="1"/>
  <c r="F16" i="1"/>
  <c r="F8" i="1"/>
  <c r="C6" i="10"/>
  <c r="C6" i="6" s="1"/>
  <c r="D6" i="6"/>
  <c r="H6" i="6" s="1"/>
  <c r="F55" i="9"/>
  <c r="G7" i="8"/>
  <c r="I7" i="8"/>
  <c r="H10" i="8"/>
  <c r="J10" i="8"/>
  <c r="J6" i="8"/>
  <c r="H6" i="8"/>
  <c r="H5" i="6"/>
  <c r="H8" i="10"/>
  <c r="C8" i="10"/>
  <c r="C8" i="6" s="1"/>
  <c r="F37" i="9"/>
  <c r="F30" i="9"/>
  <c r="I8" i="8"/>
  <c r="G8" i="8"/>
  <c r="J9" i="8"/>
  <c r="H9" i="8"/>
  <c r="G16" i="8"/>
  <c r="H16" i="8"/>
  <c r="D13" i="6"/>
  <c r="H13" i="6" s="1"/>
  <c r="I13" i="10"/>
  <c r="I13" i="6" s="1"/>
  <c r="H13" i="10"/>
  <c r="F29" i="9"/>
  <c r="J14" i="8"/>
  <c r="F29" i="13"/>
  <c r="G29" i="13"/>
  <c r="F31" i="13"/>
  <c r="G31" i="13"/>
  <c r="G10" i="8"/>
  <c r="I10" i="8"/>
  <c r="I14" i="8"/>
  <c r="G14" i="8"/>
  <c r="H6" i="10"/>
  <c r="F38" i="9"/>
  <c r="F15" i="1"/>
  <c r="H5" i="8"/>
  <c r="J5" i="8"/>
  <c r="F53" i="9"/>
  <c r="F37" i="13"/>
  <c r="G37" i="13"/>
  <c r="D8" i="6"/>
  <c r="H8" i="6" s="1"/>
  <c r="H11" i="10"/>
  <c r="C11" i="10"/>
  <c r="C11" i="6" s="1"/>
  <c r="D11" i="6"/>
  <c r="H11" i="6" s="1"/>
  <c r="I11" i="10"/>
  <c r="I11" i="6" s="1"/>
  <c r="F13" i="1"/>
  <c r="G4" i="8"/>
  <c r="I12" i="8"/>
  <c r="G12" i="8"/>
  <c r="G40" i="13"/>
  <c r="I8" i="11"/>
  <c r="J8" i="11"/>
  <c r="I13" i="11"/>
  <c r="G9" i="11"/>
  <c r="B13" i="8"/>
  <c r="G13" i="8" s="1"/>
  <c r="H14" i="11"/>
  <c r="I12" i="11"/>
  <c r="C8" i="8"/>
  <c r="C13" i="8"/>
  <c r="H15" i="11"/>
  <c r="G38" i="13"/>
  <c r="G15" i="13"/>
  <c r="H5" i="11"/>
  <c r="I5" i="11"/>
  <c r="H9" i="11"/>
  <c r="I14" i="11"/>
  <c r="G8" i="11"/>
  <c r="I11" i="11"/>
  <c r="B9" i="8"/>
  <c r="G9" i="8" s="1"/>
  <c r="H7" i="8"/>
  <c r="B11" i="8"/>
  <c r="B5" i="8"/>
  <c r="F31" i="9"/>
  <c r="G30" i="13"/>
  <c r="G14" i="11"/>
  <c r="B6" i="8"/>
  <c r="F32" i="9"/>
  <c r="D4" i="6"/>
  <c r="H4" i="6" s="1"/>
  <c r="H9" i="10"/>
  <c r="F52" i="9"/>
  <c r="G25" i="13"/>
  <c r="C11" i="8"/>
  <c r="F41" i="9"/>
  <c r="C9" i="10"/>
  <c r="C9" i="6" s="1"/>
  <c r="I9" i="10"/>
  <c r="I9" i="6" s="1"/>
  <c r="F36" i="9"/>
  <c r="F19" i="13"/>
  <c r="F13" i="13"/>
  <c r="G9" i="13"/>
  <c r="H12" i="8" l="1"/>
  <c r="J12" i="8"/>
  <c r="G6" i="8"/>
  <c r="I6" i="8"/>
  <c r="J13" i="8"/>
  <c r="H13" i="8"/>
  <c r="G11" i="8"/>
  <c r="I11" i="8"/>
  <c r="H8" i="8"/>
  <c r="J8" i="8"/>
  <c r="G5" i="8"/>
  <c r="I5" i="8"/>
  <c r="J11" i="8"/>
  <c r="H11" i="8"/>
  <c r="I9" i="8"/>
  <c r="I1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R Brown</author>
  </authors>
  <commentList>
    <comment ref="G25" authorId="0" shapeId="0" xr:uid="{5225A8C0-EC65-B74B-83C5-0FE82802316F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20200701 from 240 to 202.447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 R Brown</author>
  </authors>
  <commentList>
    <comment ref="K4" authorId="0" shapeId="0" xr:uid="{00000000-0006-0000-0800-000001000000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20191025</t>
        </r>
      </text>
    </comment>
    <comment ref="K17" authorId="0" shapeId="0" xr:uid="{87FC9D05-4366-BA43-BDC1-FA12A514B6ED}">
      <text>
        <r>
          <rPr>
            <b/>
            <sz val="10"/>
            <color rgb="FF000000"/>
            <rFont val="Tahoma"/>
            <family val="2"/>
          </rPr>
          <t>Patrick R Brown: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Changed 20191025</t>
        </r>
      </text>
    </comment>
  </commentList>
</comments>
</file>

<file path=xl/sharedStrings.xml><?xml version="1.0" encoding="utf-8"?>
<sst xmlns="http://schemas.openxmlformats.org/spreadsheetml/2006/main" count="972" uniqueCount="324">
  <si>
    <t>Technology</t>
  </si>
  <si>
    <t>PV_track</t>
  </si>
  <si>
    <t>PV_fixed</t>
  </si>
  <si>
    <t>Annuitized investment cost</t>
  </si>
  <si>
    <t>CRF</t>
  </si>
  <si>
    <t>[fraction]</t>
  </si>
  <si>
    <t>[percent]</t>
  </si>
  <si>
    <t>OCGT</t>
  </si>
  <si>
    <t>CCGT</t>
  </si>
  <si>
    <t>Nuclear</t>
  </si>
  <si>
    <t>Wind</t>
  </si>
  <si>
    <t>FOM</t>
  </si>
  <si>
    <t>VOM</t>
  </si>
  <si>
    <t>Heat rate</t>
  </si>
  <si>
    <t>Ramp rate down</t>
  </si>
  <si>
    <t>Fuel</t>
  </si>
  <si>
    <t>Cost</t>
  </si>
  <si>
    <t>CO2 emissions rate</t>
  </si>
  <si>
    <t>Ramp rate up</t>
  </si>
  <si>
    <t>Minimum generation</t>
  </si>
  <si>
    <t>Energy capacity</t>
  </si>
  <si>
    <t>[hours]</t>
  </si>
  <si>
    <t>Charge efficiency</t>
  </si>
  <si>
    <t>Discharge efficiency</t>
  </si>
  <si>
    <t>Self discharge per hour</t>
  </si>
  <si>
    <t>uranium</t>
  </si>
  <si>
    <t>naturalgas</t>
  </si>
  <si>
    <t>[category]</t>
  </si>
  <si>
    <t>[M$/GWh]</t>
  </si>
  <si>
    <t>[GMBtu/GWh]</t>
  </si>
  <si>
    <t>[M$/GMBtu]</t>
  </si>
  <si>
    <t>t/GMBtu</t>
  </si>
  <si>
    <t>wacc</t>
  </si>
  <si>
    <t>Lifetime</t>
  </si>
  <si>
    <t>[years]</t>
  </si>
  <si>
    <t>Source</t>
  </si>
  <si>
    <t>ATB2018-2030-capex</t>
  </si>
  <si>
    <t>https://www.eia.gov/environment/emissions/co2_vol_mass.php</t>
  </si>
  <si>
    <t>Source_cost</t>
  </si>
  <si>
    <t>Soruce_heatrate</t>
  </si>
  <si>
    <t>ATB2018-2030-capex, mid</t>
  </si>
  <si>
    <t>ATB2018-2030-capex, mid; $/MW values scaled by ratio with 8hr battery</t>
  </si>
  <si>
    <t>none</t>
  </si>
  <si>
    <t>[M$/GWac]</t>
  </si>
  <si>
    <t>[M$/GW-yr]</t>
  </si>
  <si>
    <t>[M$/GWyr]</t>
  </si>
  <si>
    <t>[M$/GW]</t>
  </si>
  <si>
    <t>cost_capex</t>
  </si>
  <si>
    <t>cost_fom</t>
  </si>
  <si>
    <t>cost_vom</t>
  </si>
  <si>
    <t>heatrate</t>
  </si>
  <si>
    <t>ramp_up</t>
  </si>
  <si>
    <t>ramp_down</t>
  </si>
  <si>
    <t>gen_min</t>
  </si>
  <si>
    <t>efficiency_charge</t>
  </si>
  <si>
    <t>efficiency_discharge</t>
  </si>
  <si>
    <t>leakage_rate</t>
  </si>
  <si>
    <t>discharge_time</t>
  </si>
  <si>
    <t>cost</t>
  </si>
  <si>
    <t>co2_emissions</t>
  </si>
  <si>
    <t>fuel</t>
  </si>
  <si>
    <t>cost_annual</t>
  </si>
  <si>
    <t>cost_capex_E</t>
  </si>
  <si>
    <t>Capex cost (power)</t>
  </si>
  <si>
    <t>Capex cost (energy)</t>
  </si>
  <si>
    <t>Capex cost</t>
  </si>
  <si>
    <t>lifetime</t>
  </si>
  <si>
    <t>Weighted Average Cost of Capital</t>
  </si>
  <si>
    <t>cost_capex_P</t>
  </si>
  <si>
    <t>Li_2020_mid</t>
  </si>
  <si>
    <t>Li_2025_mid</t>
  </si>
  <si>
    <t>Li_2030_mid</t>
  </si>
  <si>
    <t>Li_2050_mid</t>
  </si>
  <si>
    <t>Li_2020_low</t>
  </si>
  <si>
    <t>Li_2025_low</t>
  </si>
  <si>
    <t>Li_2030_low</t>
  </si>
  <si>
    <t>Li_2050_low</t>
  </si>
  <si>
    <t>Li_2020_high</t>
  </si>
  <si>
    <t>Li_2025_high</t>
  </si>
  <si>
    <t>Li_2030_high</t>
  </si>
  <si>
    <t>Li_2050_high</t>
  </si>
  <si>
    <t>cost_annual_E</t>
  </si>
  <si>
    <t>cost_annual_P</t>
  </si>
  <si>
    <t>Annuitized energy cost</t>
  </si>
  <si>
    <t>Annuitized capacity cost</t>
  </si>
  <si>
    <t>[M$/GWh-yr]</t>
  </si>
  <si>
    <t>Li</t>
  </si>
  <si>
    <t>Fu 2018 and Denholm 2017</t>
  </si>
  <si>
    <t>ERCOT VOLL</t>
  </si>
  <si>
    <t>Li_2018</t>
  </si>
  <si>
    <t>Cole 2019 - Cost projections</t>
  </si>
  <si>
    <t>Li_2015_mid_atb</t>
  </si>
  <si>
    <t>Li_2020_mid_atb</t>
  </si>
  <si>
    <t>Li_2025_mid_atb</t>
  </si>
  <si>
    <t>Li_2030_mid_atb</t>
  </si>
  <si>
    <t>Li_2035_mid_atb</t>
  </si>
  <si>
    <t>Li_2040_mid_atb</t>
  </si>
  <si>
    <t>Li_2045_mid_atb</t>
  </si>
  <si>
    <t>Li_2050_mid_atb</t>
  </si>
  <si>
    <t>Li_2015_low_atb</t>
  </si>
  <si>
    <t>Li_2020_low_atb</t>
  </si>
  <si>
    <t>Li_2025_low_atb</t>
  </si>
  <si>
    <t>Li_2030_low_atb</t>
  </si>
  <si>
    <t>Li_2035_low_atb</t>
  </si>
  <si>
    <t>Li_2040_low_atb</t>
  </si>
  <si>
    <t>Li_2045_low_atb</t>
  </si>
  <si>
    <t>Li_2050_low_atb</t>
  </si>
  <si>
    <t>Li_2015_high_atb</t>
  </si>
  <si>
    <t>Li_2020_high_atb</t>
  </si>
  <si>
    <t>Li_2025_high_atb</t>
  </si>
  <si>
    <t>Li_2030_high_atb</t>
  </si>
  <si>
    <t>Li_2035_high_atb</t>
  </si>
  <si>
    <t>Li_2040_high_atb</t>
  </si>
  <si>
    <t>Li_2045_high_atb</t>
  </si>
  <si>
    <t>Li_2050_high_atb</t>
  </si>
  <si>
    <t>[.]</t>
  </si>
  <si>
    <t>Dollar year for costs</t>
  </si>
  <si>
    <t>inflator_year</t>
  </si>
  <si>
    <t>inflator_value</t>
  </si>
  <si>
    <t>dollaryear_input</t>
  </si>
  <si>
    <t>dollaryear_output</t>
  </si>
  <si>
    <t>Dollaryear</t>
  </si>
  <si>
    <t>Li_2030_mid_atb_1hr</t>
  </si>
  <si>
    <t>Li_2030_mid_atb_2hr</t>
  </si>
  <si>
    <t>Li_2030_mid_atb_4hr</t>
  </si>
  <si>
    <t>Li_2030_mid_atb_8hr</t>
  </si>
  <si>
    <t>Li_2030_mid_atb_12hr</t>
  </si>
  <si>
    <t>Li_2018_1hr</t>
  </si>
  <si>
    <t>Li_2018_2hr</t>
  </si>
  <si>
    <t>Li_2018_4hr</t>
  </si>
  <si>
    <t>Li_2018_12hr</t>
  </si>
  <si>
    <t>Li_2018_8hr</t>
  </si>
  <si>
    <t>Fu 2018; FOM from Cole 2019 projections</t>
  </si>
  <si>
    <t>PV_track_2017</t>
  </si>
  <si>
    <t>PV_track_2030_mid</t>
  </si>
  <si>
    <t>PV_track_2030_low</t>
  </si>
  <si>
    <t>OCGT_2017</t>
  </si>
  <si>
    <t>OCGT_2030_mid</t>
  </si>
  <si>
    <t>Wind_2017</t>
  </si>
  <si>
    <t>Wind_2030_mid</t>
  </si>
  <si>
    <t>ATB2019-2030-mid</t>
  </si>
  <si>
    <t>Wind_2030_low</t>
  </si>
  <si>
    <t>OCGT_2030_low</t>
  </si>
  <si>
    <t>CCGT_2017</t>
  </si>
  <si>
    <t>CCGT_2030_mid</t>
  </si>
  <si>
    <t>CCGT_2030_low</t>
  </si>
  <si>
    <t>PV_track_2040_mid</t>
  </si>
  <si>
    <t>PV_track_2040_low</t>
  </si>
  <si>
    <t>PV_track_2050_mid</t>
  </si>
  <si>
    <t>PV_track_2050_low</t>
  </si>
  <si>
    <t>Wind_2040_mid</t>
  </si>
  <si>
    <t>Wind_2040_low</t>
  </si>
  <si>
    <t>Wind_2050_mid</t>
  </si>
  <si>
    <t>Wind_2050_low</t>
  </si>
  <si>
    <t>Nuclear_2017</t>
  </si>
  <si>
    <t>Nuclear_2030</t>
  </si>
  <si>
    <t>Nuclear_2040</t>
  </si>
  <si>
    <t>Nuclear_2050</t>
  </si>
  <si>
    <t>ATB2019-2030</t>
  </si>
  <si>
    <t>OCGT_2040_mid</t>
  </si>
  <si>
    <t>OCGT_2040_low</t>
  </si>
  <si>
    <t>OCGT_2050_mid</t>
  </si>
  <si>
    <t>OCGT_2050_low</t>
  </si>
  <si>
    <t>CCGT_2040_mid</t>
  </si>
  <si>
    <t>CCGT_2040_low</t>
  </si>
  <si>
    <t>CCGT_2050_mid</t>
  </si>
  <si>
    <t>CCGT_2050_low</t>
  </si>
  <si>
    <t>Wind_off_2017</t>
  </si>
  <si>
    <t>Wind_off</t>
  </si>
  <si>
    <t>Wind_off_2030_mid</t>
  </si>
  <si>
    <t>Wind_off_2030_low</t>
  </si>
  <si>
    <t>Wind_off_2040_mid</t>
  </si>
  <si>
    <t>Wind_off_2040_low</t>
  </si>
  <si>
    <t>Wind_off_2050_mid</t>
  </si>
  <si>
    <t>Wind_off_2050_low</t>
  </si>
  <si>
    <t>Lostload</t>
  </si>
  <si>
    <t>cost_fom_P</t>
  </si>
  <si>
    <t>cost_fom_E</t>
  </si>
  <si>
    <t>FOM_P</t>
  </si>
  <si>
    <t>FOM_E</t>
  </si>
  <si>
    <t>[M$/GWhyr]</t>
  </si>
  <si>
    <t>Year </t>
  </si>
  <si>
    <t>Low </t>
  </si>
  <si>
    <t>Mid </t>
  </si>
  <si>
    <t>High </t>
  </si>
  <si>
    <t>2018 </t>
  </si>
  <si>
    <t>2019 </t>
  </si>
  <si>
    <t>2020 </t>
  </si>
  <si>
    <t>2021 </t>
  </si>
  <si>
    <t>2022 </t>
  </si>
  <si>
    <t>2023 </t>
  </si>
  <si>
    <t>2024 </t>
  </si>
  <si>
    <t>2025 </t>
  </si>
  <si>
    <t>2026 </t>
  </si>
  <si>
    <t>2027 </t>
  </si>
  <si>
    <t>2028 </t>
  </si>
  <si>
    <t>2029 </t>
  </si>
  <si>
    <t>2030 </t>
  </si>
  <si>
    <t>2031 </t>
  </si>
  <si>
    <t>2032 </t>
  </si>
  <si>
    <t>2033 </t>
  </si>
  <si>
    <t>2034 </t>
  </si>
  <si>
    <t>2035 </t>
  </si>
  <si>
    <t>2036 </t>
  </si>
  <si>
    <t>2037 </t>
  </si>
  <si>
    <t>2038 </t>
  </si>
  <si>
    <t>2039 </t>
  </si>
  <si>
    <t>2040 </t>
  </si>
  <si>
    <t>2041 </t>
  </si>
  <si>
    <t>2042 </t>
  </si>
  <si>
    <t>2043 </t>
  </si>
  <si>
    <t>2044 </t>
  </si>
  <si>
    <t>2045 </t>
  </si>
  <si>
    <t>2046 </t>
  </si>
  <si>
    <t>2047 </t>
  </si>
  <si>
    <t>2048 </t>
  </si>
  <si>
    <t>2049 </t>
  </si>
  <si>
    <t>Li_2040_mid</t>
  </si>
  <si>
    <t>Li_2040_low</t>
  </si>
  <si>
    <t>Cole2019_TableA2</t>
  </si>
  <si>
    <t>Norm</t>
  </si>
  <si>
    <t>4hr</t>
  </si>
  <si>
    <t>2050 </t>
  </si>
  <si>
    <t>Fu 2018, Denholm 2017, Cole2019 ratio</t>
  </si>
  <si>
    <t>PHS</t>
  </si>
  <si>
    <t>PNNL2019 disaggregated</t>
  </si>
  <si>
    <t>PHS_low</t>
  </si>
  <si>
    <t>PNNL2019 disaggregated, Trancik 2016</t>
  </si>
  <si>
    <t>PV_track_2025_mid</t>
  </si>
  <si>
    <t>PV_track_2025_low</t>
  </si>
  <si>
    <t>Wind_2025_mid</t>
  </si>
  <si>
    <t>Wind_2025_low</t>
  </si>
  <si>
    <t>DOE2018-HydropowerMarketReport</t>
  </si>
  <si>
    <t>Hydro_ROR</t>
  </si>
  <si>
    <t>Hydro_Res</t>
  </si>
  <si>
    <t>[M$/GW-km]</t>
  </si>
  <si>
    <t>NREL-ReEDS-2019</t>
  </si>
  <si>
    <t>[kV]</t>
  </si>
  <si>
    <t>voltage</t>
  </si>
  <si>
    <t>[fraction/km]</t>
  </si>
  <si>
    <t>cost_distance</t>
  </si>
  <si>
    <t>cost_fixed</t>
  </si>
  <si>
    <t>cost per distance</t>
  </si>
  <si>
    <t>fixed station cost</t>
  </si>
  <si>
    <t>DC</t>
  </si>
  <si>
    <t>[M$/GW-km-yr]</t>
  </si>
  <si>
    <t>loss_distance</t>
  </si>
  <si>
    <t>loss per km</t>
  </si>
  <si>
    <t>Nuclear_existing</t>
  </si>
  <si>
    <t>NEI2019</t>
  </si>
  <si>
    <t>naturalgas_2030_low</t>
  </si>
  <si>
    <t>naturalgas_2030_mid</t>
  </si>
  <si>
    <t>naturalgas_2030_high</t>
  </si>
  <si>
    <t>naturalgas_2025_low</t>
  </si>
  <si>
    <t>naturalgas_2025_mid</t>
  </si>
  <si>
    <t>naturalgas_2025_high</t>
  </si>
  <si>
    <t>naturalgas_2040_low</t>
  </si>
  <si>
    <t>naturalgas_2040_mid</t>
  </si>
  <si>
    <t>naturalgas_2040_high</t>
  </si>
  <si>
    <t>naturalgas_2050_low</t>
  </si>
  <si>
    <t>naturalgas_2050_mid</t>
  </si>
  <si>
    <t>naturalgas_2050_high</t>
  </si>
  <si>
    <t>naturalgas_2020_low</t>
  </si>
  <si>
    <t>naturalgas_2020_mid</t>
  </si>
  <si>
    <t>naturalgas_2020_high</t>
  </si>
  <si>
    <t>naturalgas_2017</t>
  </si>
  <si>
    <t>naturalgas_2018</t>
  </si>
  <si>
    <t>ATB2019</t>
  </si>
  <si>
    <t>ATB2019-2017-capex-marketfactors</t>
  </si>
  <si>
    <t>ATB2019-2030-capex-marketfactors</t>
  </si>
  <si>
    <t>ATB2019-2040-mid-marketfactors</t>
  </si>
  <si>
    <t>ATB2019-2040-low-marketfactors</t>
  </si>
  <si>
    <t>ATB2019-2050-mid-marketfactors</t>
  </si>
  <si>
    <t>ATB2019-2050-low-marketfactors</t>
  </si>
  <si>
    <t>ATB2019-2030-mid-marketfactors</t>
  </si>
  <si>
    <t>ATB2019-2030-low-marketfactors</t>
  </si>
  <si>
    <t>ATB2019-2040-mid-TRG5-marketfactors</t>
  </si>
  <si>
    <t>ATB2019-2040-low-TRG5-marketfactors</t>
  </si>
  <si>
    <t>ATB2019-2050-mid-TRG5-marketfactors</t>
  </si>
  <si>
    <t>ATB2019-2050-low-TRG5-marketfactors</t>
  </si>
  <si>
    <t>ATB2019-2017-capex-TRG3-marketfactors</t>
  </si>
  <si>
    <t>ATB2019-2030-mid-TRG3-marketfactors</t>
  </si>
  <si>
    <t>ATB2019-2030-low-TRG3-marketfactors</t>
  </si>
  <si>
    <t>ATB2019-2040-mid-TRG3-marketfactors</t>
  </si>
  <si>
    <t>ATB2019-2040-low-TRG3-marketfactors</t>
  </si>
  <si>
    <t>ATB2019-2050-mid-TRG3-marketfactors</t>
  </si>
  <si>
    <t>ATB2019-2050-low-TRG3-marketfactors</t>
  </si>
  <si>
    <t>Nuclear_vogtle</t>
  </si>
  <si>
    <t>ATB2019-2030-marketfactors</t>
  </si>
  <si>
    <t>ATB2019-2040-marketfactors</t>
  </si>
  <si>
    <t>ATB2019-2050-marketfactors</t>
  </si>
  <si>
    <t>ATB2019-2025-mid-capex-marketfactors</t>
  </si>
  <si>
    <t>ATB2019-2025-low-capex-marketfactors</t>
  </si>
  <si>
    <t>https://www.powermag.com/georgia-psc-backs-additional-costs-for-vogtle-nuclear-project/</t>
  </si>
  <si>
    <t>https://www.oecd-nea.org/ndd/pubs/2015/7057-proj-costs-electricity-2015.pdf</t>
  </si>
  <si>
    <t>Nuclear_NEA_USA_7</t>
  </si>
  <si>
    <t>Nuclear_NEA_Korea_7</t>
  </si>
  <si>
    <t>None</t>
  </si>
  <si>
    <t>Nuclear_4</t>
  </si>
  <si>
    <t>Nuclear_5</t>
  </si>
  <si>
    <t>Li_2018_5x</t>
  </si>
  <si>
    <t>Real after-tax WACC</t>
  </si>
  <si>
    <t>PV_track_2045_mid</t>
  </si>
  <si>
    <t>Wind_2045_mid</t>
  </si>
  <si>
    <t>Li_2045_mid</t>
  </si>
  <si>
    <t>OCGT_2045_mid</t>
  </si>
  <si>
    <t>CCGT_2045_mid</t>
  </si>
  <si>
    <t>Nuclear_2045</t>
  </si>
  <si>
    <t>PHS_20</t>
  </si>
  <si>
    <t>PNNL2019 disaggregated, arbitrary</t>
  </si>
  <si>
    <t>PHS_10</t>
  </si>
  <si>
    <t>reserves</t>
  </si>
  <si>
    <t>Provides reserves</t>
  </si>
  <si>
    <t>[boolean]</t>
  </si>
  <si>
    <t>naturalgas_2MMbtu</t>
  </si>
  <si>
    <t>naturalgas_3MMbtu</t>
  </si>
  <si>
    <t>naturalgas_4MMbtu</t>
  </si>
  <si>
    <t>naturalgas_5MMbtu</t>
  </si>
  <si>
    <t>naturalgas_6MMbtu</t>
  </si>
  <si>
    <t>naturalgas_7MMbtu</t>
  </si>
  <si>
    <t>naturalgas_8MMbtu</t>
  </si>
  <si>
    <t>naturalgas_9MMbtu</t>
  </si>
  <si>
    <t>naturalgas_10MMbtu</t>
  </si>
  <si>
    <t>PHS_0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</si>
</sst>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ecd-nea.org/ndd/pubs/2015/7057-proj-costs-electricity-2015.pdf" TargetMode="External"/><Relationship Id="rId2" Type="http://schemas.openxmlformats.org/officeDocument/2006/relationships/hyperlink" Target="https://www.oecd-nea.org/ndd/pubs/2015/7057-proj-costs-electricity-2015.pdf" TargetMode="External"/><Relationship Id="rId1" Type="http://schemas.openxmlformats.org/officeDocument/2006/relationships/hyperlink" Target="https://www.powermag.com/georgia-psc-backs-additional-costs-for-vogtle-nuclear-project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opLeftCell="A5" workbookViewId="0">
      <pane xSplit="1" topLeftCell="B1" activePane="topRight" state="frozen"/>
      <selection activeCell="A8" sqref="A8"/>
      <selection pane="topRight" activeCell="G25" sqref="G25"/>
    </sheetView>
  </sheetViews>
  <sheetFormatPr baseColWidth="10" defaultRowHeight="16"/>
  <cols>
    <col min="1" max="1" width="17.6640625" bestFit="1" customWidth="1"/>
    <col min="2" max="2" width="13.33203125" bestFit="1" customWidth="1"/>
    <col min="3" max="3" width="8" bestFit="1" customWidth="1"/>
    <col min="4" max="4" width="8.83203125" bestFit="1" customWidth="1"/>
    <col min="5" max="5" width="12.1640625" bestFit="1" customWidth="1"/>
    <col min="6" max="6" width="23.6640625" bestFit="1" customWidth="1"/>
    <col min="7" max="7" width="12.1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1.33203125" customWidth="1"/>
    <col min="13" max="13" width="9.83203125" bestFit="1" customWidth="1"/>
    <col min="14" max="14" width="19.33203125" customWidth="1"/>
  </cols>
  <sheetData>
    <row r="1" spans="1:16">
      <c r="A1" t="s">
        <v>0</v>
      </c>
      <c r="B1" t="s">
        <v>47</v>
      </c>
      <c r="C1" t="s">
        <v>66</v>
      </c>
      <c r="D1" t="s">
        <v>32</v>
      </c>
      <c r="E1" t="s">
        <v>4</v>
      </c>
      <c r="F1" t="s">
        <v>61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60</v>
      </c>
      <c r="N1" t="s">
        <v>35</v>
      </c>
      <c r="O1" t="s">
        <v>121</v>
      </c>
      <c r="P1" t="s">
        <v>311</v>
      </c>
    </row>
    <row r="2" spans="1:16">
      <c r="A2" t="s">
        <v>0</v>
      </c>
      <c r="B2" t="s">
        <v>65</v>
      </c>
      <c r="C2" t="s">
        <v>33</v>
      </c>
      <c r="D2" t="s">
        <v>301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">
        <v>312</v>
      </c>
    </row>
    <row r="3" spans="1:16">
      <c r="B3" t="s">
        <v>43</v>
      </c>
      <c r="C3" t="s">
        <v>34</v>
      </c>
      <c r="D3" t="s">
        <v>5</v>
      </c>
      <c r="E3" t="s">
        <v>5</v>
      </c>
      <c r="F3" t="s">
        <v>44</v>
      </c>
      <c r="G3" t="s">
        <v>45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">
        <v>313</v>
      </c>
    </row>
    <row r="4" spans="1:16">
      <c r="A4" t="s">
        <v>7</v>
      </c>
      <c r="B4">
        <v>916</v>
      </c>
      <c r="C4">
        <v>25</v>
      </c>
      <c r="D4">
        <v>4.4999999999999998E-2</v>
      </c>
      <c r="E4">
        <f>((D4*(1+D4)^C4)/((1+D4)^C4-1))</f>
        <v>6.7439028038694573E-2</v>
      </c>
      <c r="F4">
        <f>B4*E4</f>
        <v>61.774149683444229</v>
      </c>
      <c r="G4">
        <v>12</v>
      </c>
      <c r="H4">
        <v>7.0000000000000001E-3</v>
      </c>
      <c r="I4">
        <v>9.82</v>
      </c>
      <c r="J4">
        <v>1</v>
      </c>
      <c r="K4">
        <v>1</v>
      </c>
      <c r="L4">
        <v>0</v>
      </c>
      <c r="M4" t="s">
        <v>26</v>
      </c>
      <c r="N4" t="s">
        <v>268</v>
      </c>
      <c r="O4">
        <v>2017</v>
      </c>
      <c r="P4">
        <v>1</v>
      </c>
    </row>
    <row r="5" spans="1:16">
      <c r="A5" t="s">
        <v>136</v>
      </c>
      <c r="B5">
        <v>916</v>
      </c>
      <c r="C5">
        <v>25</v>
      </c>
      <c r="D5">
        <v>4.4999999999999998E-2</v>
      </c>
      <c r="E5">
        <f t="shared" ref="E5:E61" si="0">((D5*(1+D5)^C5)/((1+D5)^C5-1))</f>
        <v>6.7439028038694573E-2</v>
      </c>
      <c r="F5">
        <f>B5*E5</f>
        <v>61.774149683444229</v>
      </c>
      <c r="G5">
        <v>12</v>
      </c>
      <c r="H5">
        <v>7.0000000000000001E-3</v>
      </c>
      <c r="I5">
        <v>9.82</v>
      </c>
      <c r="J5">
        <v>1</v>
      </c>
      <c r="K5">
        <v>1</v>
      </c>
      <c r="L5">
        <v>0</v>
      </c>
      <c r="M5" t="s">
        <v>26</v>
      </c>
      <c r="N5" t="s">
        <v>268</v>
      </c>
      <c r="O5">
        <v>2017</v>
      </c>
      <c r="P5">
        <v>1</v>
      </c>
    </row>
    <row r="6" spans="1:16">
      <c r="A6" t="s">
        <v>137</v>
      </c>
      <c r="B6">
        <v>849</v>
      </c>
      <c r="C6">
        <v>25</v>
      </c>
      <c r="D6">
        <v>4.4999999999999998E-2</v>
      </c>
      <c r="E6">
        <f t="shared" si="0"/>
        <v>6.7439028038694573E-2</v>
      </c>
      <c r="F6">
        <f>B6*E6</f>
        <v>57.255734804851691</v>
      </c>
      <c r="G6">
        <v>12</v>
      </c>
      <c r="H6">
        <v>7.0000000000000001E-3</v>
      </c>
      <c r="I6">
        <v>9.01</v>
      </c>
      <c r="J6">
        <v>1</v>
      </c>
      <c r="K6">
        <v>1</v>
      </c>
      <c r="L6">
        <v>0</v>
      </c>
      <c r="M6" t="s">
        <v>26</v>
      </c>
      <c r="N6" t="s">
        <v>274</v>
      </c>
      <c r="O6">
        <v>2017</v>
      </c>
      <c r="P6">
        <v>1</v>
      </c>
    </row>
    <row r="7" spans="1:16">
      <c r="A7" t="s">
        <v>142</v>
      </c>
      <c r="B7">
        <v>849</v>
      </c>
      <c r="C7">
        <v>25</v>
      </c>
      <c r="D7">
        <v>4.4999999999999998E-2</v>
      </c>
      <c r="E7">
        <f t="shared" si="0"/>
        <v>6.7439028038694573E-2</v>
      </c>
      <c r="F7">
        <f>B7*E7</f>
        <v>57.255734804851691</v>
      </c>
      <c r="G7">
        <v>12</v>
      </c>
      <c r="H7">
        <v>7.0000000000000001E-3</v>
      </c>
      <c r="I7">
        <v>9.01</v>
      </c>
      <c r="J7">
        <v>1</v>
      </c>
      <c r="K7">
        <v>1</v>
      </c>
      <c r="L7">
        <v>0</v>
      </c>
      <c r="M7" t="s">
        <v>26</v>
      </c>
      <c r="N7" t="s">
        <v>275</v>
      </c>
      <c r="O7">
        <v>2017</v>
      </c>
      <c r="P7">
        <v>1</v>
      </c>
    </row>
    <row r="8" spans="1:16">
      <c r="A8" t="s">
        <v>159</v>
      </c>
      <c r="B8">
        <v>822</v>
      </c>
      <c r="C8">
        <v>25</v>
      </c>
      <c r="D8">
        <v>4.4999999999999998E-2</v>
      </c>
      <c r="E8">
        <f t="shared" si="0"/>
        <v>6.7439028038694573E-2</v>
      </c>
      <c r="F8">
        <f t="shared" ref="F8:F11" si="1">B8*E8</f>
        <v>55.43488104780694</v>
      </c>
      <c r="G8">
        <v>12</v>
      </c>
      <c r="H8">
        <v>7.0000000000000001E-3</v>
      </c>
      <c r="I8">
        <v>9.08</v>
      </c>
      <c r="J8">
        <v>1</v>
      </c>
      <c r="K8">
        <v>1</v>
      </c>
      <c r="L8">
        <v>0</v>
      </c>
      <c r="M8" t="s">
        <v>26</v>
      </c>
      <c r="N8" s="1" t="s">
        <v>270</v>
      </c>
      <c r="O8">
        <v>2017</v>
      </c>
      <c r="P8">
        <v>1</v>
      </c>
    </row>
    <row r="9" spans="1:16">
      <c r="A9" t="s">
        <v>160</v>
      </c>
      <c r="B9">
        <v>822</v>
      </c>
      <c r="C9">
        <v>25</v>
      </c>
      <c r="D9">
        <v>4.4999999999999998E-2</v>
      </c>
      <c r="E9">
        <f t="shared" si="0"/>
        <v>6.7439028038694573E-2</v>
      </c>
      <c r="F9">
        <f t="shared" si="1"/>
        <v>55.43488104780694</v>
      </c>
      <c r="G9">
        <v>12</v>
      </c>
      <c r="H9">
        <v>7.0000000000000001E-3</v>
      </c>
      <c r="I9">
        <v>9.08</v>
      </c>
      <c r="J9">
        <v>1</v>
      </c>
      <c r="K9">
        <v>1</v>
      </c>
      <c r="L9">
        <v>0</v>
      </c>
      <c r="M9" t="s">
        <v>26</v>
      </c>
      <c r="N9" s="1" t="s">
        <v>271</v>
      </c>
      <c r="O9">
        <v>2017</v>
      </c>
      <c r="P9">
        <v>1</v>
      </c>
    </row>
    <row r="10" spans="1:16">
      <c r="A10" t="s">
        <v>161</v>
      </c>
      <c r="B10">
        <v>798</v>
      </c>
      <c r="C10">
        <v>25</v>
      </c>
      <c r="D10">
        <v>4.4999999999999998E-2</v>
      </c>
      <c r="E10">
        <f t="shared" si="0"/>
        <v>6.7439028038694573E-2</v>
      </c>
      <c r="F10">
        <f t="shared" si="1"/>
        <v>53.81634437487827</v>
      </c>
      <c r="G10">
        <v>12</v>
      </c>
      <c r="H10">
        <v>7.0000000000000001E-3</v>
      </c>
      <c r="I10">
        <v>9.08</v>
      </c>
      <c r="J10">
        <v>1</v>
      </c>
      <c r="K10">
        <v>1</v>
      </c>
      <c r="L10">
        <v>0</v>
      </c>
      <c r="M10" t="s">
        <v>26</v>
      </c>
      <c r="N10" s="1" t="s">
        <v>272</v>
      </c>
      <c r="O10">
        <v>2017</v>
      </c>
      <c r="P10">
        <v>1</v>
      </c>
    </row>
    <row r="11" spans="1:16">
      <c r="A11" t="s">
        <v>162</v>
      </c>
      <c r="B11">
        <v>798</v>
      </c>
      <c r="C11">
        <v>25</v>
      </c>
      <c r="D11">
        <v>4.4999999999999998E-2</v>
      </c>
      <c r="E11">
        <f t="shared" si="0"/>
        <v>6.7439028038694573E-2</v>
      </c>
      <c r="F11">
        <f t="shared" si="1"/>
        <v>53.81634437487827</v>
      </c>
      <c r="G11">
        <v>12</v>
      </c>
      <c r="H11">
        <v>7.0000000000000001E-3</v>
      </c>
      <c r="I11">
        <v>9.08</v>
      </c>
      <c r="J11">
        <v>1</v>
      </c>
      <c r="K11">
        <v>1</v>
      </c>
      <c r="L11">
        <v>0</v>
      </c>
      <c r="M11" t="s">
        <v>26</v>
      </c>
      <c r="N11" s="1" t="s">
        <v>273</v>
      </c>
      <c r="O11">
        <v>2017</v>
      </c>
      <c r="P11">
        <v>1</v>
      </c>
    </row>
    <row r="12" spans="1:16">
      <c r="A12" t="s">
        <v>8</v>
      </c>
      <c r="B12">
        <v>924</v>
      </c>
      <c r="C12">
        <v>25</v>
      </c>
      <c r="D12">
        <v>4.4999999999999998E-2</v>
      </c>
      <c r="E12">
        <f t="shared" si="0"/>
        <v>6.7439028038694573E-2</v>
      </c>
      <c r="F12">
        <f>B12*E12</f>
        <v>62.313661907753783</v>
      </c>
      <c r="G12">
        <v>11</v>
      </c>
      <c r="H12">
        <v>3.0000000000000001E-3</v>
      </c>
      <c r="I12">
        <v>6.45</v>
      </c>
      <c r="J12">
        <v>0.5</v>
      </c>
      <c r="K12">
        <v>0.5</v>
      </c>
      <c r="L12">
        <v>0</v>
      </c>
      <c r="M12" t="s">
        <v>26</v>
      </c>
      <c r="N12" t="s">
        <v>268</v>
      </c>
      <c r="O12">
        <v>2017</v>
      </c>
      <c r="P12">
        <v>1</v>
      </c>
    </row>
    <row r="13" spans="1:16">
      <c r="A13" t="s">
        <v>143</v>
      </c>
      <c r="B13">
        <v>924</v>
      </c>
      <c r="C13">
        <v>25</v>
      </c>
      <c r="D13">
        <v>4.4999999999999998E-2</v>
      </c>
      <c r="E13">
        <f t="shared" si="0"/>
        <v>6.7439028038694573E-2</v>
      </c>
      <c r="F13">
        <f>B13*E13</f>
        <v>62.313661907753783</v>
      </c>
      <c r="G13">
        <v>11</v>
      </c>
      <c r="H13">
        <v>3.0000000000000001E-3</v>
      </c>
      <c r="I13">
        <v>6.45</v>
      </c>
      <c r="J13">
        <v>0.5</v>
      </c>
      <c r="K13">
        <v>0.5</v>
      </c>
      <c r="L13">
        <v>0</v>
      </c>
      <c r="M13" t="s">
        <v>26</v>
      </c>
      <c r="N13" t="s">
        <v>268</v>
      </c>
      <c r="O13">
        <v>2017</v>
      </c>
      <c r="P13">
        <v>1</v>
      </c>
    </row>
    <row r="14" spans="1:16">
      <c r="A14" t="s">
        <v>144</v>
      </c>
      <c r="B14">
        <v>850</v>
      </c>
      <c r="C14">
        <v>25</v>
      </c>
      <c r="D14">
        <v>4.4999999999999998E-2</v>
      </c>
      <c r="E14">
        <f t="shared" si="0"/>
        <v>6.7439028038694573E-2</v>
      </c>
      <c r="F14">
        <f>B14*E14</f>
        <v>57.32317383289039</v>
      </c>
      <c r="G14">
        <v>11</v>
      </c>
      <c r="H14">
        <v>3.0000000000000001E-3</v>
      </c>
      <c r="I14">
        <v>6.26</v>
      </c>
      <c r="J14">
        <v>0.5</v>
      </c>
      <c r="K14">
        <v>0.5</v>
      </c>
      <c r="L14">
        <v>0</v>
      </c>
      <c r="M14" t="s">
        <v>26</v>
      </c>
      <c r="N14" t="s">
        <v>274</v>
      </c>
      <c r="O14">
        <v>2017</v>
      </c>
      <c r="P14">
        <v>1</v>
      </c>
    </row>
    <row r="15" spans="1:16">
      <c r="A15" t="s">
        <v>145</v>
      </c>
      <c r="B15">
        <v>850</v>
      </c>
      <c r="C15">
        <v>25</v>
      </c>
      <c r="D15">
        <v>4.4999999999999998E-2</v>
      </c>
      <c r="E15">
        <f t="shared" si="0"/>
        <v>6.7439028038694573E-2</v>
      </c>
      <c r="F15">
        <f>B15*E15</f>
        <v>57.32317383289039</v>
      </c>
      <c r="G15">
        <v>11</v>
      </c>
      <c r="H15">
        <v>3.0000000000000001E-3</v>
      </c>
      <c r="I15">
        <v>6.26</v>
      </c>
      <c r="J15">
        <v>0.5</v>
      </c>
      <c r="K15">
        <v>0.5</v>
      </c>
      <c r="L15">
        <v>0</v>
      </c>
      <c r="M15" t="s">
        <v>26</v>
      </c>
      <c r="N15" t="s">
        <v>275</v>
      </c>
      <c r="O15">
        <v>2017</v>
      </c>
      <c r="P15">
        <v>1</v>
      </c>
    </row>
    <row r="16" spans="1:16">
      <c r="A16" t="s">
        <v>163</v>
      </c>
      <c r="B16">
        <v>824</v>
      </c>
      <c r="C16">
        <v>25</v>
      </c>
      <c r="D16">
        <v>4.4999999999999998E-2</v>
      </c>
      <c r="E16">
        <f t="shared" si="0"/>
        <v>6.7439028038694573E-2</v>
      </c>
      <c r="F16">
        <f t="shared" ref="F16:F19" si="2">B16*E16</f>
        <v>55.56975910388433</v>
      </c>
      <c r="G16">
        <v>11</v>
      </c>
      <c r="H16">
        <v>3.0000000000000001E-3</v>
      </c>
      <c r="I16">
        <v>6.28</v>
      </c>
      <c r="J16">
        <v>0.5</v>
      </c>
      <c r="K16">
        <v>0.5</v>
      </c>
      <c r="L16">
        <v>0</v>
      </c>
      <c r="M16" t="s">
        <v>26</v>
      </c>
      <c r="N16" s="1" t="s">
        <v>270</v>
      </c>
      <c r="O16">
        <v>2017</v>
      </c>
      <c r="P16">
        <v>1</v>
      </c>
    </row>
    <row r="17" spans="1:16">
      <c r="A17" t="s">
        <v>164</v>
      </c>
      <c r="B17">
        <v>824</v>
      </c>
      <c r="C17">
        <v>25</v>
      </c>
      <c r="D17">
        <v>4.4999999999999998E-2</v>
      </c>
      <c r="E17">
        <f t="shared" si="0"/>
        <v>6.7439028038694573E-2</v>
      </c>
      <c r="F17">
        <f t="shared" si="2"/>
        <v>55.56975910388433</v>
      </c>
      <c r="G17">
        <v>11</v>
      </c>
      <c r="H17">
        <v>3.0000000000000001E-3</v>
      </c>
      <c r="I17">
        <v>6.28</v>
      </c>
      <c r="J17">
        <v>0.5</v>
      </c>
      <c r="K17">
        <v>0.5</v>
      </c>
      <c r="L17">
        <v>0</v>
      </c>
      <c r="M17" t="s">
        <v>26</v>
      </c>
      <c r="N17" s="1" t="s">
        <v>271</v>
      </c>
      <c r="O17">
        <v>2017</v>
      </c>
      <c r="P17">
        <v>1</v>
      </c>
    </row>
    <row r="18" spans="1:16">
      <c r="A18" t="s">
        <v>165</v>
      </c>
      <c r="B18">
        <v>798</v>
      </c>
      <c r="C18">
        <v>25</v>
      </c>
      <c r="D18">
        <v>4.4999999999999998E-2</v>
      </c>
      <c r="E18">
        <f t="shared" si="0"/>
        <v>6.7439028038694573E-2</v>
      </c>
      <c r="F18">
        <f t="shared" si="2"/>
        <v>53.81634437487827</v>
      </c>
      <c r="G18">
        <v>11</v>
      </c>
      <c r="H18">
        <v>3.0000000000000001E-3</v>
      </c>
      <c r="I18">
        <v>6.28</v>
      </c>
      <c r="J18">
        <v>0.5</v>
      </c>
      <c r="K18">
        <v>0.5</v>
      </c>
      <c r="L18">
        <v>0</v>
      </c>
      <c r="M18" t="s">
        <v>26</v>
      </c>
      <c r="N18" s="1" t="s">
        <v>272</v>
      </c>
      <c r="O18">
        <v>2017</v>
      </c>
      <c r="P18">
        <v>1</v>
      </c>
    </row>
    <row r="19" spans="1:16">
      <c r="A19" t="s">
        <v>166</v>
      </c>
      <c r="B19">
        <v>798</v>
      </c>
      <c r="C19">
        <v>25</v>
      </c>
      <c r="D19">
        <v>4.4999999999999998E-2</v>
      </c>
      <c r="E19">
        <f t="shared" si="0"/>
        <v>6.7439028038694573E-2</v>
      </c>
      <c r="F19">
        <f t="shared" si="2"/>
        <v>53.81634437487827</v>
      </c>
      <c r="G19">
        <v>11</v>
      </c>
      <c r="H19">
        <v>3.0000000000000001E-3</v>
      </c>
      <c r="I19">
        <v>6.28</v>
      </c>
      <c r="J19">
        <v>0.5</v>
      </c>
      <c r="K19">
        <v>0.5</v>
      </c>
      <c r="L19">
        <v>0</v>
      </c>
      <c r="M19" t="s">
        <v>26</v>
      </c>
      <c r="N19" s="1" t="s">
        <v>273</v>
      </c>
      <c r="O19">
        <v>2017</v>
      </c>
      <c r="P19">
        <v>1</v>
      </c>
    </row>
    <row r="20" spans="1:16">
      <c r="A20" t="s">
        <v>9</v>
      </c>
      <c r="B20">
        <v>6670</v>
      </c>
      <c r="C20">
        <v>40</v>
      </c>
      <c r="D20">
        <v>4.4999999999999998E-2</v>
      </c>
      <c r="E20">
        <f t="shared" si="0"/>
        <v>5.4343146609589395E-2</v>
      </c>
      <c r="F20">
        <f>B20*E20</f>
        <v>362.46878788596126</v>
      </c>
      <c r="G20">
        <v>101</v>
      </c>
      <c r="H20">
        <v>2E-3</v>
      </c>
      <c r="I20">
        <v>10.46</v>
      </c>
      <c r="J20">
        <v>0.05</v>
      </c>
      <c r="K20">
        <v>0.05</v>
      </c>
      <c r="L20">
        <v>0.85</v>
      </c>
      <c r="M20" t="s">
        <v>25</v>
      </c>
      <c r="N20" t="s">
        <v>268</v>
      </c>
      <c r="O20">
        <v>2017</v>
      </c>
      <c r="P20">
        <v>1</v>
      </c>
    </row>
    <row r="21" spans="1:16">
      <c r="A21" t="s">
        <v>154</v>
      </c>
      <c r="B21">
        <v>6670</v>
      </c>
      <c r="C21">
        <v>40</v>
      </c>
      <c r="D21">
        <v>4.4999999999999998E-2</v>
      </c>
      <c r="E21">
        <f t="shared" si="0"/>
        <v>5.4343146609589395E-2</v>
      </c>
      <c r="F21">
        <f>B21*E21</f>
        <v>362.46878788596126</v>
      </c>
      <c r="G21">
        <v>101</v>
      </c>
      <c r="H21">
        <v>2E-3</v>
      </c>
      <c r="I21">
        <v>10.46</v>
      </c>
      <c r="J21">
        <v>0.05</v>
      </c>
      <c r="K21">
        <v>0.05</v>
      </c>
      <c r="L21">
        <v>0.85</v>
      </c>
      <c r="M21" t="s">
        <v>25</v>
      </c>
      <c r="N21" t="s">
        <v>268</v>
      </c>
      <c r="O21">
        <v>2017</v>
      </c>
      <c r="P21">
        <v>1</v>
      </c>
    </row>
    <row r="22" spans="1:16">
      <c r="A22" t="s">
        <v>155</v>
      </c>
      <c r="B22">
        <v>6180</v>
      </c>
      <c r="C22">
        <v>40</v>
      </c>
      <c r="D22">
        <v>4.4999999999999998E-2</v>
      </c>
      <c r="E22">
        <f t="shared" si="0"/>
        <v>5.4343146609589395E-2</v>
      </c>
      <c r="F22">
        <f t="shared" ref="F22:F25" si="3">B22*E22</f>
        <v>335.84064604726245</v>
      </c>
      <c r="G22">
        <v>101</v>
      </c>
      <c r="H22">
        <v>2E-3</v>
      </c>
      <c r="I22">
        <v>10.46</v>
      </c>
      <c r="J22">
        <v>0.05</v>
      </c>
      <c r="K22">
        <v>0.05</v>
      </c>
      <c r="L22">
        <v>0.85</v>
      </c>
      <c r="M22" t="s">
        <v>25</v>
      </c>
      <c r="N22" t="s">
        <v>288</v>
      </c>
      <c r="O22">
        <v>2017</v>
      </c>
      <c r="P22">
        <v>1</v>
      </c>
    </row>
    <row r="23" spans="1:16">
      <c r="A23" t="s">
        <v>156</v>
      </c>
      <c r="B23">
        <v>5844</v>
      </c>
      <c r="C23">
        <v>40</v>
      </c>
      <c r="D23">
        <v>4.4999999999999998E-2</v>
      </c>
      <c r="E23">
        <f t="shared" si="0"/>
        <v>5.4343146609589395E-2</v>
      </c>
      <c r="F23">
        <f t="shared" si="3"/>
        <v>317.5813487864404</v>
      </c>
      <c r="G23">
        <v>101</v>
      </c>
      <c r="H23">
        <v>2E-3</v>
      </c>
      <c r="I23">
        <v>10.46</v>
      </c>
      <c r="J23">
        <v>0.05</v>
      </c>
      <c r="K23">
        <v>0.05</v>
      </c>
      <c r="L23">
        <v>0.85</v>
      </c>
      <c r="M23" t="s">
        <v>25</v>
      </c>
      <c r="N23" t="s">
        <v>289</v>
      </c>
      <c r="O23">
        <v>2017</v>
      </c>
      <c r="P23">
        <v>1</v>
      </c>
    </row>
    <row r="24" spans="1:16">
      <c r="A24" t="s">
        <v>157</v>
      </c>
      <c r="B24">
        <v>5471</v>
      </c>
      <c r="C24">
        <v>40</v>
      </c>
      <c r="D24">
        <v>4.4999999999999998E-2</v>
      </c>
      <c r="E24">
        <f t="shared" si="0"/>
        <v>5.4343146609589395E-2</v>
      </c>
      <c r="F24">
        <f t="shared" si="3"/>
        <v>297.31135510106355</v>
      </c>
      <c r="G24">
        <v>101</v>
      </c>
      <c r="H24">
        <v>2E-3</v>
      </c>
      <c r="I24">
        <v>10.46</v>
      </c>
      <c r="J24">
        <v>0.05</v>
      </c>
      <c r="K24">
        <v>0.05</v>
      </c>
      <c r="L24">
        <v>0.85</v>
      </c>
      <c r="M24" t="s">
        <v>25</v>
      </c>
      <c r="N24" t="s">
        <v>290</v>
      </c>
      <c r="O24">
        <v>2017</v>
      </c>
      <c r="P24">
        <v>1</v>
      </c>
    </row>
    <row r="25" spans="1:16">
      <c r="A25" t="s">
        <v>248</v>
      </c>
      <c r="B25">
        <v>0</v>
      </c>
      <c r="C25">
        <v>40</v>
      </c>
      <c r="D25">
        <v>4.4999999999999998E-2</v>
      </c>
      <c r="E25">
        <f t="shared" si="0"/>
        <v>5.4343146609589395E-2</v>
      </c>
      <c r="F25">
        <f t="shared" si="3"/>
        <v>0</v>
      </c>
      <c r="G25">
        <v>202.447</v>
      </c>
      <c r="H25">
        <v>2E-3</v>
      </c>
      <c r="I25">
        <v>10.46</v>
      </c>
      <c r="J25">
        <v>0.05</v>
      </c>
      <c r="K25">
        <v>0.05</v>
      </c>
      <c r="L25">
        <v>0.85</v>
      </c>
      <c r="M25" t="s">
        <v>25</v>
      </c>
      <c r="N25" t="s">
        <v>249</v>
      </c>
      <c r="O25">
        <v>2018</v>
      </c>
      <c r="P25">
        <v>1</v>
      </c>
    </row>
    <row r="26" spans="1:16">
      <c r="A26" t="s">
        <v>287</v>
      </c>
      <c r="B26">
        <f>(27500/2/1.117)</f>
        <v>12309.758281110117</v>
      </c>
      <c r="C26">
        <v>40</v>
      </c>
      <c r="D26">
        <v>4.4999999999999998E-2</v>
      </c>
      <c r="E26">
        <f t="shared" si="0"/>
        <v>5.4343146609589395E-2</v>
      </c>
      <c r="F26">
        <f>B26*E26</f>
        <v>668.95099899897423</v>
      </c>
      <c r="G26">
        <v>101</v>
      </c>
      <c r="H26">
        <v>2E-3</v>
      </c>
      <c r="I26">
        <v>10.46</v>
      </c>
      <c r="J26">
        <v>0.05</v>
      </c>
      <c r="K26">
        <v>0.05</v>
      </c>
      <c r="L26">
        <v>0.85</v>
      </c>
      <c r="M26" t="s">
        <v>25</v>
      </c>
      <c r="N26" s="4" t="s">
        <v>293</v>
      </c>
      <c r="O26">
        <v>2018</v>
      </c>
      <c r="P26">
        <v>1</v>
      </c>
    </row>
    <row r="27" spans="1:16">
      <c r="A27" t="s">
        <v>175</v>
      </c>
      <c r="B27">
        <v>0</v>
      </c>
      <c r="C27">
        <v>100</v>
      </c>
      <c r="D27">
        <v>4.4999999999999998E-2</v>
      </c>
      <c r="E27">
        <f t="shared" si="0"/>
        <v>4.5558392201505982E-2</v>
      </c>
      <c r="F27">
        <v>0</v>
      </c>
      <c r="G27">
        <v>0</v>
      </c>
      <c r="H27">
        <v>9</v>
      </c>
      <c r="I27">
        <v>0</v>
      </c>
      <c r="J27">
        <v>1</v>
      </c>
      <c r="K27">
        <v>1</v>
      </c>
      <c r="L27">
        <v>0</v>
      </c>
      <c r="M27" t="s">
        <v>42</v>
      </c>
      <c r="N27" s="1" t="s">
        <v>88</v>
      </c>
      <c r="O27">
        <v>2017</v>
      </c>
      <c r="P27">
        <v>1</v>
      </c>
    </row>
    <row r="28" spans="1:16">
      <c r="A28" t="s">
        <v>1</v>
      </c>
      <c r="B28">
        <f>1109*1.3</f>
        <v>1441.7</v>
      </c>
      <c r="C28">
        <v>25</v>
      </c>
      <c r="D28">
        <v>4.2000000000000003E-2</v>
      </c>
      <c r="E28">
        <f t="shared" si="0"/>
        <v>6.5372244616581671E-2</v>
      </c>
      <c r="F28">
        <f>B28*E28</f>
        <v>94.247165063725802</v>
      </c>
      <c r="G28">
        <f>20*1.3</f>
        <v>26</v>
      </c>
      <c r="H28">
        <v>0</v>
      </c>
      <c r="I28">
        <v>0</v>
      </c>
      <c r="J28">
        <v>1</v>
      </c>
      <c r="K28">
        <v>1</v>
      </c>
      <c r="L28">
        <v>0</v>
      </c>
      <c r="M28" t="s">
        <v>42</v>
      </c>
      <c r="N28" s="1" t="s">
        <v>268</v>
      </c>
      <c r="O28">
        <v>2017</v>
      </c>
      <c r="P28">
        <v>1</v>
      </c>
    </row>
    <row r="29" spans="1:16">
      <c r="A29" t="s">
        <v>2</v>
      </c>
      <c r="B29">
        <f>B28*1.03/1.11</f>
        <v>1337.7936936936935</v>
      </c>
      <c r="C29">
        <v>25</v>
      </c>
      <c r="D29">
        <v>4.2000000000000003E-2</v>
      </c>
      <c r="E29">
        <f t="shared" si="0"/>
        <v>6.5372244616581671E-2</v>
      </c>
      <c r="F29">
        <f>B29*E29</f>
        <v>87.454576590664459</v>
      </c>
      <c r="G29">
        <f>15*1.3</f>
        <v>19.5</v>
      </c>
      <c r="H29">
        <v>0</v>
      </c>
      <c r="I29">
        <v>0</v>
      </c>
      <c r="J29">
        <v>1</v>
      </c>
      <c r="K29">
        <v>1</v>
      </c>
      <c r="L29">
        <v>0</v>
      </c>
      <c r="M29" t="s">
        <v>42</v>
      </c>
      <c r="N29" s="1" t="s">
        <v>268</v>
      </c>
      <c r="O29">
        <v>2017</v>
      </c>
      <c r="P29">
        <v>1</v>
      </c>
    </row>
    <row r="30" spans="1:16">
      <c r="A30" t="s">
        <v>133</v>
      </c>
      <c r="B30">
        <f>1109*1.3</f>
        <v>1441.7</v>
      </c>
      <c r="C30">
        <v>25</v>
      </c>
      <c r="D30">
        <v>4.2000000000000003E-2</v>
      </c>
      <c r="E30">
        <f t="shared" si="0"/>
        <v>6.5372244616581671E-2</v>
      </c>
      <c r="F30">
        <f>B30*E30</f>
        <v>94.247165063725802</v>
      </c>
      <c r="G30">
        <f>20*1.3</f>
        <v>26</v>
      </c>
      <c r="H30">
        <v>0</v>
      </c>
      <c r="I30">
        <v>0</v>
      </c>
      <c r="J30">
        <v>1</v>
      </c>
      <c r="K30">
        <v>1</v>
      </c>
      <c r="L30">
        <v>0</v>
      </c>
      <c r="M30" t="s">
        <v>42</v>
      </c>
      <c r="N30" s="1" t="s">
        <v>268</v>
      </c>
      <c r="O30">
        <v>2017</v>
      </c>
      <c r="P30">
        <v>1</v>
      </c>
    </row>
    <row r="31" spans="1:16">
      <c r="A31" t="s">
        <v>228</v>
      </c>
      <c r="B31">
        <f>967*1.3</f>
        <v>1257.1000000000001</v>
      </c>
      <c r="C31">
        <v>25</v>
      </c>
      <c r="D31">
        <v>4.2000000000000003E-2</v>
      </c>
      <c r="E31">
        <f t="shared" si="0"/>
        <v>6.5372244616581671E-2</v>
      </c>
      <c r="F31">
        <f t="shared" ref="F31:F32" si="4">B31*E31</f>
        <v>82.179448707504832</v>
      </c>
      <c r="G31">
        <f>11*1.3</f>
        <v>14.3</v>
      </c>
      <c r="H31">
        <v>0</v>
      </c>
      <c r="I31">
        <v>0</v>
      </c>
      <c r="J31">
        <v>1</v>
      </c>
      <c r="K31">
        <v>1</v>
      </c>
      <c r="L31">
        <v>0</v>
      </c>
      <c r="M31" t="s">
        <v>42</v>
      </c>
      <c r="N31" s="1" t="s">
        <v>291</v>
      </c>
      <c r="O31">
        <v>2017</v>
      </c>
      <c r="P31">
        <v>1</v>
      </c>
    </row>
    <row r="32" spans="1:16">
      <c r="A32" t="s">
        <v>229</v>
      </c>
      <c r="B32">
        <f>732*1.3</f>
        <v>951.6</v>
      </c>
      <c r="C32">
        <v>25</v>
      </c>
      <c r="D32">
        <v>4.2000000000000003E-2</v>
      </c>
      <c r="E32">
        <f t="shared" si="0"/>
        <v>6.5372244616581671E-2</v>
      </c>
      <c r="F32">
        <f t="shared" si="4"/>
        <v>62.208227977139117</v>
      </c>
      <c r="G32">
        <f>9*1.3</f>
        <v>11.700000000000001</v>
      </c>
      <c r="H32">
        <v>0</v>
      </c>
      <c r="I32">
        <v>0</v>
      </c>
      <c r="J32">
        <v>1</v>
      </c>
      <c r="K32">
        <v>1</v>
      </c>
      <c r="L32">
        <v>0</v>
      </c>
      <c r="M32" t="s">
        <v>42</v>
      </c>
      <c r="N32" s="1" t="s">
        <v>292</v>
      </c>
      <c r="O32">
        <v>2017</v>
      </c>
      <c r="P32">
        <v>1</v>
      </c>
    </row>
    <row r="33" spans="1:16">
      <c r="A33" t="s">
        <v>134</v>
      </c>
      <c r="B33">
        <f>860*1.3</f>
        <v>1118</v>
      </c>
      <c r="C33">
        <v>25</v>
      </c>
      <c r="D33">
        <v>4.2000000000000003E-2</v>
      </c>
      <c r="E33">
        <f t="shared" si="0"/>
        <v>6.5372244616581671E-2</v>
      </c>
      <c r="F33">
        <f t="shared" ref="F33" si="5">B33*E33</f>
        <v>73.086169481338302</v>
      </c>
      <c r="G33">
        <f>10*1.3</f>
        <v>13</v>
      </c>
      <c r="H33">
        <v>0</v>
      </c>
      <c r="I33">
        <v>0</v>
      </c>
      <c r="J33">
        <v>1</v>
      </c>
      <c r="K33">
        <v>1</v>
      </c>
      <c r="L33">
        <v>0</v>
      </c>
      <c r="M33" t="s">
        <v>42</v>
      </c>
      <c r="N33" t="s">
        <v>269</v>
      </c>
      <c r="O33">
        <v>2017</v>
      </c>
      <c r="P33">
        <v>1</v>
      </c>
    </row>
    <row r="34" spans="1:16">
      <c r="A34" t="s">
        <v>135</v>
      </c>
      <c r="B34">
        <f>564*1.3</f>
        <v>733.2</v>
      </c>
      <c r="C34">
        <v>25</v>
      </c>
      <c r="D34">
        <v>4.2000000000000003E-2</v>
      </c>
      <c r="E34">
        <f t="shared" si="0"/>
        <v>6.5372244616581671E-2</v>
      </c>
      <c r="F34">
        <f t="shared" ref="F34" si="6">B34*E34</f>
        <v>47.930929752877681</v>
      </c>
      <c r="G34">
        <f>7*1.3</f>
        <v>9.1</v>
      </c>
      <c r="H34">
        <v>0</v>
      </c>
      <c r="I34">
        <v>0</v>
      </c>
      <c r="J34">
        <v>1</v>
      </c>
      <c r="K34">
        <v>1</v>
      </c>
      <c r="L34">
        <v>0</v>
      </c>
      <c r="M34" t="s">
        <v>42</v>
      </c>
      <c r="N34" t="s">
        <v>269</v>
      </c>
      <c r="O34">
        <v>2017</v>
      </c>
      <c r="P34">
        <v>1</v>
      </c>
    </row>
    <row r="35" spans="1:16">
      <c r="A35" t="s">
        <v>146</v>
      </c>
      <c r="B35">
        <f>765*1.3</f>
        <v>994.5</v>
      </c>
      <c r="C35">
        <v>25</v>
      </c>
      <c r="D35">
        <v>4.2000000000000003E-2</v>
      </c>
      <c r="E35">
        <f t="shared" si="0"/>
        <v>6.5372244616581671E-2</v>
      </c>
      <c r="F35">
        <f t="shared" ref="F35:F39" si="7">B35*E35</f>
        <v>65.012697271190476</v>
      </c>
      <c r="G35">
        <f>9*1.3</f>
        <v>11.700000000000001</v>
      </c>
      <c r="H35">
        <v>0</v>
      </c>
      <c r="I35">
        <v>0</v>
      </c>
      <c r="J35">
        <v>1</v>
      </c>
      <c r="K35">
        <v>1</v>
      </c>
      <c r="L35">
        <v>0</v>
      </c>
      <c r="M35" t="s">
        <v>42</v>
      </c>
      <c r="N35" s="1" t="s">
        <v>270</v>
      </c>
      <c r="O35">
        <v>2017</v>
      </c>
      <c r="P35">
        <v>1</v>
      </c>
    </row>
    <row r="36" spans="1:16">
      <c r="A36" t="s">
        <v>147</v>
      </c>
      <c r="B36">
        <f>422*1.3</f>
        <v>548.6</v>
      </c>
      <c r="C36">
        <v>25</v>
      </c>
      <c r="D36">
        <v>4.2000000000000003E-2</v>
      </c>
      <c r="E36">
        <f t="shared" si="0"/>
        <v>6.5372244616581671E-2</v>
      </c>
      <c r="F36">
        <f t="shared" si="7"/>
        <v>35.863213396656704</v>
      </c>
      <c r="G36">
        <f>5*1.3</f>
        <v>6.5</v>
      </c>
      <c r="H36">
        <v>0</v>
      </c>
      <c r="I36">
        <v>0</v>
      </c>
      <c r="J36">
        <v>1</v>
      </c>
      <c r="K36">
        <v>1</v>
      </c>
      <c r="L36">
        <v>0</v>
      </c>
      <c r="M36" t="s">
        <v>42</v>
      </c>
      <c r="N36" s="1" t="s">
        <v>271</v>
      </c>
      <c r="O36">
        <v>2017</v>
      </c>
      <c r="P36">
        <v>1</v>
      </c>
    </row>
    <row r="37" spans="1:16">
      <c r="A37" t="s">
        <v>148</v>
      </c>
      <c r="B37">
        <f>682*1.3</f>
        <v>886.6</v>
      </c>
      <c r="C37">
        <v>25</v>
      </c>
      <c r="D37">
        <v>4.2000000000000003E-2</v>
      </c>
      <c r="E37">
        <f t="shared" si="0"/>
        <v>6.5372244616581671E-2</v>
      </c>
      <c r="F37">
        <f t="shared" si="7"/>
        <v>57.959032077061309</v>
      </c>
      <c r="G37">
        <f>8*1.3</f>
        <v>10.4</v>
      </c>
      <c r="H37">
        <v>0</v>
      </c>
      <c r="I37">
        <v>0</v>
      </c>
      <c r="J37">
        <v>1</v>
      </c>
      <c r="K37">
        <v>1</v>
      </c>
      <c r="L37">
        <v>0</v>
      </c>
      <c r="M37" t="s">
        <v>42</v>
      </c>
      <c r="N37" s="1" t="s">
        <v>272</v>
      </c>
      <c r="O37">
        <v>2017</v>
      </c>
      <c r="P37">
        <v>1</v>
      </c>
    </row>
    <row r="38" spans="1:16">
      <c r="A38" t="s">
        <v>149</v>
      </c>
      <c r="B38">
        <f>355*1.3</f>
        <v>461.5</v>
      </c>
      <c r="C38">
        <v>25</v>
      </c>
      <c r="D38">
        <v>4.2000000000000003E-2</v>
      </c>
      <c r="E38">
        <f t="shared" si="0"/>
        <v>6.5372244616581671E-2</v>
      </c>
      <c r="F38">
        <f t="shared" si="7"/>
        <v>30.169290890552443</v>
      </c>
      <c r="G38">
        <f>4*1.3</f>
        <v>5.2</v>
      </c>
      <c r="H38">
        <v>0</v>
      </c>
      <c r="I38">
        <v>0</v>
      </c>
      <c r="J38">
        <v>1</v>
      </c>
      <c r="K38">
        <v>1</v>
      </c>
      <c r="L38">
        <v>0</v>
      </c>
      <c r="M38" t="s">
        <v>42</v>
      </c>
      <c r="N38" s="1" t="s">
        <v>273</v>
      </c>
      <c r="O38">
        <v>2017</v>
      </c>
      <c r="P38">
        <v>1</v>
      </c>
    </row>
    <row r="39" spans="1:16">
      <c r="A39" t="s">
        <v>10</v>
      </c>
      <c r="B39">
        <v>1623</v>
      </c>
      <c r="C39">
        <v>25</v>
      </c>
      <c r="D39">
        <v>4.2000000000000003E-2</v>
      </c>
      <c r="E39">
        <f t="shared" si="0"/>
        <v>6.5372244616581671E-2</v>
      </c>
      <c r="F39">
        <f t="shared" si="7"/>
        <v>106.09915301271205</v>
      </c>
      <c r="G39">
        <v>44</v>
      </c>
      <c r="H39">
        <v>1.0000000000000001E-5</v>
      </c>
      <c r="I39">
        <v>0</v>
      </c>
      <c r="J39">
        <v>1</v>
      </c>
      <c r="K39">
        <v>1</v>
      </c>
      <c r="L39">
        <v>0</v>
      </c>
      <c r="M39" t="s">
        <v>42</v>
      </c>
      <c r="N39" t="s">
        <v>268</v>
      </c>
      <c r="O39">
        <v>2017</v>
      </c>
      <c r="P39">
        <v>1</v>
      </c>
    </row>
    <row r="40" spans="1:16">
      <c r="A40" t="s">
        <v>138</v>
      </c>
      <c r="B40">
        <v>1623</v>
      </c>
      <c r="C40">
        <v>25</v>
      </c>
      <c r="D40">
        <v>4.2000000000000003E-2</v>
      </c>
      <c r="E40">
        <f t="shared" si="0"/>
        <v>6.5372244616581671E-2</v>
      </c>
      <c r="F40">
        <f t="shared" ref="F40:F42" si="8">B40*E40</f>
        <v>106.09915301271205</v>
      </c>
      <c r="G40">
        <v>44</v>
      </c>
      <c r="H40">
        <v>1.0000000000000001E-5</v>
      </c>
      <c r="I40">
        <v>0</v>
      </c>
      <c r="J40">
        <v>1</v>
      </c>
      <c r="K40">
        <v>1</v>
      </c>
      <c r="L40">
        <v>0</v>
      </c>
      <c r="M40" t="s">
        <v>42</v>
      </c>
      <c r="N40" t="s">
        <v>268</v>
      </c>
      <c r="O40">
        <v>2017</v>
      </c>
      <c r="P40">
        <v>1</v>
      </c>
    </row>
    <row r="41" spans="1:16">
      <c r="A41" t="s">
        <v>230</v>
      </c>
      <c r="B41">
        <v>1401</v>
      </c>
      <c r="C41">
        <v>25</v>
      </c>
      <c r="D41">
        <v>4.2000000000000003E-2</v>
      </c>
      <c r="E41">
        <f t="shared" si="0"/>
        <v>6.5372244616581671E-2</v>
      </c>
      <c r="F41">
        <f t="shared" si="8"/>
        <v>91.586514707830915</v>
      </c>
      <c r="G41">
        <v>41</v>
      </c>
      <c r="H41">
        <v>1.0000000000000001E-5</v>
      </c>
      <c r="I41">
        <v>0</v>
      </c>
      <c r="J41">
        <v>1</v>
      </c>
      <c r="K41">
        <v>1</v>
      </c>
      <c r="L41">
        <v>0</v>
      </c>
      <c r="M41" t="s">
        <v>42</v>
      </c>
      <c r="N41" t="s">
        <v>291</v>
      </c>
      <c r="O41">
        <v>2017</v>
      </c>
      <c r="P41">
        <v>1</v>
      </c>
    </row>
    <row r="42" spans="1:16">
      <c r="A42" t="s">
        <v>231</v>
      </c>
      <c r="B42">
        <v>1322</v>
      </c>
      <c r="C42">
        <v>25</v>
      </c>
      <c r="D42">
        <v>4.2000000000000003E-2</v>
      </c>
      <c r="E42">
        <f t="shared" si="0"/>
        <v>6.5372244616581671E-2</v>
      </c>
      <c r="F42">
        <f t="shared" si="8"/>
        <v>86.422107383120974</v>
      </c>
      <c r="G42">
        <v>38</v>
      </c>
      <c r="H42">
        <v>1.0000000000000001E-5</v>
      </c>
      <c r="I42">
        <v>0</v>
      </c>
      <c r="J42">
        <v>1</v>
      </c>
      <c r="K42">
        <v>1</v>
      </c>
      <c r="L42">
        <v>0</v>
      </c>
      <c r="M42" t="s">
        <v>42</v>
      </c>
      <c r="N42" t="s">
        <v>292</v>
      </c>
      <c r="O42">
        <v>2017</v>
      </c>
      <c r="P42">
        <v>1</v>
      </c>
    </row>
    <row r="43" spans="1:16">
      <c r="A43" t="s">
        <v>139</v>
      </c>
      <c r="B43">
        <v>1262</v>
      </c>
      <c r="C43">
        <v>25</v>
      </c>
      <c r="D43">
        <v>4.2000000000000003E-2</v>
      </c>
      <c r="E43">
        <f t="shared" si="0"/>
        <v>6.5372244616581671E-2</v>
      </c>
      <c r="F43">
        <f t="shared" ref="F43" si="9">B43*E43</f>
        <v>82.499772706126066</v>
      </c>
      <c r="G43">
        <v>39</v>
      </c>
      <c r="H43">
        <v>1.0000000000000001E-5</v>
      </c>
      <c r="I43">
        <v>0</v>
      </c>
      <c r="J43">
        <v>1</v>
      </c>
      <c r="K43">
        <v>1</v>
      </c>
      <c r="L43">
        <v>0</v>
      </c>
      <c r="M43" t="s">
        <v>42</v>
      </c>
      <c r="N43" t="s">
        <v>274</v>
      </c>
      <c r="O43">
        <v>2017</v>
      </c>
      <c r="P43">
        <v>1</v>
      </c>
    </row>
    <row r="44" spans="1:16">
      <c r="A44" t="s">
        <v>141</v>
      </c>
      <c r="B44">
        <v>1134</v>
      </c>
      <c r="C44">
        <v>25</v>
      </c>
      <c r="D44">
        <v>4.2000000000000003E-2</v>
      </c>
      <c r="E44">
        <f t="shared" si="0"/>
        <v>6.5372244616581671E-2</v>
      </c>
      <c r="F44">
        <f t="shared" ref="F44:F48" si="10">B44*E44</f>
        <v>74.132125395203616</v>
      </c>
      <c r="G44">
        <v>34</v>
      </c>
      <c r="H44">
        <v>1.0000000000000001E-5</v>
      </c>
      <c r="I44">
        <v>0</v>
      </c>
      <c r="J44">
        <v>1</v>
      </c>
      <c r="K44">
        <v>1</v>
      </c>
      <c r="L44">
        <v>0</v>
      </c>
      <c r="M44" t="s">
        <v>42</v>
      </c>
      <c r="N44" t="s">
        <v>275</v>
      </c>
      <c r="O44">
        <v>2017</v>
      </c>
      <c r="P44">
        <v>1</v>
      </c>
    </row>
    <row r="45" spans="1:16">
      <c r="A45" t="s">
        <v>150</v>
      </c>
      <c r="B45">
        <v>1144</v>
      </c>
      <c r="C45">
        <v>25</v>
      </c>
      <c r="D45">
        <v>4.2000000000000003E-2</v>
      </c>
      <c r="E45">
        <f t="shared" si="0"/>
        <v>6.5372244616581671E-2</v>
      </c>
      <c r="F45">
        <f t="shared" si="10"/>
        <v>74.785847841369431</v>
      </c>
      <c r="G45">
        <v>36</v>
      </c>
      <c r="H45">
        <v>1.0000000000000001E-5</v>
      </c>
      <c r="I45">
        <v>0</v>
      </c>
      <c r="J45">
        <v>1</v>
      </c>
      <c r="K45">
        <v>1</v>
      </c>
      <c r="L45">
        <v>0</v>
      </c>
      <c r="M45" t="s">
        <v>42</v>
      </c>
      <c r="N45" s="1" t="s">
        <v>276</v>
      </c>
      <c r="O45">
        <v>2017</v>
      </c>
      <c r="P45">
        <v>1</v>
      </c>
    </row>
    <row r="46" spans="1:16">
      <c r="A46" t="s">
        <v>151</v>
      </c>
      <c r="B46">
        <v>1012</v>
      </c>
      <c r="C46">
        <v>25</v>
      </c>
      <c r="D46">
        <v>4.2000000000000003E-2</v>
      </c>
      <c r="E46">
        <f t="shared" si="0"/>
        <v>6.5372244616581671E-2</v>
      </c>
      <c r="F46">
        <f t="shared" si="10"/>
        <v>66.156711551980649</v>
      </c>
      <c r="G46">
        <v>29</v>
      </c>
      <c r="H46">
        <v>1.0000000000000001E-5</v>
      </c>
      <c r="I46">
        <v>0</v>
      </c>
      <c r="J46">
        <v>1</v>
      </c>
      <c r="K46">
        <v>1</v>
      </c>
      <c r="L46">
        <v>0</v>
      </c>
      <c r="M46" t="s">
        <v>42</v>
      </c>
      <c r="N46" s="1" t="s">
        <v>277</v>
      </c>
      <c r="O46">
        <v>2017</v>
      </c>
      <c r="P46">
        <v>1</v>
      </c>
    </row>
    <row r="47" spans="1:16">
      <c r="A47" t="s">
        <v>152</v>
      </c>
      <c r="B47">
        <v>1019</v>
      </c>
      <c r="C47">
        <v>25</v>
      </c>
      <c r="D47">
        <v>4.2000000000000003E-2</v>
      </c>
      <c r="E47">
        <f t="shared" si="0"/>
        <v>6.5372244616581671E-2</v>
      </c>
      <c r="F47">
        <f t="shared" si="10"/>
        <v>66.614317264296716</v>
      </c>
      <c r="G47">
        <v>33</v>
      </c>
      <c r="H47">
        <v>1.0000000000000001E-5</v>
      </c>
      <c r="I47">
        <v>0</v>
      </c>
      <c r="J47">
        <v>1</v>
      </c>
      <c r="K47">
        <v>1</v>
      </c>
      <c r="L47">
        <v>0</v>
      </c>
      <c r="M47" t="s">
        <v>42</v>
      </c>
      <c r="N47" s="1" t="s">
        <v>278</v>
      </c>
      <c r="O47">
        <v>2017</v>
      </c>
      <c r="P47">
        <v>1</v>
      </c>
    </row>
    <row r="48" spans="1:16">
      <c r="A48" t="s">
        <v>153</v>
      </c>
      <c r="B48">
        <v>873</v>
      </c>
      <c r="C48">
        <v>25</v>
      </c>
      <c r="D48">
        <v>4.2000000000000003E-2</v>
      </c>
      <c r="E48">
        <f t="shared" si="0"/>
        <v>6.5372244616581671E-2</v>
      </c>
      <c r="F48">
        <f t="shared" si="10"/>
        <v>57.0699695502758</v>
      </c>
      <c r="G48">
        <v>24</v>
      </c>
      <c r="H48">
        <v>1.0000000000000001E-5</v>
      </c>
      <c r="I48">
        <v>0</v>
      </c>
      <c r="J48">
        <v>1</v>
      </c>
      <c r="K48">
        <v>1</v>
      </c>
      <c r="L48">
        <v>0</v>
      </c>
      <c r="M48" t="s">
        <v>42</v>
      </c>
      <c r="N48" s="1" t="s">
        <v>279</v>
      </c>
      <c r="O48">
        <v>2017</v>
      </c>
      <c r="P48">
        <v>1</v>
      </c>
    </row>
    <row r="49" spans="1:16">
      <c r="A49" t="s">
        <v>168</v>
      </c>
      <c r="B49">
        <v>3972</v>
      </c>
      <c r="C49">
        <v>25</v>
      </c>
      <c r="D49">
        <v>4.2000000000000003E-2</v>
      </c>
      <c r="E49">
        <f t="shared" si="0"/>
        <v>6.5372244616581671E-2</v>
      </c>
      <c r="F49">
        <f t="shared" ref="F49:F56" si="11">B49*E49</f>
        <v>259.6585556170624</v>
      </c>
      <c r="G49">
        <v>122</v>
      </c>
      <c r="H49">
        <v>1.0000000000000001E-5</v>
      </c>
      <c r="I49">
        <v>0</v>
      </c>
      <c r="J49">
        <v>1</v>
      </c>
      <c r="K49">
        <v>1</v>
      </c>
      <c r="L49">
        <v>0</v>
      </c>
      <c r="M49" t="s">
        <v>42</v>
      </c>
      <c r="N49" t="s">
        <v>280</v>
      </c>
      <c r="O49">
        <v>2017</v>
      </c>
      <c r="P49">
        <v>1</v>
      </c>
    </row>
    <row r="50" spans="1:16">
      <c r="A50" t="s">
        <v>167</v>
      </c>
      <c r="B50">
        <v>3972</v>
      </c>
      <c r="C50">
        <v>25</v>
      </c>
      <c r="D50">
        <v>4.2000000000000003E-2</v>
      </c>
      <c r="E50">
        <f t="shared" si="0"/>
        <v>6.5372244616581671E-2</v>
      </c>
      <c r="F50">
        <f t="shared" si="11"/>
        <v>259.6585556170624</v>
      </c>
      <c r="G50">
        <v>122</v>
      </c>
      <c r="H50">
        <v>1.0000000000000001E-5</v>
      </c>
      <c r="I50">
        <v>0</v>
      </c>
      <c r="J50">
        <v>1</v>
      </c>
      <c r="K50">
        <v>1</v>
      </c>
      <c r="L50">
        <v>0</v>
      </c>
      <c r="M50" t="s">
        <v>42</v>
      </c>
      <c r="N50" t="s">
        <v>280</v>
      </c>
      <c r="O50">
        <v>2017</v>
      </c>
      <c r="P50">
        <v>1</v>
      </c>
    </row>
    <row r="51" spans="1:16">
      <c r="A51" t="s">
        <v>169</v>
      </c>
      <c r="B51">
        <v>2783</v>
      </c>
      <c r="C51">
        <v>25</v>
      </c>
      <c r="D51">
        <v>4.2000000000000003E-2</v>
      </c>
      <c r="E51">
        <f t="shared" si="0"/>
        <v>6.5372244616581671E-2</v>
      </c>
      <c r="F51">
        <f t="shared" si="11"/>
        <v>181.93095676794678</v>
      </c>
      <c r="G51">
        <v>79</v>
      </c>
      <c r="H51">
        <v>1.0000000000000001E-5</v>
      </c>
      <c r="I51">
        <v>0</v>
      </c>
      <c r="J51">
        <v>1</v>
      </c>
      <c r="K51">
        <v>1</v>
      </c>
      <c r="L51">
        <v>0</v>
      </c>
      <c r="M51" t="s">
        <v>42</v>
      </c>
      <c r="N51" t="s">
        <v>281</v>
      </c>
      <c r="O51">
        <v>2017</v>
      </c>
      <c r="P51">
        <v>1</v>
      </c>
    </row>
    <row r="52" spans="1:16">
      <c r="A52" t="s">
        <v>170</v>
      </c>
      <c r="B52">
        <v>2227</v>
      </c>
      <c r="C52">
        <v>25</v>
      </c>
      <c r="D52">
        <v>4.2000000000000003E-2</v>
      </c>
      <c r="E52">
        <f t="shared" si="0"/>
        <v>6.5372244616581671E-2</v>
      </c>
      <c r="F52">
        <f t="shared" si="11"/>
        <v>145.58398876112739</v>
      </c>
      <c r="G52">
        <v>63</v>
      </c>
      <c r="H52">
        <v>1.0000000000000001E-5</v>
      </c>
      <c r="I52">
        <v>0</v>
      </c>
      <c r="J52">
        <v>1</v>
      </c>
      <c r="K52">
        <v>1</v>
      </c>
      <c r="L52">
        <v>0</v>
      </c>
      <c r="M52" t="s">
        <v>42</v>
      </c>
      <c r="N52" t="s">
        <v>282</v>
      </c>
      <c r="O52">
        <v>2017</v>
      </c>
      <c r="P52">
        <v>1</v>
      </c>
    </row>
    <row r="53" spans="1:16">
      <c r="A53" t="s">
        <v>171</v>
      </c>
      <c r="B53">
        <v>2146</v>
      </c>
      <c r="C53">
        <v>25</v>
      </c>
      <c r="D53">
        <v>4.2000000000000003E-2</v>
      </c>
      <c r="E53">
        <f t="shared" si="0"/>
        <v>6.5372244616581671E-2</v>
      </c>
      <c r="F53">
        <f t="shared" si="11"/>
        <v>140.28883694718428</v>
      </c>
      <c r="G53">
        <v>57</v>
      </c>
      <c r="H53">
        <v>1.0000000000000001E-5</v>
      </c>
      <c r="I53">
        <v>0</v>
      </c>
      <c r="J53">
        <v>1</v>
      </c>
      <c r="K53">
        <v>1</v>
      </c>
      <c r="L53">
        <v>0</v>
      </c>
      <c r="M53" t="s">
        <v>42</v>
      </c>
      <c r="N53" s="1" t="s">
        <v>283</v>
      </c>
      <c r="O53">
        <v>2017</v>
      </c>
      <c r="P53">
        <v>1</v>
      </c>
    </row>
    <row r="54" spans="1:16">
      <c r="A54" t="s">
        <v>172</v>
      </c>
      <c r="B54">
        <v>1716</v>
      </c>
      <c r="C54">
        <v>25</v>
      </c>
      <c r="D54">
        <v>4.2000000000000003E-2</v>
      </c>
      <c r="E54">
        <f t="shared" si="0"/>
        <v>6.5372244616581671E-2</v>
      </c>
      <c r="F54">
        <f t="shared" si="11"/>
        <v>112.17877176205414</v>
      </c>
      <c r="G54">
        <v>46</v>
      </c>
      <c r="H54">
        <v>1.0000000000000001E-5</v>
      </c>
      <c r="I54">
        <v>0</v>
      </c>
      <c r="J54">
        <v>1</v>
      </c>
      <c r="K54">
        <v>1</v>
      </c>
      <c r="L54">
        <v>0</v>
      </c>
      <c r="M54" t="s">
        <v>42</v>
      </c>
      <c r="N54" s="1" t="s">
        <v>284</v>
      </c>
      <c r="O54">
        <v>2017</v>
      </c>
      <c r="P54">
        <v>1</v>
      </c>
    </row>
    <row r="55" spans="1:16">
      <c r="A55" t="s">
        <v>173</v>
      </c>
      <c r="B55">
        <v>1676</v>
      </c>
      <c r="C55">
        <v>25</v>
      </c>
      <c r="D55">
        <v>4.2000000000000003E-2</v>
      </c>
      <c r="E55">
        <f t="shared" si="0"/>
        <v>6.5372244616581671E-2</v>
      </c>
      <c r="F55">
        <f t="shared" si="11"/>
        <v>109.56388197739088</v>
      </c>
      <c r="G55">
        <v>41</v>
      </c>
      <c r="H55">
        <v>1.0000000000000001E-5</v>
      </c>
      <c r="I55">
        <v>0</v>
      </c>
      <c r="J55">
        <v>1</v>
      </c>
      <c r="K55">
        <v>1</v>
      </c>
      <c r="L55">
        <v>0</v>
      </c>
      <c r="M55" t="s">
        <v>42</v>
      </c>
      <c r="N55" s="1" t="s">
        <v>285</v>
      </c>
      <c r="O55">
        <v>2017</v>
      </c>
      <c r="P55">
        <v>1</v>
      </c>
    </row>
    <row r="56" spans="1:16">
      <c r="A56" t="s">
        <v>174</v>
      </c>
      <c r="B56">
        <v>1341</v>
      </c>
      <c r="C56">
        <v>25</v>
      </c>
      <c r="D56">
        <v>4.2000000000000003E-2</v>
      </c>
      <c r="E56">
        <f t="shared" si="0"/>
        <v>6.5372244616581671E-2</v>
      </c>
      <c r="F56">
        <f t="shared" si="11"/>
        <v>87.664180030836022</v>
      </c>
      <c r="G56">
        <v>33</v>
      </c>
      <c r="H56">
        <v>1.0000000000000001E-5</v>
      </c>
      <c r="I56">
        <v>0</v>
      </c>
      <c r="J56">
        <v>1</v>
      </c>
      <c r="K56">
        <v>1</v>
      </c>
      <c r="L56">
        <v>0</v>
      </c>
      <c r="M56" t="s">
        <v>42</v>
      </c>
      <c r="N56" s="1" t="s">
        <v>286</v>
      </c>
      <c r="O56">
        <v>2017</v>
      </c>
      <c r="P56">
        <v>1</v>
      </c>
    </row>
    <row r="57" spans="1:16">
      <c r="A57" t="s">
        <v>233</v>
      </c>
      <c r="B57">
        <v>4700</v>
      </c>
      <c r="C57">
        <v>50</v>
      </c>
      <c r="D57">
        <v>1.9E-2</v>
      </c>
      <c r="E57">
        <f t="shared" si="0"/>
        <v>3.1157918907882748E-2</v>
      </c>
      <c r="F57">
        <f>B57*E57</f>
        <v>146.44221886704892</v>
      </c>
      <c r="G57">
        <v>35.22</v>
      </c>
      <c r="H57">
        <v>0</v>
      </c>
      <c r="I57">
        <v>0</v>
      </c>
      <c r="J57">
        <v>1</v>
      </c>
      <c r="K57">
        <v>1</v>
      </c>
      <c r="L57">
        <v>1</v>
      </c>
      <c r="M57" t="s">
        <v>42</v>
      </c>
      <c r="N57" t="s">
        <v>232</v>
      </c>
      <c r="O57">
        <v>2016</v>
      </c>
      <c r="P57">
        <v>1</v>
      </c>
    </row>
    <row r="58" spans="1:16">
      <c r="A58" t="s">
        <v>295</v>
      </c>
      <c r="B58">
        <v>5243</v>
      </c>
      <c r="C58">
        <v>40</v>
      </c>
      <c r="D58">
        <v>4.4999999999999998E-2</v>
      </c>
      <c r="E58">
        <f t="shared" si="0"/>
        <v>5.4343146609589395E-2</v>
      </c>
      <c r="F58">
        <f>B58*E58</f>
        <v>284.92111767407721</v>
      </c>
      <c r="G58">
        <v>101</v>
      </c>
      <c r="H58">
        <v>2E-3</v>
      </c>
      <c r="I58">
        <v>10.46</v>
      </c>
      <c r="J58">
        <v>0.05</v>
      </c>
      <c r="K58">
        <v>0.05</v>
      </c>
      <c r="L58">
        <v>0.85</v>
      </c>
      <c r="M58" t="s">
        <v>25</v>
      </c>
      <c r="N58" s="4" t="s">
        <v>294</v>
      </c>
      <c r="O58">
        <v>2013</v>
      </c>
      <c r="P58">
        <v>1</v>
      </c>
    </row>
    <row r="59" spans="1:16">
      <c r="A59" t="s">
        <v>296</v>
      </c>
      <c r="B59">
        <v>2400</v>
      </c>
      <c r="C59">
        <v>40</v>
      </c>
      <c r="D59">
        <v>4.4999999999999998E-2</v>
      </c>
      <c r="E59">
        <f t="shared" si="0"/>
        <v>5.4343146609589395E-2</v>
      </c>
      <c r="F59">
        <f>B59*E59</f>
        <v>130.42355186301455</v>
      </c>
      <c r="G59">
        <v>101</v>
      </c>
      <c r="H59">
        <v>2E-3</v>
      </c>
      <c r="I59">
        <v>10.46</v>
      </c>
      <c r="J59">
        <v>0.05</v>
      </c>
      <c r="K59">
        <v>0.05</v>
      </c>
      <c r="L59">
        <v>0.85</v>
      </c>
      <c r="M59" t="s">
        <v>25</v>
      </c>
      <c r="N59" s="4" t="s">
        <v>294</v>
      </c>
      <c r="O59">
        <v>2013</v>
      </c>
      <c r="P59">
        <v>1</v>
      </c>
    </row>
    <row r="60" spans="1:16">
      <c r="A60" t="s">
        <v>298</v>
      </c>
      <c r="B60">
        <v>4000</v>
      </c>
      <c r="C60">
        <v>40</v>
      </c>
      <c r="D60">
        <v>4.4999999999999998E-2</v>
      </c>
      <c r="E60">
        <f t="shared" si="0"/>
        <v>5.4343146609589395E-2</v>
      </c>
      <c r="F60">
        <f t="shared" ref="F60" si="12">B60*E60</f>
        <v>217.37258643835759</v>
      </c>
      <c r="G60">
        <v>101</v>
      </c>
      <c r="H60">
        <v>2E-3</v>
      </c>
      <c r="I60">
        <v>10.46</v>
      </c>
      <c r="J60">
        <v>0.05</v>
      </c>
      <c r="K60">
        <v>0.05</v>
      </c>
      <c r="L60">
        <v>0.85</v>
      </c>
      <c r="M60" t="s">
        <v>25</v>
      </c>
      <c r="N60" t="s">
        <v>297</v>
      </c>
      <c r="O60">
        <v>2017</v>
      </c>
      <c r="P60">
        <v>1</v>
      </c>
    </row>
    <row r="61" spans="1:16">
      <c r="A61" t="s">
        <v>299</v>
      </c>
      <c r="B61">
        <v>5000</v>
      </c>
      <c r="C61">
        <v>40</v>
      </c>
      <c r="D61">
        <v>4.4999999999999998E-2</v>
      </c>
      <c r="E61">
        <f t="shared" si="0"/>
        <v>5.4343146609589395E-2</v>
      </c>
      <c r="F61">
        <f t="shared" ref="F61:F66" si="13">B61*E61</f>
        <v>271.71573304794697</v>
      </c>
      <c r="G61">
        <v>101</v>
      </c>
      <c r="H61">
        <v>2E-3</v>
      </c>
      <c r="I61">
        <v>10.46</v>
      </c>
      <c r="J61">
        <v>0.05</v>
      </c>
      <c r="K61">
        <v>0.05</v>
      </c>
      <c r="L61">
        <v>0.85</v>
      </c>
      <c r="M61" t="s">
        <v>25</v>
      </c>
      <c r="N61" t="s">
        <v>297</v>
      </c>
      <c r="O61">
        <v>2017</v>
      </c>
      <c r="P61">
        <v>1</v>
      </c>
    </row>
    <row r="62" spans="1:16">
      <c r="A62" t="s">
        <v>302</v>
      </c>
      <c r="B62">
        <f>723*1.3</f>
        <v>939.9</v>
      </c>
      <c r="C62">
        <v>30</v>
      </c>
      <c r="D62">
        <v>7.0000000000000007E-2</v>
      </c>
      <c r="E62">
        <f t="shared" ref="E62:E66" si="14">((D62*(1+D62)^C62)/((1+D62)^C62-1))</f>
        <v>8.0586403511111196E-2</v>
      </c>
      <c r="F62">
        <f t="shared" si="13"/>
        <v>75.743160660093409</v>
      </c>
      <c r="G62">
        <f>8.5789497806314*1.3</f>
        <v>11.15263471482082</v>
      </c>
      <c r="H62">
        <v>0</v>
      </c>
      <c r="I62">
        <v>0</v>
      </c>
      <c r="J62">
        <v>1</v>
      </c>
      <c r="K62">
        <v>1</v>
      </c>
      <c r="L62">
        <v>0</v>
      </c>
      <c r="M62" t="s">
        <v>42</v>
      </c>
      <c r="N62" t="s">
        <v>269</v>
      </c>
      <c r="O62">
        <v>2017</v>
      </c>
      <c r="P62">
        <v>1</v>
      </c>
    </row>
    <row r="63" spans="1:16">
      <c r="A63" t="s">
        <v>303</v>
      </c>
      <c r="B63">
        <v>1082</v>
      </c>
      <c r="C63">
        <v>30</v>
      </c>
      <c r="D63">
        <v>7.0000000000000007E-2</v>
      </c>
      <c r="E63">
        <f t="shared" si="14"/>
        <v>8.0586403511111196E-2</v>
      </c>
      <c r="F63">
        <f t="shared" si="13"/>
        <v>87.194488599022307</v>
      </c>
      <c r="G63">
        <v>34.568125000000002</v>
      </c>
      <c r="H63">
        <v>1.0000000000000001E-5</v>
      </c>
      <c r="I63">
        <v>0</v>
      </c>
      <c r="J63">
        <v>1</v>
      </c>
      <c r="K63">
        <v>1</v>
      </c>
      <c r="L63">
        <v>0</v>
      </c>
      <c r="M63" t="s">
        <v>42</v>
      </c>
      <c r="N63" t="s">
        <v>274</v>
      </c>
      <c r="O63">
        <v>2017</v>
      </c>
      <c r="P63">
        <v>1</v>
      </c>
    </row>
    <row r="64" spans="1:16">
      <c r="A64" t="s">
        <v>305</v>
      </c>
      <c r="B64">
        <v>813</v>
      </c>
      <c r="C64">
        <v>30</v>
      </c>
      <c r="D64">
        <v>7.0000000000000007E-2</v>
      </c>
      <c r="E64">
        <f t="shared" si="14"/>
        <v>8.0586403511111196E-2</v>
      </c>
      <c r="F64">
        <f t="shared" si="13"/>
        <v>65.5167460545334</v>
      </c>
      <c r="G64">
        <v>12</v>
      </c>
      <c r="H64">
        <v>7.0000000000000001E-3</v>
      </c>
      <c r="I64">
        <v>9.08</v>
      </c>
      <c r="J64">
        <v>1</v>
      </c>
      <c r="K64">
        <v>1</v>
      </c>
      <c r="L64">
        <v>0</v>
      </c>
      <c r="M64" t="s">
        <v>26</v>
      </c>
      <c r="N64" s="1" t="s">
        <v>270</v>
      </c>
      <c r="O64">
        <v>2017</v>
      </c>
      <c r="P64">
        <v>1</v>
      </c>
    </row>
    <row r="65" spans="1:16">
      <c r="A65" t="s">
        <v>306</v>
      </c>
      <c r="B65">
        <v>815</v>
      </c>
      <c r="C65">
        <v>30</v>
      </c>
      <c r="D65">
        <v>7.0000000000000007E-2</v>
      </c>
      <c r="E65">
        <f t="shared" si="14"/>
        <v>8.0586403511111196E-2</v>
      </c>
      <c r="F65">
        <f t="shared" si="13"/>
        <v>65.677918861555625</v>
      </c>
      <c r="G65">
        <v>11</v>
      </c>
      <c r="H65">
        <v>3.0000000000000001E-3</v>
      </c>
      <c r="I65">
        <v>6.28</v>
      </c>
      <c r="J65">
        <v>0.5</v>
      </c>
      <c r="K65">
        <v>0.5</v>
      </c>
      <c r="L65">
        <v>0</v>
      </c>
      <c r="M65" t="s">
        <v>26</v>
      </c>
      <c r="N65" s="1" t="s">
        <v>272</v>
      </c>
      <c r="O65">
        <v>2017</v>
      </c>
      <c r="P65">
        <v>1</v>
      </c>
    </row>
    <row r="66" spans="1:16">
      <c r="A66" t="s">
        <v>307</v>
      </c>
      <c r="B66">
        <v>5682</v>
      </c>
      <c r="C66">
        <v>30</v>
      </c>
      <c r="D66">
        <v>7.0000000000000007E-2</v>
      </c>
      <c r="E66">
        <f t="shared" si="14"/>
        <v>8.0586403511111196E-2</v>
      </c>
      <c r="F66">
        <f t="shared" si="13"/>
        <v>457.8919447501338</v>
      </c>
      <c r="G66">
        <v>101</v>
      </c>
      <c r="H66">
        <v>2E-3</v>
      </c>
      <c r="I66">
        <v>10.46</v>
      </c>
      <c r="J66">
        <v>0.05</v>
      </c>
      <c r="K66">
        <v>0.05</v>
      </c>
      <c r="L66">
        <v>0.85</v>
      </c>
      <c r="M66" t="s">
        <v>25</v>
      </c>
      <c r="N66" t="s">
        <v>289</v>
      </c>
      <c r="O66">
        <v>2017</v>
      </c>
      <c r="P66">
        <v>1</v>
      </c>
    </row>
  </sheetData>
  <hyperlinks>
    <hyperlink ref="N26" r:id="rId1" xr:uid="{DFBF413F-BA0D-4248-A23C-E42F6CC48BFC}"/>
    <hyperlink ref="N58" r:id="rId2" xr:uid="{E56F9F98-1C75-B243-B9C1-6B04C577D29A}"/>
    <hyperlink ref="N59" r:id="rId3" xr:uid="{C432824C-A7F1-6A42-8341-4726C9A1C37F}"/>
  </hyperlinks>
  <pageMargins left="0.7" right="0.7" top="0.75" bottom="0.75" header="0.3" footer="0.3"/>
  <pageSetup orientation="portrait" horizontalDpi="0" verticalDpi="0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2"/>
  <sheetViews>
    <sheetView topLeftCell="A7" workbookViewId="0">
      <selection activeCell="C32" sqref="C32"/>
    </sheetView>
  </sheetViews>
  <sheetFormatPr baseColWidth="10" defaultRowHeight="16"/>
  <cols>
    <col min="1" max="1" width="19.5" bestFit="1" customWidth="1"/>
    <col min="2" max="2" width="11.83203125" bestFit="1" customWidth="1"/>
    <col min="4" max="4" width="17.1640625" bestFit="1" customWidth="1"/>
    <col min="5" max="5" width="55.6640625" bestFit="1" customWidth="1"/>
  </cols>
  <sheetData>
    <row r="1" spans="1:6">
      <c r="A1" t="s">
        <v>15</v>
      </c>
      <c r="B1" t="s">
        <v>58</v>
      </c>
      <c r="C1" t="s">
        <v>59</v>
      </c>
      <c r="D1" t="s">
        <v>38</v>
      </c>
      <c r="E1" t="s">
        <v>39</v>
      </c>
      <c r="F1" t="s">
        <v>121</v>
      </c>
    </row>
    <row r="2" spans="1:6">
      <c r="A2" t="s">
        <v>15</v>
      </c>
      <c r="B2" t="s">
        <v>16</v>
      </c>
      <c r="C2" t="s">
        <v>17</v>
      </c>
    </row>
    <row r="3" spans="1:6">
      <c r="B3" t="s">
        <v>30</v>
      </c>
      <c r="C3" t="s">
        <v>31</v>
      </c>
    </row>
    <row r="4" spans="1:6">
      <c r="A4" t="s">
        <v>26</v>
      </c>
      <c r="B4">
        <v>4.1099999999999999E-3</v>
      </c>
      <c r="C4">
        <v>53.07</v>
      </c>
      <c r="D4" t="s">
        <v>140</v>
      </c>
      <c r="E4" t="s">
        <v>37</v>
      </c>
      <c r="F4">
        <v>2017</v>
      </c>
    </row>
    <row r="5" spans="1:6">
      <c r="A5" t="s">
        <v>25</v>
      </c>
      <c r="B5">
        <v>6.6299999999999996E-4</v>
      </c>
      <c r="C5">
        <v>0</v>
      </c>
      <c r="D5" t="s">
        <v>158</v>
      </c>
      <c r="F5">
        <v>2017</v>
      </c>
    </row>
    <row r="6" spans="1:6">
      <c r="A6" t="s">
        <v>42</v>
      </c>
      <c r="B6">
        <v>0</v>
      </c>
      <c r="C6">
        <v>0</v>
      </c>
    </row>
    <row r="7" spans="1:6">
      <c r="A7" t="s">
        <v>265</v>
      </c>
      <c r="B7">
        <v>3.3900000000000002E-3</v>
      </c>
      <c r="C7">
        <v>53.07</v>
      </c>
      <c r="D7" t="s">
        <v>267</v>
      </c>
      <c r="E7" t="s">
        <v>37</v>
      </c>
      <c r="F7">
        <v>2017</v>
      </c>
    </row>
    <row r="8" spans="1:6">
      <c r="A8" t="s">
        <v>266</v>
      </c>
      <c r="B8">
        <v>3.3399999999999997E-3</v>
      </c>
      <c r="C8">
        <v>53.07</v>
      </c>
      <c r="D8" t="s">
        <v>267</v>
      </c>
      <c r="E8" t="s">
        <v>37</v>
      </c>
      <c r="F8">
        <v>2017</v>
      </c>
    </row>
    <row r="9" spans="1:6">
      <c r="A9" t="s">
        <v>262</v>
      </c>
      <c r="B9">
        <v>3.0400000000000002E-3</v>
      </c>
      <c r="C9">
        <v>53.07</v>
      </c>
      <c r="D9" t="s">
        <v>267</v>
      </c>
      <c r="E9" t="s">
        <v>37</v>
      </c>
      <c r="F9">
        <v>2017</v>
      </c>
    </row>
    <row r="10" spans="1:6">
      <c r="A10" t="s">
        <v>263</v>
      </c>
      <c r="B10">
        <v>3.3300000000000001E-3</v>
      </c>
      <c r="C10">
        <v>53.07</v>
      </c>
      <c r="D10" t="s">
        <v>267</v>
      </c>
      <c r="E10" t="s">
        <v>37</v>
      </c>
      <c r="F10">
        <v>2017</v>
      </c>
    </row>
    <row r="11" spans="1:6">
      <c r="A11" t="s">
        <v>264</v>
      </c>
      <c r="B11">
        <v>3.8500000000000001E-3</v>
      </c>
      <c r="C11">
        <v>53.07</v>
      </c>
      <c r="D11" t="s">
        <v>267</v>
      </c>
      <c r="E11" t="s">
        <v>37</v>
      </c>
      <c r="F11">
        <v>2017</v>
      </c>
    </row>
    <row r="12" spans="1:6">
      <c r="A12" t="s">
        <v>253</v>
      </c>
      <c r="B12">
        <v>3.32E-3</v>
      </c>
      <c r="C12">
        <v>53.07</v>
      </c>
      <c r="D12" t="s">
        <v>267</v>
      </c>
      <c r="E12" t="s">
        <v>37</v>
      </c>
      <c r="F12">
        <v>2017</v>
      </c>
    </row>
    <row r="13" spans="1:6">
      <c r="A13" t="s">
        <v>254</v>
      </c>
      <c r="B13">
        <v>3.9300000000000003E-3</v>
      </c>
      <c r="C13">
        <v>53.07</v>
      </c>
      <c r="D13" t="s">
        <v>267</v>
      </c>
      <c r="E13" t="s">
        <v>37</v>
      </c>
      <c r="F13">
        <v>2017</v>
      </c>
    </row>
    <row r="14" spans="1:6">
      <c r="A14" t="s">
        <v>255</v>
      </c>
      <c r="B14">
        <v>4.9699999999999996E-3</v>
      </c>
      <c r="C14">
        <v>53.07</v>
      </c>
      <c r="D14" t="s">
        <v>267</v>
      </c>
      <c r="E14" t="s">
        <v>37</v>
      </c>
      <c r="F14">
        <v>2017</v>
      </c>
    </row>
    <row r="15" spans="1:6">
      <c r="A15" t="s">
        <v>250</v>
      </c>
      <c r="B15">
        <v>3.3999999999999998E-3</v>
      </c>
      <c r="C15">
        <v>53.07</v>
      </c>
      <c r="D15" t="s">
        <v>267</v>
      </c>
      <c r="E15" t="s">
        <v>37</v>
      </c>
      <c r="F15">
        <v>2017</v>
      </c>
    </row>
    <row r="16" spans="1:6">
      <c r="A16" t="s">
        <v>251</v>
      </c>
      <c r="B16">
        <v>4.1099999999999999E-3</v>
      </c>
      <c r="C16">
        <v>53.07</v>
      </c>
      <c r="D16" t="s">
        <v>267</v>
      </c>
      <c r="E16" t="s">
        <v>37</v>
      </c>
      <c r="F16">
        <v>2017</v>
      </c>
    </row>
    <row r="17" spans="1:6">
      <c r="A17" t="s">
        <v>252</v>
      </c>
      <c r="B17">
        <v>5.8200000000000005E-3</v>
      </c>
      <c r="C17">
        <v>53.07</v>
      </c>
      <c r="D17" t="s">
        <v>267</v>
      </c>
      <c r="E17" t="s">
        <v>37</v>
      </c>
      <c r="F17">
        <v>2017</v>
      </c>
    </row>
    <row r="18" spans="1:6">
      <c r="A18" t="s">
        <v>256</v>
      </c>
      <c r="B18">
        <v>3.5699999999999998E-3</v>
      </c>
      <c r="C18">
        <v>53.07</v>
      </c>
      <c r="D18" t="s">
        <v>267</v>
      </c>
      <c r="E18" t="s">
        <v>37</v>
      </c>
      <c r="F18">
        <v>2017</v>
      </c>
    </row>
    <row r="19" spans="1:6">
      <c r="A19" t="s">
        <v>257</v>
      </c>
      <c r="B19">
        <v>4.5500000000000002E-3</v>
      </c>
      <c r="C19">
        <v>53.07</v>
      </c>
      <c r="D19" t="s">
        <v>267</v>
      </c>
      <c r="E19" t="s">
        <v>37</v>
      </c>
      <c r="F19">
        <v>2017</v>
      </c>
    </row>
    <row r="20" spans="1:6">
      <c r="A20" t="s">
        <v>258</v>
      </c>
      <c r="B20">
        <v>6.8099999999999992E-3</v>
      </c>
      <c r="C20">
        <v>53.07</v>
      </c>
      <c r="D20" t="s">
        <v>267</v>
      </c>
      <c r="E20" t="s">
        <v>37</v>
      </c>
      <c r="F20">
        <v>2017</v>
      </c>
    </row>
    <row r="21" spans="1:6">
      <c r="A21" t="s">
        <v>259</v>
      </c>
      <c r="B21">
        <v>3.81E-3</v>
      </c>
      <c r="C21">
        <v>53.07</v>
      </c>
      <c r="D21" t="s">
        <v>267</v>
      </c>
      <c r="E21" t="s">
        <v>37</v>
      </c>
      <c r="F21">
        <v>2017</v>
      </c>
    </row>
    <row r="22" spans="1:6">
      <c r="A22" t="s">
        <v>260</v>
      </c>
      <c r="B22">
        <v>5.2399999999999999E-3</v>
      </c>
      <c r="C22">
        <v>53.07</v>
      </c>
      <c r="D22" t="s">
        <v>267</v>
      </c>
      <c r="E22" t="s">
        <v>37</v>
      </c>
      <c r="F22">
        <v>2017</v>
      </c>
    </row>
    <row r="23" spans="1:6">
      <c r="A23" t="s">
        <v>261</v>
      </c>
      <c r="B23">
        <v>8.4200000000000004E-3</v>
      </c>
      <c r="C23">
        <v>53.07</v>
      </c>
      <c r="D23" t="s">
        <v>267</v>
      </c>
      <c r="E23" t="s">
        <v>37</v>
      </c>
      <c r="F23">
        <v>2017</v>
      </c>
    </row>
    <row r="24" spans="1:6">
      <c r="A24" t="s">
        <v>314</v>
      </c>
      <c r="B24">
        <v>2E-3</v>
      </c>
      <c r="C24">
        <v>53.07</v>
      </c>
      <c r="E24" t="s">
        <v>37</v>
      </c>
      <c r="F24">
        <v>2017</v>
      </c>
    </row>
    <row r="25" spans="1:6">
      <c r="A25" t="s">
        <v>315</v>
      </c>
      <c r="B25">
        <v>3.0000000000000001E-3</v>
      </c>
      <c r="C25">
        <v>53.07</v>
      </c>
      <c r="E25" t="s">
        <v>37</v>
      </c>
      <c r="F25">
        <v>2017</v>
      </c>
    </row>
    <row r="26" spans="1:6">
      <c r="A26" t="s">
        <v>316</v>
      </c>
      <c r="B26">
        <v>4.0000000000000001E-3</v>
      </c>
      <c r="C26">
        <v>53.07</v>
      </c>
      <c r="E26" t="s">
        <v>37</v>
      </c>
      <c r="F26">
        <v>2017</v>
      </c>
    </row>
    <row r="27" spans="1:6">
      <c r="A27" t="s">
        <v>317</v>
      </c>
      <c r="B27">
        <v>5.0000000000000001E-3</v>
      </c>
      <c r="C27">
        <v>53.07</v>
      </c>
      <c r="E27" t="s">
        <v>37</v>
      </c>
      <c r="F27">
        <v>2017</v>
      </c>
    </row>
    <row r="28" spans="1:6">
      <c r="A28" t="s">
        <v>318</v>
      </c>
      <c r="B28">
        <v>6.0000000000000001E-3</v>
      </c>
      <c r="C28">
        <v>53.07</v>
      </c>
      <c r="E28" t="s">
        <v>37</v>
      </c>
      <c r="F28">
        <v>2017</v>
      </c>
    </row>
    <row r="29" spans="1:6">
      <c r="A29" t="s">
        <v>319</v>
      </c>
      <c r="B29">
        <v>7.0000000000000001E-3</v>
      </c>
      <c r="C29">
        <v>53.07</v>
      </c>
      <c r="E29" t="s">
        <v>37</v>
      </c>
      <c r="F29">
        <v>2017</v>
      </c>
    </row>
    <row r="30" spans="1:6">
      <c r="A30" t="s">
        <v>320</v>
      </c>
      <c r="B30">
        <v>8.0000000000000002E-3</v>
      </c>
      <c r="C30">
        <v>53.07</v>
      </c>
      <c r="E30" t="s">
        <v>37</v>
      </c>
      <c r="F30">
        <v>2017</v>
      </c>
    </row>
    <row r="31" spans="1:6">
      <c r="A31" t="s">
        <v>321</v>
      </c>
      <c r="B31">
        <v>8.9999999999999993E-3</v>
      </c>
      <c r="C31">
        <v>53.07</v>
      </c>
      <c r="E31" t="s">
        <v>37</v>
      </c>
      <c r="F31">
        <v>2017</v>
      </c>
    </row>
    <row r="32" spans="1:6">
      <c r="A32" t="s">
        <v>322</v>
      </c>
      <c r="B32">
        <v>0.01</v>
      </c>
      <c r="C32">
        <v>53.07</v>
      </c>
      <c r="E32" t="s">
        <v>37</v>
      </c>
      <c r="F32">
        <v>2017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3"/>
  <sheetViews>
    <sheetView workbookViewId="0">
      <selection activeCell="H11" sqref="H11"/>
    </sheetView>
  </sheetViews>
  <sheetFormatPr baseColWidth="10" defaultRowHeight="16"/>
  <cols>
    <col min="1" max="1" width="19.5" bestFit="1" customWidth="1"/>
    <col min="2" max="2" width="12.1640625" bestFit="1" customWidth="1"/>
    <col min="3" max="4" width="17.1640625" bestFit="1" customWidth="1"/>
    <col min="5" max="5" width="55.6640625" bestFit="1" customWidth="1"/>
  </cols>
  <sheetData>
    <row r="1" spans="1:6">
      <c r="A1" t="s">
        <v>15</v>
      </c>
      <c r="B1" t="s">
        <v>58</v>
      </c>
      <c r="C1" t="s">
        <v>59</v>
      </c>
      <c r="D1" t="s">
        <v>38</v>
      </c>
      <c r="E1" t="s">
        <v>39</v>
      </c>
      <c r="F1" t="s">
        <v>121</v>
      </c>
    </row>
    <row r="2" spans="1:6">
      <c r="A2" t="s">
        <v>15</v>
      </c>
      <c r="B2" t="s">
        <v>16</v>
      </c>
      <c r="C2" t="s">
        <v>17</v>
      </c>
    </row>
    <row r="3" spans="1:6">
      <c r="B3" t="s">
        <v>30</v>
      </c>
      <c r="C3" t="s">
        <v>31</v>
      </c>
    </row>
    <row r="4" spans="1:6">
      <c r="A4" t="str">
        <f>Fuels_rawUSD!A4</f>
        <v>naturalgas</v>
      </c>
      <c r="B4">
        <f>Fuels_rawUSD!B4*inflator_2017</f>
        <v>4.1099999999999999E-3</v>
      </c>
      <c r="C4">
        <f>Fuels_rawUSD!C4</f>
        <v>53.07</v>
      </c>
      <c r="D4" t="str">
        <f>Fuels_rawUSD!D4</f>
        <v>ATB2019-2030-mid</v>
      </c>
      <c r="E4" t="str">
        <f>Fuels_rawUSD!E4</f>
        <v>https://www.eia.gov/environment/emissions/co2_vol_mass.php</v>
      </c>
      <c r="F4">
        <v>2017</v>
      </c>
    </row>
    <row r="5" spans="1:6">
      <c r="A5" t="str">
        <f>Fuels_rawUSD!A5</f>
        <v>uranium</v>
      </c>
      <c r="B5">
        <f>Fuels_rawUSD!B5*inflator_2017</f>
        <v>6.6299999999999996E-4</v>
      </c>
      <c r="C5">
        <f>Fuels_rawUSD!C5</f>
        <v>0</v>
      </c>
      <c r="D5" t="str">
        <f>Fuels_rawUSD!D5</f>
        <v>ATB2019-2030</v>
      </c>
      <c r="E5">
        <f>Fuels_rawUSD!E5</f>
        <v>0</v>
      </c>
      <c r="F5">
        <v>2017</v>
      </c>
    </row>
    <row r="6" spans="1:6">
      <c r="A6" t="str">
        <f>Fuels_rawUSD!A6</f>
        <v>none</v>
      </c>
      <c r="B6">
        <f>Fuels_rawUSD!B6*inflator_2017</f>
        <v>0</v>
      </c>
      <c r="C6">
        <f>Fuels_rawUSD!C6</f>
        <v>0</v>
      </c>
      <c r="D6">
        <f>Fuels_rawUSD!D6</f>
        <v>0</v>
      </c>
      <c r="E6">
        <f>Fuels_rawUSD!E6</f>
        <v>0</v>
      </c>
      <c r="F6">
        <v>2017</v>
      </c>
    </row>
    <row r="7" spans="1:6">
      <c r="A7" t="str">
        <f>Fuels_rawUSD!A7</f>
        <v>naturalgas_2017</v>
      </c>
      <c r="B7">
        <f>Fuels_rawUSD!B7*inflator_2017</f>
        <v>3.3900000000000002E-3</v>
      </c>
      <c r="C7">
        <f>Fuels_rawUSD!C7</f>
        <v>53.07</v>
      </c>
      <c r="D7" t="str">
        <f>Fuels_rawUSD!D7</f>
        <v>ATB2019</v>
      </c>
      <c r="E7" t="str">
        <f>Fuels_rawUSD!E7</f>
        <v>https://www.eia.gov/environment/emissions/co2_vol_mass.php</v>
      </c>
      <c r="F7">
        <v>2017</v>
      </c>
    </row>
    <row r="8" spans="1:6">
      <c r="A8" t="str">
        <f>Fuels_rawUSD!A8</f>
        <v>naturalgas_2018</v>
      </c>
      <c r="B8">
        <f>Fuels_rawUSD!B8*inflator_2017</f>
        <v>3.3399999999999997E-3</v>
      </c>
      <c r="C8">
        <f>Fuels_rawUSD!C8</f>
        <v>53.07</v>
      </c>
      <c r="D8" t="str">
        <f>Fuels_rawUSD!D8</f>
        <v>ATB2019</v>
      </c>
      <c r="E8" t="str">
        <f>Fuels_rawUSD!E8</f>
        <v>https://www.eia.gov/environment/emissions/co2_vol_mass.php</v>
      </c>
      <c r="F8">
        <v>2017</v>
      </c>
    </row>
    <row r="9" spans="1:6">
      <c r="A9" t="str">
        <f>Fuels_rawUSD!A9</f>
        <v>naturalgas_2020_low</v>
      </c>
      <c r="B9">
        <f>Fuels_rawUSD!B9*inflator_2017</f>
        <v>3.0400000000000002E-3</v>
      </c>
      <c r="C9">
        <f>Fuels_rawUSD!C9</f>
        <v>53.07</v>
      </c>
      <c r="D9" t="str">
        <f>Fuels_rawUSD!D9</f>
        <v>ATB2019</v>
      </c>
      <c r="E9" t="str">
        <f>Fuels_rawUSD!E9</f>
        <v>https://www.eia.gov/environment/emissions/co2_vol_mass.php</v>
      </c>
      <c r="F9">
        <v>2017</v>
      </c>
    </row>
    <row r="10" spans="1:6">
      <c r="A10" t="str">
        <f>Fuels_rawUSD!A10</f>
        <v>naturalgas_2020_mid</v>
      </c>
      <c r="B10">
        <f>Fuels_rawUSD!B10*inflator_2017</f>
        <v>3.3300000000000001E-3</v>
      </c>
      <c r="C10">
        <f>Fuels_rawUSD!C10</f>
        <v>53.07</v>
      </c>
      <c r="D10" t="str">
        <f>Fuels_rawUSD!D10</f>
        <v>ATB2019</v>
      </c>
      <c r="E10" t="str">
        <f>Fuels_rawUSD!E10</f>
        <v>https://www.eia.gov/environment/emissions/co2_vol_mass.php</v>
      </c>
      <c r="F10">
        <v>2017</v>
      </c>
    </row>
    <row r="11" spans="1:6">
      <c r="A11" t="str">
        <f>Fuels_rawUSD!A11</f>
        <v>naturalgas_2020_high</v>
      </c>
      <c r="B11">
        <f>Fuels_rawUSD!B11*inflator_2017</f>
        <v>3.8500000000000001E-3</v>
      </c>
      <c r="C11">
        <f>Fuels_rawUSD!C11</f>
        <v>53.07</v>
      </c>
      <c r="D11" t="str">
        <f>Fuels_rawUSD!D11</f>
        <v>ATB2019</v>
      </c>
      <c r="E11" t="str">
        <f>Fuels_rawUSD!E11</f>
        <v>https://www.eia.gov/environment/emissions/co2_vol_mass.php</v>
      </c>
      <c r="F11">
        <v>2017</v>
      </c>
    </row>
    <row r="12" spans="1:6">
      <c r="A12" t="str">
        <f>Fuels_rawUSD!A12</f>
        <v>naturalgas_2025_low</v>
      </c>
      <c r="B12">
        <f>Fuels_rawUSD!B12*inflator_2017</f>
        <v>3.32E-3</v>
      </c>
      <c r="C12">
        <f>Fuels_rawUSD!C12</f>
        <v>53.07</v>
      </c>
      <c r="D12" t="str">
        <f>Fuels_rawUSD!D12</f>
        <v>ATB2019</v>
      </c>
      <c r="E12" t="str">
        <f>Fuels_rawUSD!E12</f>
        <v>https://www.eia.gov/environment/emissions/co2_vol_mass.php</v>
      </c>
      <c r="F12">
        <v>2017</v>
      </c>
    </row>
    <row r="13" spans="1:6">
      <c r="A13" t="str">
        <f>Fuels_rawUSD!A13</f>
        <v>naturalgas_2025_mid</v>
      </c>
      <c r="B13">
        <f>Fuels_rawUSD!B13*inflator_2017</f>
        <v>3.9300000000000003E-3</v>
      </c>
      <c r="C13">
        <f>Fuels_rawUSD!C13</f>
        <v>53.07</v>
      </c>
      <c r="D13" t="str">
        <f>Fuels_rawUSD!D13</f>
        <v>ATB2019</v>
      </c>
      <c r="E13" t="str">
        <f>Fuels_rawUSD!E13</f>
        <v>https://www.eia.gov/environment/emissions/co2_vol_mass.php</v>
      </c>
      <c r="F13">
        <v>2017</v>
      </c>
    </row>
    <row r="14" spans="1:6">
      <c r="A14" t="str">
        <f>Fuels_rawUSD!A14</f>
        <v>naturalgas_2025_high</v>
      </c>
      <c r="B14">
        <f>Fuels_rawUSD!B14*inflator_2017</f>
        <v>4.9699999999999996E-3</v>
      </c>
      <c r="C14">
        <f>Fuels_rawUSD!C14</f>
        <v>53.07</v>
      </c>
      <c r="D14" t="str">
        <f>Fuels_rawUSD!D14</f>
        <v>ATB2019</v>
      </c>
      <c r="E14" t="str">
        <f>Fuels_rawUSD!E14</f>
        <v>https://www.eia.gov/environment/emissions/co2_vol_mass.php</v>
      </c>
      <c r="F14">
        <v>2017</v>
      </c>
    </row>
    <row r="15" spans="1:6">
      <c r="A15" t="str">
        <f>Fuels_rawUSD!A15</f>
        <v>naturalgas_2030_low</v>
      </c>
      <c r="B15">
        <f>Fuels_rawUSD!B15*inflator_2017</f>
        <v>3.3999999999999998E-3</v>
      </c>
      <c r="C15">
        <f>Fuels_rawUSD!C15</f>
        <v>53.07</v>
      </c>
      <c r="D15" t="str">
        <f>Fuels_rawUSD!D15</f>
        <v>ATB2019</v>
      </c>
      <c r="E15" t="str">
        <f>Fuels_rawUSD!E15</f>
        <v>https://www.eia.gov/environment/emissions/co2_vol_mass.php</v>
      </c>
      <c r="F15">
        <v>2017</v>
      </c>
    </row>
    <row r="16" spans="1:6">
      <c r="A16" t="str">
        <f>Fuels_rawUSD!A16</f>
        <v>naturalgas_2030_mid</v>
      </c>
      <c r="B16">
        <f>Fuels_rawUSD!B16*inflator_2017</f>
        <v>4.1099999999999999E-3</v>
      </c>
      <c r="C16">
        <f>Fuels_rawUSD!C16</f>
        <v>53.07</v>
      </c>
      <c r="D16" t="str">
        <f>Fuels_rawUSD!D16</f>
        <v>ATB2019</v>
      </c>
      <c r="E16" t="str">
        <f>Fuels_rawUSD!E16</f>
        <v>https://www.eia.gov/environment/emissions/co2_vol_mass.php</v>
      </c>
      <c r="F16">
        <v>2017</v>
      </c>
    </row>
    <row r="17" spans="1:6">
      <c r="A17" t="str">
        <f>Fuels_rawUSD!A17</f>
        <v>naturalgas_2030_high</v>
      </c>
      <c r="B17">
        <f>Fuels_rawUSD!B17*inflator_2017</f>
        <v>5.8200000000000005E-3</v>
      </c>
      <c r="C17">
        <f>Fuels_rawUSD!C17</f>
        <v>53.07</v>
      </c>
      <c r="D17" t="str">
        <f>Fuels_rawUSD!D17</f>
        <v>ATB2019</v>
      </c>
      <c r="E17" t="str">
        <f>Fuels_rawUSD!E17</f>
        <v>https://www.eia.gov/environment/emissions/co2_vol_mass.php</v>
      </c>
      <c r="F17">
        <v>2017</v>
      </c>
    </row>
    <row r="18" spans="1:6">
      <c r="A18" t="str">
        <f>Fuels_rawUSD!A18</f>
        <v>naturalgas_2040_low</v>
      </c>
      <c r="B18">
        <f>Fuels_rawUSD!B18*inflator_2017</f>
        <v>3.5699999999999998E-3</v>
      </c>
      <c r="C18">
        <f>Fuels_rawUSD!C18</f>
        <v>53.07</v>
      </c>
      <c r="D18" t="str">
        <f>Fuels_rawUSD!D18</f>
        <v>ATB2019</v>
      </c>
      <c r="E18" t="str">
        <f>Fuels_rawUSD!E18</f>
        <v>https://www.eia.gov/environment/emissions/co2_vol_mass.php</v>
      </c>
      <c r="F18">
        <v>2017</v>
      </c>
    </row>
    <row r="19" spans="1:6">
      <c r="A19" t="str">
        <f>Fuels_rawUSD!A19</f>
        <v>naturalgas_2040_mid</v>
      </c>
      <c r="B19">
        <f>Fuels_rawUSD!B19*inflator_2017</f>
        <v>4.5500000000000002E-3</v>
      </c>
      <c r="C19">
        <f>Fuels_rawUSD!C19</f>
        <v>53.07</v>
      </c>
      <c r="D19" t="str">
        <f>Fuels_rawUSD!D19</f>
        <v>ATB2019</v>
      </c>
      <c r="E19" t="str">
        <f>Fuels_rawUSD!E19</f>
        <v>https://www.eia.gov/environment/emissions/co2_vol_mass.php</v>
      </c>
      <c r="F19">
        <v>2017</v>
      </c>
    </row>
    <row r="20" spans="1:6">
      <c r="A20" t="str">
        <f>Fuels_rawUSD!A20</f>
        <v>naturalgas_2040_high</v>
      </c>
      <c r="B20">
        <f>Fuels_rawUSD!B20*inflator_2017</f>
        <v>6.8099999999999992E-3</v>
      </c>
      <c r="C20">
        <f>Fuels_rawUSD!C20</f>
        <v>53.07</v>
      </c>
      <c r="D20" t="str">
        <f>Fuels_rawUSD!D20</f>
        <v>ATB2019</v>
      </c>
      <c r="E20" t="str">
        <f>Fuels_rawUSD!E20</f>
        <v>https://www.eia.gov/environment/emissions/co2_vol_mass.php</v>
      </c>
      <c r="F20">
        <v>2017</v>
      </c>
    </row>
    <row r="21" spans="1:6">
      <c r="A21" t="str">
        <f>Fuels_rawUSD!A21</f>
        <v>naturalgas_2050_low</v>
      </c>
      <c r="B21">
        <f>Fuels_rawUSD!B21*inflator_2017</f>
        <v>3.81E-3</v>
      </c>
      <c r="C21">
        <f>Fuels_rawUSD!C21</f>
        <v>53.07</v>
      </c>
      <c r="D21" t="str">
        <f>Fuels_rawUSD!D21</f>
        <v>ATB2019</v>
      </c>
      <c r="E21" t="str">
        <f>Fuels_rawUSD!E21</f>
        <v>https://www.eia.gov/environment/emissions/co2_vol_mass.php</v>
      </c>
      <c r="F21">
        <v>2017</v>
      </c>
    </row>
    <row r="22" spans="1:6">
      <c r="A22" t="str">
        <f>Fuels_rawUSD!A22</f>
        <v>naturalgas_2050_mid</v>
      </c>
      <c r="B22">
        <f>Fuels_rawUSD!B22*inflator_2017</f>
        <v>5.2399999999999999E-3</v>
      </c>
      <c r="C22">
        <f>Fuels_rawUSD!C22</f>
        <v>53.07</v>
      </c>
      <c r="D22" t="str">
        <f>Fuels_rawUSD!D22</f>
        <v>ATB2019</v>
      </c>
      <c r="E22" t="str">
        <f>Fuels_rawUSD!E22</f>
        <v>https://www.eia.gov/environment/emissions/co2_vol_mass.php</v>
      </c>
      <c r="F22">
        <v>2017</v>
      </c>
    </row>
    <row r="23" spans="1:6">
      <c r="A23" t="str">
        <f>Fuels_rawUSD!A23</f>
        <v>naturalgas_2050_high</v>
      </c>
      <c r="B23">
        <f>Fuels_rawUSD!B23*inflator_2017</f>
        <v>8.4200000000000004E-3</v>
      </c>
      <c r="C23">
        <f>Fuels_rawUSD!C23</f>
        <v>53.07</v>
      </c>
      <c r="D23" t="str">
        <f>Fuels_rawUSD!D23</f>
        <v>ATB2019</v>
      </c>
      <c r="E23" t="str">
        <f>Fuels_rawUSD!E23</f>
        <v>https://www.eia.gov/environment/emissions/co2_vol_mass.php</v>
      </c>
      <c r="F23">
        <v>2017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workbookViewId="0">
      <selection activeCell="A5" sqref="A5"/>
    </sheetView>
  </sheetViews>
  <sheetFormatPr baseColWidth="10" defaultRowHeight="16"/>
  <cols>
    <col min="1" max="1" width="29.1640625" bestFit="1" customWidth="1"/>
    <col min="2" max="2" width="17.6640625" bestFit="1" customWidth="1"/>
    <col min="3" max="3" width="17.6640625" customWidth="1"/>
    <col min="4" max="4" width="11.6640625" bestFit="1" customWidth="1"/>
    <col min="5" max="5" width="12.5" bestFit="1" customWidth="1"/>
  </cols>
  <sheetData>
    <row r="1" spans="1:5">
      <c r="A1" t="s">
        <v>32</v>
      </c>
      <c r="B1" t="s">
        <v>119</v>
      </c>
      <c r="C1" t="s">
        <v>120</v>
      </c>
      <c r="D1" t="s">
        <v>117</v>
      </c>
      <c r="E1" t="s">
        <v>118</v>
      </c>
    </row>
    <row r="2" spans="1:5">
      <c r="A2" t="s">
        <v>67</v>
      </c>
      <c r="B2" t="s">
        <v>116</v>
      </c>
      <c r="C2" t="s">
        <v>116</v>
      </c>
    </row>
    <row r="3" spans="1:5">
      <c r="A3" t="s">
        <v>5</v>
      </c>
      <c r="B3" t="s">
        <v>115</v>
      </c>
      <c r="C3" t="s">
        <v>115</v>
      </c>
    </row>
    <row r="4" spans="1:5">
      <c r="A4">
        <v>4.2000000000000003E-2</v>
      </c>
      <c r="B4">
        <v>2016</v>
      </c>
      <c r="C4">
        <v>2017</v>
      </c>
      <c r="D4">
        <v>2010</v>
      </c>
      <c r="E4">
        <v>1.1241149062626099</v>
      </c>
    </row>
    <row r="5" spans="1:5">
      <c r="D5">
        <v>2011</v>
      </c>
      <c r="E5">
        <v>1.08971765678695</v>
      </c>
    </row>
    <row r="6" spans="1:5">
      <c r="D6">
        <v>2012</v>
      </c>
      <c r="E6">
        <v>1.06762371838985</v>
      </c>
    </row>
    <row r="7" spans="1:5">
      <c r="D7">
        <v>2013</v>
      </c>
      <c r="E7">
        <v>1.0522113523096499</v>
      </c>
    </row>
    <row r="8" spans="1:5">
      <c r="D8">
        <v>2014</v>
      </c>
      <c r="E8">
        <v>1.0354149770208101</v>
      </c>
    </row>
    <row r="9" spans="1:5">
      <c r="D9">
        <v>2015</v>
      </c>
      <c r="E9">
        <v>1.03418742115544</v>
      </c>
    </row>
    <row r="10" spans="1:5">
      <c r="D10">
        <v>2016</v>
      </c>
      <c r="E10">
        <v>1.02130354531326</v>
      </c>
    </row>
    <row r="11" spans="1:5">
      <c r="D11">
        <v>2017</v>
      </c>
      <c r="E11">
        <v>1</v>
      </c>
    </row>
    <row r="12" spans="1:5">
      <c r="D12">
        <v>2018</v>
      </c>
      <c r="E12">
        <v>0.976157574261171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3"/>
  <sheetViews>
    <sheetView workbookViewId="0">
      <selection activeCell="T4" sqref="T4:T13"/>
    </sheetView>
  </sheetViews>
  <sheetFormatPr baseColWidth="10" defaultRowHeight="16"/>
  <cols>
    <col min="1" max="1" width="20.1640625" bestFit="1" customWidth="1"/>
    <col min="2" max="2" width="14" bestFit="1" customWidth="1"/>
    <col min="3" max="3" width="20.5" bestFit="1" customWidth="1"/>
    <col min="4" max="4" width="13.33203125" bestFit="1" customWidth="1"/>
    <col min="5" max="5" width="8" bestFit="1" customWidth="1"/>
    <col min="6" max="6" width="8" customWidth="1"/>
    <col min="7" max="7" width="12.1640625" bestFit="1" customWidth="1"/>
    <col min="8" max="8" width="23.6640625" bestFit="1" customWidth="1"/>
    <col min="9" max="9" width="12.1640625" bestFit="1" customWidth="1"/>
    <col min="10" max="10" width="11.1640625" bestFit="1" customWidth="1"/>
    <col min="11" max="11" width="14" bestFit="1" customWidth="1"/>
    <col min="12" max="12" width="12.33203125" bestFit="1" customWidth="1"/>
    <col min="13" max="13" width="14.83203125" bestFit="1" customWidth="1"/>
    <col min="14" max="14" width="18.6640625" bestFit="1" customWidth="1"/>
    <col min="15" max="15" width="15.5" bestFit="1" customWidth="1"/>
    <col min="16" max="16" width="18" bestFit="1" customWidth="1"/>
    <col min="17" max="17" width="20.1640625" bestFit="1" customWidth="1"/>
    <col min="18" max="18" width="62.1640625" customWidth="1"/>
  </cols>
  <sheetData>
    <row r="1" spans="1:20">
      <c r="A1" t="s">
        <v>0</v>
      </c>
      <c r="B1" t="s">
        <v>57</v>
      </c>
      <c r="C1" t="s">
        <v>62</v>
      </c>
      <c r="D1" t="s">
        <v>47</v>
      </c>
      <c r="E1" t="s">
        <v>66</v>
      </c>
      <c r="F1" t="s">
        <v>32</v>
      </c>
      <c r="G1" t="s">
        <v>4</v>
      </c>
      <c r="H1" t="s">
        <v>61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35</v>
      </c>
      <c r="S1" t="s">
        <v>121</v>
      </c>
      <c r="T1" s="1" t="s">
        <v>311</v>
      </c>
    </row>
    <row r="2" spans="1:20">
      <c r="A2" t="s">
        <v>0</v>
      </c>
      <c r="B2" t="s">
        <v>20</v>
      </c>
      <c r="C2" t="s">
        <v>64</v>
      </c>
      <c r="D2" t="s">
        <v>63</v>
      </c>
      <c r="E2" t="s">
        <v>33</v>
      </c>
      <c r="F2" t="s">
        <v>301</v>
      </c>
      <c r="G2" t="s">
        <v>4</v>
      </c>
      <c r="H2" t="s">
        <v>3</v>
      </c>
      <c r="I2" t="s">
        <v>11</v>
      </c>
      <c r="J2" t="s">
        <v>12</v>
      </c>
      <c r="K2" t="s">
        <v>13</v>
      </c>
      <c r="L2" t="s">
        <v>18</v>
      </c>
      <c r="M2" t="s">
        <v>14</v>
      </c>
      <c r="N2" t="s">
        <v>19</v>
      </c>
      <c r="O2" t="s">
        <v>22</v>
      </c>
      <c r="P2" t="s">
        <v>23</v>
      </c>
      <c r="Q2" t="s">
        <v>24</v>
      </c>
      <c r="T2" s="1" t="s">
        <v>312</v>
      </c>
    </row>
    <row r="3" spans="1:20">
      <c r="B3" t="s">
        <v>21</v>
      </c>
      <c r="C3" t="s">
        <v>28</v>
      </c>
      <c r="D3" t="s">
        <v>46</v>
      </c>
      <c r="E3" t="s">
        <v>34</v>
      </c>
      <c r="F3" t="s">
        <v>5</v>
      </c>
      <c r="G3" t="s">
        <v>6</v>
      </c>
      <c r="H3" t="s">
        <v>44</v>
      </c>
      <c r="I3" t="s">
        <v>45</v>
      </c>
      <c r="J3" t="s">
        <v>28</v>
      </c>
      <c r="K3" t="s">
        <v>29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T3" s="1" t="s">
        <v>313</v>
      </c>
    </row>
    <row r="4" spans="1:20">
      <c r="A4" t="s">
        <v>122</v>
      </c>
      <c r="B4">
        <v>1</v>
      </c>
      <c r="C4">
        <f t="shared" ref="C4:C6" si="0">D4/B4</f>
        <v>706.79735000000005</v>
      </c>
      <c r="D4">
        <f t="shared" ref="D4:D6" si="1">200.28125*B4+506.5161</f>
        <v>706.79735000000005</v>
      </c>
      <c r="E4">
        <v>15</v>
      </c>
      <c r="F4">
        <v>4.2000000000000003E-2</v>
      </c>
      <c r="G4">
        <f>((F4*(1+F4)^E4)/((1+F4)^E4-1))</f>
        <v>9.1203432087674882E-2</v>
      </c>
      <c r="H4">
        <f>D4*G4</f>
        <v>64.46234411047358</v>
      </c>
      <c r="I4">
        <f>$I$7*B4/$B$7</f>
        <v>0.94762500000000005</v>
      </c>
      <c r="J4">
        <v>1.9072200000000001E-3</v>
      </c>
      <c r="K4">
        <v>0</v>
      </c>
      <c r="L4">
        <v>1</v>
      </c>
      <c r="M4">
        <v>1</v>
      </c>
      <c r="N4">
        <v>0</v>
      </c>
      <c r="O4">
        <f t="shared" ref="O4:P13" si="2">SQRT(0.85)</f>
        <v>0.92195444572928875</v>
      </c>
      <c r="P4">
        <f t="shared" si="2"/>
        <v>0.92195444572928875</v>
      </c>
      <c r="Q4">
        <v>0</v>
      </c>
      <c r="R4" t="s">
        <v>41</v>
      </c>
      <c r="S4">
        <v>2016</v>
      </c>
      <c r="T4" s="1">
        <v>1</v>
      </c>
    </row>
    <row r="5" spans="1:20">
      <c r="A5" t="s">
        <v>123</v>
      </c>
      <c r="B5">
        <v>2</v>
      </c>
      <c r="C5">
        <f t="shared" si="0"/>
        <v>453.53930000000003</v>
      </c>
      <c r="D5">
        <f t="shared" si="1"/>
        <v>907.07860000000005</v>
      </c>
      <c r="E5">
        <v>15</v>
      </c>
      <c r="F5">
        <v>4.2000000000000003E-2</v>
      </c>
      <c r="G5">
        <f t="shared" ref="G5:G13" si="3">((F5*(1+F5)^E5)/((1+F5)^E5-1))</f>
        <v>9.1203432087674882E-2</v>
      </c>
      <c r="H5">
        <f t="shared" ref="H5:H13" si="4">D5*G5</f>
        <v>82.728681493283219</v>
      </c>
      <c r="I5">
        <f>$I$7*B5/$B$7</f>
        <v>1.8952500000000001</v>
      </c>
      <c r="J5">
        <v>1.9072200000000001E-3</v>
      </c>
      <c r="K5">
        <v>0</v>
      </c>
      <c r="L5">
        <v>1</v>
      </c>
      <c r="M5">
        <v>1</v>
      </c>
      <c r="N5">
        <v>0</v>
      </c>
      <c r="O5">
        <f t="shared" si="2"/>
        <v>0.92195444572928875</v>
      </c>
      <c r="P5">
        <f t="shared" si="2"/>
        <v>0.92195444572928875</v>
      </c>
      <c r="Q5">
        <v>0</v>
      </c>
      <c r="R5" t="s">
        <v>41</v>
      </c>
      <c r="S5">
        <v>2016</v>
      </c>
      <c r="T5" s="1">
        <v>1</v>
      </c>
    </row>
    <row r="6" spans="1:20">
      <c r="A6" t="s">
        <v>124</v>
      </c>
      <c r="B6">
        <v>4</v>
      </c>
      <c r="C6">
        <f t="shared" si="0"/>
        <v>326.91027500000001</v>
      </c>
      <c r="D6">
        <f t="shared" si="1"/>
        <v>1307.6411000000001</v>
      </c>
      <c r="E6">
        <v>15</v>
      </c>
      <c r="F6">
        <v>4.2000000000000003E-2</v>
      </c>
      <c r="G6">
        <f t="shared" si="3"/>
        <v>9.1203432087674882E-2</v>
      </c>
      <c r="H6">
        <f t="shared" si="4"/>
        <v>119.26135625890248</v>
      </c>
      <c r="I6">
        <f>$I$7*B6/$B$7</f>
        <v>3.7905000000000002</v>
      </c>
      <c r="J6">
        <v>1.9072200000000001E-3</v>
      </c>
      <c r="K6">
        <v>0</v>
      </c>
      <c r="L6">
        <v>1</v>
      </c>
      <c r="M6">
        <v>1</v>
      </c>
      <c r="N6">
        <v>0</v>
      </c>
      <c r="O6">
        <f t="shared" si="2"/>
        <v>0.92195444572928875</v>
      </c>
      <c r="P6">
        <f t="shared" si="2"/>
        <v>0.92195444572928875</v>
      </c>
      <c r="Q6">
        <v>0</v>
      </c>
      <c r="R6" t="s">
        <v>41</v>
      </c>
      <c r="S6">
        <v>2016</v>
      </c>
      <c r="T6" s="1">
        <v>1</v>
      </c>
    </row>
    <row r="7" spans="1:20">
      <c r="A7" t="s">
        <v>125</v>
      </c>
      <c r="B7">
        <v>8</v>
      </c>
      <c r="C7">
        <f t="shared" ref="C7:C13" si="5">D7/B7</f>
        <v>263.59576249999998</v>
      </c>
      <c r="D7">
        <f>200.28125*B7+506.5161</f>
        <v>2108.7660999999998</v>
      </c>
      <c r="E7">
        <v>15</v>
      </c>
      <c r="F7">
        <v>4.2000000000000003E-2</v>
      </c>
      <c r="G7">
        <f t="shared" si="3"/>
        <v>9.1203432087674882E-2</v>
      </c>
      <c r="H7">
        <f t="shared" si="4"/>
        <v>192.32670579014101</v>
      </c>
      <c r="I7">
        <v>7.5810000000000004</v>
      </c>
      <c r="J7">
        <v>1.9072200000000001E-3</v>
      </c>
      <c r="K7">
        <v>0</v>
      </c>
      <c r="L7">
        <v>1</v>
      </c>
      <c r="M7">
        <v>1</v>
      </c>
      <c r="N7">
        <v>0</v>
      </c>
      <c r="O7">
        <f t="shared" si="2"/>
        <v>0.92195444572928875</v>
      </c>
      <c r="P7">
        <f t="shared" si="2"/>
        <v>0.92195444572928875</v>
      </c>
      <c r="Q7">
        <v>0</v>
      </c>
      <c r="R7" t="s">
        <v>40</v>
      </c>
      <c r="S7">
        <v>2016</v>
      </c>
      <c r="T7" s="1">
        <v>1</v>
      </c>
    </row>
    <row r="8" spans="1:20">
      <c r="A8" t="s">
        <v>126</v>
      </c>
      <c r="B8">
        <v>12</v>
      </c>
      <c r="C8">
        <f t="shared" si="5"/>
        <v>242.49092499999998</v>
      </c>
      <c r="D8">
        <f>200.28125*B8+506.5161</f>
        <v>2909.8910999999998</v>
      </c>
      <c r="E8">
        <v>15</v>
      </c>
      <c r="F8">
        <v>4.2000000000000003E-2</v>
      </c>
      <c r="G8">
        <f t="shared" si="3"/>
        <v>9.1203432087674882E-2</v>
      </c>
      <c r="H8">
        <f t="shared" si="4"/>
        <v>265.39205532137953</v>
      </c>
      <c r="I8">
        <f>$I$7*B8/$B$7</f>
        <v>11.371500000000001</v>
      </c>
      <c r="J8">
        <v>1.9072200000000001E-3</v>
      </c>
      <c r="K8">
        <v>0</v>
      </c>
      <c r="L8">
        <v>1</v>
      </c>
      <c r="M8">
        <v>1</v>
      </c>
      <c r="N8">
        <v>0</v>
      </c>
      <c r="O8">
        <f t="shared" si="2"/>
        <v>0.92195444572928875</v>
      </c>
      <c r="P8">
        <f t="shared" si="2"/>
        <v>0.92195444572928875</v>
      </c>
      <c r="Q8">
        <v>0</v>
      </c>
      <c r="R8" t="s">
        <v>41</v>
      </c>
      <c r="S8">
        <v>2016</v>
      </c>
      <c r="T8" s="1">
        <v>1</v>
      </c>
    </row>
    <row r="9" spans="1:20">
      <c r="A9" t="s">
        <v>127</v>
      </c>
      <c r="B9">
        <v>1</v>
      </c>
      <c r="C9">
        <f t="shared" si="5"/>
        <v>600.83600000000001</v>
      </c>
      <c r="D9">
        <f>294+306.836*B9</f>
        <v>600.83600000000001</v>
      </c>
      <c r="E9">
        <v>15</v>
      </c>
      <c r="F9">
        <v>4.2000000000000003E-2</v>
      </c>
      <c r="G9">
        <f t="shared" si="3"/>
        <v>9.1203432087674882E-2</v>
      </c>
      <c r="H9">
        <f t="shared" si="4"/>
        <v>54.798305321830227</v>
      </c>
      <c r="I9">
        <f>D9*0.025</f>
        <v>15.020900000000001</v>
      </c>
      <c r="J9">
        <v>0</v>
      </c>
      <c r="K9">
        <v>0</v>
      </c>
      <c r="L9">
        <v>1</v>
      </c>
      <c r="M9">
        <v>1</v>
      </c>
      <c r="N9">
        <v>0</v>
      </c>
      <c r="O9">
        <f t="shared" si="2"/>
        <v>0.92195444572928875</v>
      </c>
      <c r="P9">
        <f t="shared" si="2"/>
        <v>0.92195444572928875</v>
      </c>
      <c r="Q9">
        <v>4.1686600000000002E-5</v>
      </c>
      <c r="R9" t="s">
        <v>132</v>
      </c>
      <c r="S9">
        <v>2018</v>
      </c>
      <c r="T9" s="1">
        <v>1</v>
      </c>
    </row>
    <row r="10" spans="1:20">
      <c r="A10" t="s">
        <v>128</v>
      </c>
      <c r="B10">
        <v>2</v>
      </c>
      <c r="C10">
        <f t="shared" si="5"/>
        <v>453.83600000000001</v>
      </c>
      <c r="D10">
        <f t="shared" ref="D10:D13" si="6">294+306.836*B10</f>
        <v>907.67200000000003</v>
      </c>
      <c r="E10">
        <v>15</v>
      </c>
      <c r="F10">
        <v>4.2000000000000003E-2</v>
      </c>
      <c r="G10">
        <f t="shared" si="3"/>
        <v>9.1203432087674882E-2</v>
      </c>
      <c r="H10">
        <f t="shared" si="4"/>
        <v>82.782801609884032</v>
      </c>
      <c r="I10">
        <f t="shared" ref="I10:I13" si="7">D10*0.025</f>
        <v>22.691800000000001</v>
      </c>
      <c r="J10">
        <v>0</v>
      </c>
      <c r="K10">
        <v>0</v>
      </c>
      <c r="L10">
        <v>1</v>
      </c>
      <c r="M10">
        <v>1</v>
      </c>
      <c r="N10">
        <v>0</v>
      </c>
      <c r="O10">
        <f t="shared" si="2"/>
        <v>0.92195444572928875</v>
      </c>
      <c r="P10">
        <f t="shared" si="2"/>
        <v>0.92195444572928875</v>
      </c>
      <c r="Q10">
        <v>4.1686600000000002E-5</v>
      </c>
      <c r="R10" t="s">
        <v>132</v>
      </c>
      <c r="S10">
        <v>2018</v>
      </c>
      <c r="T10" s="1">
        <v>1</v>
      </c>
    </row>
    <row r="11" spans="1:20">
      <c r="A11" t="s">
        <v>129</v>
      </c>
      <c r="B11">
        <v>4</v>
      </c>
      <c r="C11">
        <f t="shared" si="5"/>
        <v>380.33600000000001</v>
      </c>
      <c r="D11">
        <f t="shared" si="6"/>
        <v>1521.3440000000001</v>
      </c>
      <c r="E11">
        <v>15</v>
      </c>
      <c r="F11">
        <v>4.2000000000000003E-2</v>
      </c>
      <c r="G11">
        <f t="shared" si="3"/>
        <v>9.1203432087674882E-2</v>
      </c>
      <c r="H11">
        <f t="shared" si="4"/>
        <v>138.75179418599166</v>
      </c>
      <c r="I11">
        <f t="shared" si="7"/>
        <v>38.0336</v>
      </c>
      <c r="J11">
        <v>0</v>
      </c>
      <c r="K11">
        <v>0</v>
      </c>
      <c r="L11">
        <v>1</v>
      </c>
      <c r="M11">
        <v>1</v>
      </c>
      <c r="N11">
        <v>0</v>
      </c>
      <c r="O11">
        <f t="shared" si="2"/>
        <v>0.92195444572928875</v>
      </c>
      <c r="P11">
        <f t="shared" si="2"/>
        <v>0.92195444572928875</v>
      </c>
      <c r="Q11">
        <v>4.1686600000000002E-5</v>
      </c>
      <c r="R11" t="s">
        <v>132</v>
      </c>
      <c r="S11">
        <v>2018</v>
      </c>
      <c r="T11" s="1">
        <v>1</v>
      </c>
    </row>
    <row r="12" spans="1:20">
      <c r="A12" t="s">
        <v>131</v>
      </c>
      <c r="B12">
        <v>8</v>
      </c>
      <c r="C12">
        <f t="shared" si="5"/>
        <v>343.58600000000001</v>
      </c>
      <c r="D12">
        <f t="shared" si="6"/>
        <v>2748.6880000000001</v>
      </c>
      <c r="E12">
        <v>15</v>
      </c>
      <c r="F12">
        <v>4.2000000000000003E-2</v>
      </c>
      <c r="G12">
        <f t="shared" si="3"/>
        <v>9.1203432087674882E-2</v>
      </c>
      <c r="H12">
        <f t="shared" si="4"/>
        <v>250.6897793382069</v>
      </c>
      <c r="I12">
        <f t="shared" si="7"/>
        <v>68.717200000000005</v>
      </c>
      <c r="J12">
        <v>0</v>
      </c>
      <c r="K12">
        <v>0</v>
      </c>
      <c r="L12">
        <v>1</v>
      </c>
      <c r="M12">
        <v>1</v>
      </c>
      <c r="N12">
        <v>0</v>
      </c>
      <c r="O12">
        <f t="shared" si="2"/>
        <v>0.92195444572928875</v>
      </c>
      <c r="P12">
        <f t="shared" si="2"/>
        <v>0.92195444572928875</v>
      </c>
      <c r="Q12">
        <v>4.1686600000000002E-5</v>
      </c>
      <c r="R12" t="s">
        <v>132</v>
      </c>
      <c r="S12">
        <v>2018</v>
      </c>
      <c r="T12" s="1">
        <v>1</v>
      </c>
    </row>
    <row r="13" spans="1:20">
      <c r="A13" t="s">
        <v>130</v>
      </c>
      <c r="B13">
        <v>12</v>
      </c>
      <c r="C13">
        <f t="shared" si="5"/>
        <v>331.33600000000001</v>
      </c>
      <c r="D13">
        <f t="shared" si="6"/>
        <v>3976.0320000000002</v>
      </c>
      <c r="E13">
        <v>15</v>
      </c>
      <c r="F13">
        <v>4.2000000000000003E-2</v>
      </c>
      <c r="G13">
        <f t="shared" si="3"/>
        <v>9.1203432087674882E-2</v>
      </c>
      <c r="H13">
        <f t="shared" si="4"/>
        <v>362.62776449042212</v>
      </c>
      <c r="I13">
        <f t="shared" si="7"/>
        <v>99.400800000000004</v>
      </c>
      <c r="J13">
        <v>0</v>
      </c>
      <c r="K13">
        <v>0</v>
      </c>
      <c r="L13">
        <v>1</v>
      </c>
      <c r="M13">
        <v>1</v>
      </c>
      <c r="N13">
        <v>0</v>
      </c>
      <c r="O13">
        <f t="shared" si="2"/>
        <v>0.92195444572928875</v>
      </c>
      <c r="P13">
        <f t="shared" si="2"/>
        <v>0.92195444572928875</v>
      </c>
      <c r="Q13">
        <v>4.1686600000000002E-5</v>
      </c>
      <c r="R13" t="s">
        <v>132</v>
      </c>
      <c r="S13">
        <v>2018</v>
      </c>
      <c r="T13" s="1">
        <v>1</v>
      </c>
    </row>
  </sheetData>
  <pageMargins left="0.7" right="0.7" top="0.75" bottom="0.75" header="0.3" footer="0.3"/>
  <pageSetup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3"/>
  <sheetViews>
    <sheetView workbookViewId="0">
      <selection activeCell="R18" sqref="R18"/>
    </sheetView>
  </sheetViews>
  <sheetFormatPr baseColWidth="10" defaultRowHeight="16"/>
  <cols>
    <col min="1" max="1" width="20.1640625" bestFit="1" customWidth="1"/>
    <col min="2" max="2" width="14" bestFit="1" customWidth="1"/>
    <col min="3" max="3" width="20.5" bestFit="1" customWidth="1"/>
    <col min="4" max="4" width="13.33203125" bestFit="1" customWidth="1"/>
    <col min="5" max="5" width="8" bestFit="1" customWidth="1"/>
    <col min="6" max="6" width="8" customWidth="1"/>
    <col min="7" max="7" width="12.1640625" bestFit="1" customWidth="1"/>
    <col min="8" max="8" width="23.6640625" bestFit="1" customWidth="1"/>
    <col min="9" max="9" width="12.1640625" bestFit="1" customWidth="1"/>
    <col min="10" max="10" width="11.1640625" bestFit="1" customWidth="1"/>
    <col min="11" max="11" width="14" bestFit="1" customWidth="1"/>
    <col min="12" max="12" width="12.33203125" bestFit="1" customWidth="1"/>
    <col min="13" max="13" width="14.83203125" bestFit="1" customWidth="1"/>
    <col min="14" max="14" width="18.6640625" bestFit="1" customWidth="1"/>
    <col min="15" max="15" width="15.5" bestFit="1" customWidth="1"/>
    <col min="16" max="16" width="18" bestFit="1" customWidth="1"/>
    <col min="17" max="17" width="20.1640625" bestFit="1" customWidth="1"/>
    <col min="18" max="18" width="62.1640625" bestFit="1" customWidth="1"/>
  </cols>
  <sheetData>
    <row r="1" spans="1:20">
      <c r="A1" t="s">
        <v>0</v>
      </c>
      <c r="B1" t="s">
        <v>57</v>
      </c>
      <c r="C1" t="s">
        <v>62</v>
      </c>
      <c r="D1" t="s">
        <v>47</v>
      </c>
      <c r="E1" t="s">
        <v>66</v>
      </c>
      <c r="F1" t="s">
        <v>32</v>
      </c>
      <c r="G1" t="s">
        <v>4</v>
      </c>
      <c r="H1" t="s">
        <v>61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35</v>
      </c>
      <c r="S1" t="s">
        <v>121</v>
      </c>
      <c r="T1" t="str">
        <f>Storage_rawUSD!T1</f>
        <v>reserves</v>
      </c>
    </row>
    <row r="2" spans="1:20">
      <c r="A2" t="s">
        <v>0</v>
      </c>
      <c r="B2" t="s">
        <v>20</v>
      </c>
      <c r="C2" t="s">
        <v>64</v>
      </c>
      <c r="D2" t="s">
        <v>63</v>
      </c>
      <c r="E2" t="s">
        <v>33</v>
      </c>
      <c r="F2" t="s">
        <v>301</v>
      </c>
      <c r="G2" t="s">
        <v>4</v>
      </c>
      <c r="H2" t="s">
        <v>3</v>
      </c>
      <c r="I2" t="s">
        <v>11</v>
      </c>
      <c r="J2" t="s">
        <v>12</v>
      </c>
      <c r="K2" t="s">
        <v>13</v>
      </c>
      <c r="L2" t="s">
        <v>18</v>
      </c>
      <c r="M2" t="s">
        <v>14</v>
      </c>
      <c r="N2" t="s">
        <v>19</v>
      </c>
      <c r="O2" t="s">
        <v>22</v>
      </c>
      <c r="P2" t="s">
        <v>23</v>
      </c>
      <c r="Q2" t="s">
        <v>24</v>
      </c>
      <c r="T2" t="str">
        <f>Storage_rawUSD!T2</f>
        <v>Provides reserves</v>
      </c>
    </row>
    <row r="3" spans="1:20">
      <c r="B3" t="s">
        <v>21</v>
      </c>
      <c r="C3" t="s">
        <v>28</v>
      </c>
      <c r="D3" t="s">
        <v>46</v>
      </c>
      <c r="E3" t="s">
        <v>34</v>
      </c>
      <c r="F3" t="s">
        <v>5</v>
      </c>
      <c r="G3" t="s">
        <v>6</v>
      </c>
      <c r="H3" t="s">
        <v>44</v>
      </c>
      <c r="I3" t="s">
        <v>45</v>
      </c>
      <c r="J3" t="s">
        <v>28</v>
      </c>
      <c r="K3" t="s">
        <v>29</v>
      </c>
      <c r="L3" t="s">
        <v>5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T3" t="str">
        <f>Storage_rawUSD!T3</f>
        <v>[boolean]</v>
      </c>
    </row>
    <row r="4" spans="1:20">
      <c r="A4" t="str">
        <f>Storage_rawUSD!A4</f>
        <v>Li_2030_mid_atb_1hr</v>
      </c>
      <c r="B4">
        <f>Storage_rawUSD!B4</f>
        <v>1</v>
      </c>
      <c r="C4">
        <f>Storage_rawUSD!C4*inflator_2016</f>
        <v>721.85463937301711</v>
      </c>
      <c r="D4">
        <f>Storage_rawUSD!D4*inflator_2016</f>
        <v>721.85463937301711</v>
      </c>
      <c r="E4">
        <f>Storage_rawUSD!E4</f>
        <v>15</v>
      </c>
      <c r="F4">
        <f>Storage_rawUSD!F4</f>
        <v>4.2000000000000003E-2</v>
      </c>
      <c r="G4">
        <f>((F4*(1+F4)^E4)/((1+F4)^E4-1))</f>
        <v>9.1203432087674882E-2</v>
      </c>
      <c r="H4">
        <f>D4*G4</f>
        <v>65.83562057923001</v>
      </c>
      <c r="I4">
        <f>Storage_rawUSD!I4*inflator_2016</f>
        <v>0.96781277212747796</v>
      </c>
      <c r="J4">
        <f>Storage_rawUSD!J4*inflator_2016</f>
        <v>1.9478505476923558E-3</v>
      </c>
      <c r="K4">
        <f>Storage_rawUSD!K4</f>
        <v>0</v>
      </c>
      <c r="L4">
        <f>Storage_rawUSD!L4</f>
        <v>1</v>
      </c>
      <c r="M4">
        <f>Storage_rawUSD!M4</f>
        <v>1</v>
      </c>
      <c r="N4">
        <f>Storage_rawUSD!N4</f>
        <v>0</v>
      </c>
      <c r="O4">
        <f>Storage_rawUSD!O4</f>
        <v>0.92195444572928875</v>
      </c>
      <c r="P4">
        <f>Storage_rawUSD!P4</f>
        <v>0.92195444572928875</v>
      </c>
      <c r="Q4">
        <f>Storage_rawUSD!Q4</f>
        <v>0</v>
      </c>
      <c r="R4" t="str">
        <f>Storage_rawUSD!R4</f>
        <v>ATB2018-2030-capex, mid; $/MW values scaled by ratio with 8hr battery</v>
      </c>
      <c r="S4" s="1">
        <v>2017</v>
      </c>
      <c r="T4">
        <f>Storage_rawUSD!T4</f>
        <v>1</v>
      </c>
    </row>
    <row r="5" spans="1:20">
      <c r="A5" t="str">
        <f>Storage_rawUSD!A5</f>
        <v>Li_2030_mid_atb_2hr</v>
      </c>
      <c r="B5">
        <f>Storage_rawUSD!B5</f>
        <v>2</v>
      </c>
      <c r="C5">
        <f>Storage_rawUSD!C5*inflator_2016</f>
        <v>463.20129502889421</v>
      </c>
      <c r="D5">
        <f>Storage_rawUSD!D5*inflator_2016</f>
        <v>926.40259005778842</v>
      </c>
      <c r="E5">
        <f>Storage_rawUSD!E5</f>
        <v>15</v>
      </c>
      <c r="F5">
        <f>Storage_rawUSD!F5</f>
        <v>4.2000000000000003E-2</v>
      </c>
      <c r="G5">
        <f t="shared" ref="G5:G13" si="0">((F5*(1+F5)^E5)/((1+F5)^E5-1))</f>
        <v>9.1203432087674882E-2</v>
      </c>
      <c r="H5">
        <f t="shared" ref="H5:H8" si="1">D5*G5</f>
        <v>84.491095708181618</v>
      </c>
      <c r="I5">
        <f>Storage_rawUSD!I5*inflator_2016</f>
        <v>1.9356255442549559</v>
      </c>
      <c r="J5">
        <f>Storage_rawUSD!J5*inflator_2016</f>
        <v>1.9478505476923558E-3</v>
      </c>
      <c r="K5">
        <f>Storage_rawUSD!K5</f>
        <v>0</v>
      </c>
      <c r="L5">
        <f>Storage_rawUSD!L5</f>
        <v>1</v>
      </c>
      <c r="M5">
        <f>Storage_rawUSD!M5</f>
        <v>1</v>
      </c>
      <c r="N5">
        <f>Storage_rawUSD!N5</f>
        <v>0</v>
      </c>
      <c r="O5">
        <f>Storage_rawUSD!O5</f>
        <v>0.92195444572928875</v>
      </c>
      <c r="P5">
        <f>Storage_rawUSD!P5</f>
        <v>0.92195444572928875</v>
      </c>
      <c r="Q5">
        <f>Storage_rawUSD!Q5</f>
        <v>0</v>
      </c>
      <c r="R5" t="str">
        <f>Storage_rawUSD!R5</f>
        <v>ATB2018-2030-capex, mid; $/MW values scaled by ratio with 8hr battery</v>
      </c>
      <c r="S5" s="1">
        <v>2017</v>
      </c>
      <c r="T5">
        <f>Storage_rawUSD!T5</f>
        <v>1</v>
      </c>
    </row>
    <row r="6" spans="1:20">
      <c r="A6" t="str">
        <f>Storage_rawUSD!A6</f>
        <v>Li_2030_mid_atb_4hr</v>
      </c>
      <c r="B6">
        <f>Storage_rawUSD!B6</f>
        <v>4</v>
      </c>
      <c r="C6">
        <f>Storage_rawUSD!C6*inflator_2016</f>
        <v>333.87462285683279</v>
      </c>
      <c r="D6">
        <f>Storage_rawUSD!D6*inflator_2016</f>
        <v>1335.4984914273311</v>
      </c>
      <c r="E6">
        <f>Storage_rawUSD!E6</f>
        <v>15</v>
      </c>
      <c r="F6">
        <f>Storage_rawUSD!F6</f>
        <v>4.2000000000000003E-2</v>
      </c>
      <c r="G6">
        <f t="shared" si="0"/>
        <v>9.1203432087674882E-2</v>
      </c>
      <c r="H6">
        <f t="shared" si="1"/>
        <v>121.80204596608485</v>
      </c>
      <c r="I6">
        <f>Storage_rawUSD!I6*inflator_2016</f>
        <v>3.8712510885099118</v>
      </c>
      <c r="J6">
        <f>Storage_rawUSD!J6*inflator_2016</f>
        <v>1.9478505476923558E-3</v>
      </c>
      <c r="K6">
        <f>Storage_rawUSD!K6</f>
        <v>0</v>
      </c>
      <c r="L6">
        <f>Storage_rawUSD!L6</f>
        <v>1</v>
      </c>
      <c r="M6">
        <f>Storage_rawUSD!M6</f>
        <v>1</v>
      </c>
      <c r="N6">
        <f>Storage_rawUSD!N6</f>
        <v>0</v>
      </c>
      <c r="O6">
        <f>Storage_rawUSD!O6</f>
        <v>0.92195444572928875</v>
      </c>
      <c r="P6">
        <f>Storage_rawUSD!P6</f>
        <v>0.92195444572928875</v>
      </c>
      <c r="Q6">
        <f>Storage_rawUSD!Q6</f>
        <v>0</v>
      </c>
      <c r="R6" t="str">
        <f>Storage_rawUSD!R6</f>
        <v>ATB2018-2030-capex, mid; $/MW values scaled by ratio with 8hr battery</v>
      </c>
      <c r="S6" s="1">
        <v>2017</v>
      </c>
      <c r="T6">
        <f>Storage_rawUSD!T6</f>
        <v>1</v>
      </c>
    </row>
    <row r="7" spans="1:20">
      <c r="A7" t="str">
        <f>Storage_rawUSD!A7</f>
        <v>Li_2030_mid_atb_8hr</v>
      </c>
      <c r="B7">
        <f>Storage_rawUSD!B7</f>
        <v>8</v>
      </c>
      <c r="C7">
        <f>Storage_rawUSD!C7*inflator_2016</f>
        <v>269.21128677080202</v>
      </c>
      <c r="D7">
        <f>Storage_rawUSD!D7*inflator_2016</f>
        <v>2153.6902941664162</v>
      </c>
      <c r="E7">
        <f>Storage_rawUSD!E7</f>
        <v>15</v>
      </c>
      <c r="F7">
        <f>Storage_rawUSD!F7</f>
        <v>4.2000000000000003E-2</v>
      </c>
      <c r="G7">
        <f t="shared" si="0"/>
        <v>9.1203432087674882E-2</v>
      </c>
      <c r="H7">
        <f t="shared" si="1"/>
        <v>196.42394648189128</v>
      </c>
      <c r="I7">
        <f>Storage_rawUSD!I7*inflator_2016</f>
        <v>7.7425021770198237</v>
      </c>
      <c r="J7">
        <f>Storage_rawUSD!J7*inflator_2016</f>
        <v>1.9478505476923558E-3</v>
      </c>
      <c r="K7">
        <f>Storage_rawUSD!K7</f>
        <v>0</v>
      </c>
      <c r="L7">
        <f>Storage_rawUSD!L7</f>
        <v>1</v>
      </c>
      <c r="M7">
        <f>Storage_rawUSD!M7</f>
        <v>1</v>
      </c>
      <c r="N7">
        <f>Storage_rawUSD!N7</f>
        <v>0</v>
      </c>
      <c r="O7">
        <f>Storage_rawUSD!O7</f>
        <v>0.92195444572928875</v>
      </c>
      <c r="P7">
        <f>Storage_rawUSD!P7</f>
        <v>0.92195444572928875</v>
      </c>
      <c r="Q7">
        <f>Storage_rawUSD!Q7</f>
        <v>0</v>
      </c>
      <c r="R7" t="str">
        <f>Storage_rawUSD!R7</f>
        <v>ATB2018-2030-capex, mid</v>
      </c>
      <c r="S7" s="1">
        <v>2017</v>
      </c>
      <c r="T7">
        <f>Storage_rawUSD!T7</f>
        <v>1</v>
      </c>
    </row>
    <row r="8" spans="1:20">
      <c r="A8" t="str">
        <f>Storage_rawUSD!A8</f>
        <v>Li_2030_mid_atb_12hr</v>
      </c>
      <c r="B8">
        <f>Storage_rawUSD!B8</f>
        <v>12</v>
      </c>
      <c r="C8">
        <f>Storage_rawUSD!C8*inflator_2016</f>
        <v>247.65684140879179</v>
      </c>
      <c r="D8">
        <f>Storage_rawUSD!D8*inflator_2016</f>
        <v>2971.8820969055018</v>
      </c>
      <c r="E8">
        <f>Storage_rawUSD!E8</f>
        <v>15</v>
      </c>
      <c r="F8">
        <f>Storage_rawUSD!F8</f>
        <v>4.2000000000000003E-2</v>
      </c>
      <c r="G8">
        <f t="shared" si="0"/>
        <v>9.1203432087674882E-2</v>
      </c>
      <c r="H8">
        <f t="shared" si="1"/>
        <v>271.04584699769777</v>
      </c>
      <c r="I8">
        <f>Storage_rawUSD!I8*inflator_2016</f>
        <v>11.613753265529736</v>
      </c>
      <c r="J8">
        <f>Storage_rawUSD!J8*inflator_2016</f>
        <v>1.9478505476923558E-3</v>
      </c>
      <c r="K8">
        <f>Storage_rawUSD!K8</f>
        <v>0</v>
      </c>
      <c r="L8">
        <f>Storage_rawUSD!L8</f>
        <v>1</v>
      </c>
      <c r="M8">
        <f>Storage_rawUSD!M8</f>
        <v>1</v>
      </c>
      <c r="N8">
        <f>Storage_rawUSD!N8</f>
        <v>0</v>
      </c>
      <c r="O8">
        <f>Storage_rawUSD!O8</f>
        <v>0.92195444572928875</v>
      </c>
      <c r="P8">
        <f>Storage_rawUSD!P8</f>
        <v>0.92195444572928875</v>
      </c>
      <c r="Q8">
        <f>Storage_rawUSD!Q8</f>
        <v>0</v>
      </c>
      <c r="R8" t="str">
        <f>Storage_rawUSD!R8</f>
        <v>ATB2018-2030-capex, mid; $/MW values scaled by ratio with 8hr battery</v>
      </c>
      <c r="S8" s="1">
        <v>2017</v>
      </c>
      <c r="T8">
        <f>Storage_rawUSD!T8</f>
        <v>1</v>
      </c>
    </row>
    <row r="9" spans="1:20">
      <c r="A9" t="str">
        <f>Storage_rawUSD!A9</f>
        <v>Li_2018_1hr</v>
      </c>
      <c r="B9">
        <f>Storage_rawUSD!B9</f>
        <v>1</v>
      </c>
      <c r="C9">
        <f>Storage_rawUSD!C9*inflator_2018</f>
        <v>586.51061228878496</v>
      </c>
      <c r="D9">
        <f>Storage_rawUSD!D9*inflator_2018</f>
        <v>586.51061228878496</v>
      </c>
      <c r="E9">
        <f>Storage_rawUSD!E9</f>
        <v>15</v>
      </c>
      <c r="F9">
        <f>Storage_rawUSD!F9</f>
        <v>4.2000000000000003E-2</v>
      </c>
      <c r="G9">
        <f t="shared" si="0"/>
        <v>9.1203432087674882E-2</v>
      </c>
      <c r="H9">
        <f t="shared" ref="H9:H13" si="2">D9*G9</f>
        <v>53.491780796580812</v>
      </c>
      <c r="I9">
        <f>Storage_rawUSD!I9*inflator_2018</f>
        <v>14.662765307219624</v>
      </c>
      <c r="J9">
        <f>Storage_rawUSD!J9*inflator_2018</f>
        <v>0</v>
      </c>
      <c r="K9">
        <f>Storage_rawUSD!K9</f>
        <v>0</v>
      </c>
      <c r="L9">
        <f>Storage_rawUSD!L9</f>
        <v>1</v>
      </c>
      <c r="M9">
        <f>Storage_rawUSD!M9</f>
        <v>1</v>
      </c>
      <c r="N9">
        <f>Storage_rawUSD!N9</f>
        <v>0</v>
      </c>
      <c r="O9">
        <f>Storage_rawUSD!O9</f>
        <v>0.92195444572928875</v>
      </c>
      <c r="P9">
        <f>Storage_rawUSD!P9</f>
        <v>0.92195444572928875</v>
      </c>
      <c r="Q9">
        <f>Storage_rawUSD!Q9</f>
        <v>4.1686600000000002E-5</v>
      </c>
      <c r="R9" t="str">
        <f>Storage_rawUSD!R9</f>
        <v>Fu 2018; FOM from Cole 2019 projections</v>
      </c>
      <c r="S9" s="1">
        <v>2017</v>
      </c>
      <c r="T9">
        <f>Storage_rawUSD!T9</f>
        <v>1</v>
      </c>
    </row>
    <row r="10" spans="1:20">
      <c r="A10" t="str">
        <f>Storage_rawUSD!A10</f>
        <v>Li_2018_2hr</v>
      </c>
      <c r="B10">
        <f>Storage_rawUSD!B10</f>
        <v>2</v>
      </c>
      <c r="C10">
        <f>Storage_rawUSD!C10*inflator_2018</f>
        <v>443.01544887239282</v>
      </c>
      <c r="D10">
        <f>Storage_rawUSD!D10*inflator_2018</f>
        <v>886.03089774478565</v>
      </c>
      <c r="E10">
        <f>Storage_rawUSD!E10</f>
        <v>15</v>
      </c>
      <c r="F10">
        <f>Storage_rawUSD!F10</f>
        <v>4.2000000000000003E-2</v>
      </c>
      <c r="G10">
        <f t="shared" si="0"/>
        <v>9.1203432087674882E-2</v>
      </c>
      <c r="H10">
        <f t="shared" si="2"/>
        <v>80.809058810048171</v>
      </c>
      <c r="I10">
        <f>Storage_rawUSD!I10*inflator_2018</f>
        <v>22.15077244361964</v>
      </c>
      <c r="J10">
        <f>Storage_rawUSD!J10*inflator_2018</f>
        <v>0</v>
      </c>
      <c r="K10">
        <f>Storage_rawUSD!K10</f>
        <v>0</v>
      </c>
      <c r="L10">
        <f>Storage_rawUSD!L10</f>
        <v>1</v>
      </c>
      <c r="M10">
        <f>Storage_rawUSD!M10</f>
        <v>1</v>
      </c>
      <c r="N10">
        <f>Storage_rawUSD!N10</f>
        <v>0</v>
      </c>
      <c r="O10">
        <f>Storage_rawUSD!O10</f>
        <v>0.92195444572928875</v>
      </c>
      <c r="P10">
        <f>Storage_rawUSD!P10</f>
        <v>0.92195444572928875</v>
      </c>
      <c r="Q10">
        <f>Storage_rawUSD!Q10</f>
        <v>4.1686600000000002E-5</v>
      </c>
      <c r="R10" t="str">
        <f>Storage_rawUSD!R10</f>
        <v>Fu 2018; FOM from Cole 2019 projections</v>
      </c>
      <c r="S10" s="1">
        <v>2017</v>
      </c>
      <c r="T10">
        <f>Storage_rawUSD!T10</f>
        <v>1</v>
      </c>
    </row>
    <row r="11" spans="1:20">
      <c r="A11" t="str">
        <f>Storage_rawUSD!A11</f>
        <v>Li_2018_4hr</v>
      </c>
      <c r="B11">
        <f>Storage_rawUSD!B11</f>
        <v>4</v>
      </c>
      <c r="C11">
        <f>Storage_rawUSD!C11*inflator_2018</f>
        <v>371.26786716419673</v>
      </c>
      <c r="D11">
        <f>Storage_rawUSD!D11*inflator_2018</f>
        <v>1485.0714686567869</v>
      </c>
      <c r="E11">
        <f>Storage_rawUSD!E11</f>
        <v>15</v>
      </c>
      <c r="F11">
        <f>Storage_rawUSD!F11</f>
        <v>4.2000000000000003E-2</v>
      </c>
      <c r="G11">
        <f t="shared" si="0"/>
        <v>9.1203432087674882E-2</v>
      </c>
      <c r="H11">
        <f t="shared" si="2"/>
        <v>135.44361483698287</v>
      </c>
      <c r="I11">
        <f>Storage_rawUSD!I11*inflator_2018</f>
        <v>37.126786716419673</v>
      </c>
      <c r="J11">
        <f>Storage_rawUSD!J11*inflator_2018</f>
        <v>0</v>
      </c>
      <c r="K11">
        <f>Storage_rawUSD!K11</f>
        <v>0</v>
      </c>
      <c r="L11">
        <f>Storage_rawUSD!L11</f>
        <v>1</v>
      </c>
      <c r="M11">
        <f>Storage_rawUSD!M11</f>
        <v>1</v>
      </c>
      <c r="N11">
        <f>Storage_rawUSD!N11</f>
        <v>0</v>
      </c>
      <c r="O11">
        <f>Storage_rawUSD!O11</f>
        <v>0.92195444572928875</v>
      </c>
      <c r="P11">
        <f>Storage_rawUSD!P11</f>
        <v>0.92195444572928875</v>
      </c>
      <c r="Q11">
        <f>Storage_rawUSD!Q11</f>
        <v>4.1686600000000002E-5</v>
      </c>
      <c r="R11" t="str">
        <f>Storage_rawUSD!R11</f>
        <v>Fu 2018; FOM from Cole 2019 projections</v>
      </c>
      <c r="S11" s="1">
        <v>2017</v>
      </c>
      <c r="T11">
        <f>Storage_rawUSD!T11</f>
        <v>1</v>
      </c>
    </row>
    <row r="12" spans="1:20">
      <c r="A12" t="str">
        <f>Storage_rawUSD!A12</f>
        <v>Li_2018_8hr</v>
      </c>
      <c r="B12">
        <f>Storage_rawUSD!B12</f>
        <v>8</v>
      </c>
      <c r="C12">
        <f>Storage_rawUSD!C12*inflator_2018</f>
        <v>335.39407631009874</v>
      </c>
      <c r="D12">
        <f>Storage_rawUSD!D12*inflator_2018</f>
        <v>2683.1526104807899</v>
      </c>
      <c r="E12">
        <f>Storage_rawUSD!E12</f>
        <v>15</v>
      </c>
      <c r="F12">
        <f>Storage_rawUSD!F12</f>
        <v>4.2000000000000003E-2</v>
      </c>
      <c r="G12">
        <f t="shared" si="0"/>
        <v>9.1203432087674882E-2</v>
      </c>
      <c r="H12">
        <f t="shared" si="2"/>
        <v>244.71272689085231</v>
      </c>
      <c r="I12">
        <f>Storage_rawUSD!I12*inflator_2018</f>
        <v>67.078815262019745</v>
      </c>
      <c r="J12">
        <f>Storage_rawUSD!J12*inflator_2018</f>
        <v>0</v>
      </c>
      <c r="K12">
        <f>Storage_rawUSD!K12</f>
        <v>0</v>
      </c>
      <c r="L12">
        <f>Storage_rawUSD!L12</f>
        <v>1</v>
      </c>
      <c r="M12">
        <f>Storage_rawUSD!M12</f>
        <v>1</v>
      </c>
      <c r="N12">
        <f>Storage_rawUSD!N12</f>
        <v>0</v>
      </c>
      <c r="O12">
        <f>Storage_rawUSD!O12</f>
        <v>0.92195444572928875</v>
      </c>
      <c r="P12">
        <f>Storage_rawUSD!P12</f>
        <v>0.92195444572928875</v>
      </c>
      <c r="Q12">
        <f>Storage_rawUSD!Q12</f>
        <v>4.1686600000000002E-5</v>
      </c>
      <c r="R12" t="str">
        <f>Storage_rawUSD!R12</f>
        <v>Fu 2018; FOM from Cole 2019 projections</v>
      </c>
      <c r="S12" s="1">
        <v>2017</v>
      </c>
      <c r="T12">
        <f>Storage_rawUSD!T12</f>
        <v>1</v>
      </c>
    </row>
    <row r="13" spans="1:20">
      <c r="A13" t="str">
        <f>Storage_rawUSD!A13</f>
        <v>Li_2018_12hr</v>
      </c>
      <c r="B13">
        <f>Storage_rawUSD!B13</f>
        <v>12</v>
      </c>
      <c r="C13">
        <f>Storage_rawUSD!C13*inflator_2018</f>
        <v>323.43614602539935</v>
      </c>
      <c r="D13">
        <f>Storage_rawUSD!D13*inflator_2018</f>
        <v>3881.2337523047922</v>
      </c>
      <c r="E13">
        <f>Storage_rawUSD!E13</f>
        <v>15</v>
      </c>
      <c r="F13">
        <f>Storage_rawUSD!F13</f>
        <v>4.2000000000000003E-2</v>
      </c>
      <c r="G13">
        <f t="shared" si="0"/>
        <v>9.1203432087674882E-2</v>
      </c>
      <c r="H13">
        <f t="shared" si="2"/>
        <v>353.98183894472169</v>
      </c>
      <c r="I13">
        <f>Storage_rawUSD!I13*inflator_2018</f>
        <v>97.030843807619817</v>
      </c>
      <c r="J13">
        <f>Storage_rawUSD!J13*inflator_2018</f>
        <v>0</v>
      </c>
      <c r="K13">
        <f>Storage_rawUSD!K13</f>
        <v>0</v>
      </c>
      <c r="L13">
        <f>Storage_rawUSD!L13</f>
        <v>1</v>
      </c>
      <c r="M13">
        <f>Storage_rawUSD!M13</f>
        <v>1</v>
      </c>
      <c r="N13">
        <f>Storage_rawUSD!N13</f>
        <v>0</v>
      </c>
      <c r="O13">
        <f>Storage_rawUSD!O13</f>
        <v>0.92195444572928875</v>
      </c>
      <c r="P13">
        <f>Storage_rawUSD!P13</f>
        <v>0.92195444572928875</v>
      </c>
      <c r="Q13">
        <f>Storage_rawUSD!Q13</f>
        <v>4.1686600000000002E-5</v>
      </c>
      <c r="R13" t="str">
        <f>Storage_rawUSD!R13</f>
        <v>Fu 2018; FOM from Cole 2019 projections</v>
      </c>
      <c r="S13" s="1">
        <v>2017</v>
      </c>
      <c r="T13">
        <f>Storage_rawUSD!T13</f>
        <v>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41"/>
  <sheetViews>
    <sheetView workbookViewId="0">
      <selection activeCell="I1" sqref="I1:J1048576"/>
    </sheetView>
  </sheetViews>
  <sheetFormatPr baseColWidth="10" defaultRowHeight="16"/>
  <cols>
    <col min="1" max="1" width="15.33203125" bestFit="1" customWidth="1"/>
    <col min="2" max="2" width="17.33203125" bestFit="1" customWidth="1"/>
    <col min="3" max="3" width="17" bestFit="1" customWidth="1"/>
    <col min="4" max="4" width="8" bestFit="1" customWidth="1"/>
    <col min="5" max="5" width="12.1640625" bestFit="1" customWidth="1"/>
    <col min="6" max="6" width="19.83203125" bestFit="1" customWidth="1"/>
    <col min="7" max="7" width="21" bestFit="1" customWidth="1"/>
    <col min="8" max="8" width="10.6640625" bestFit="1" customWidth="1"/>
    <col min="9" max="9" width="11.1640625" bestFit="1" customWidth="1"/>
    <col min="10" max="10" width="13.33203125" bestFit="1" customWidth="1"/>
    <col min="11" max="11" width="12.33203125" bestFit="1" customWidth="1"/>
    <col min="12" max="12" width="14.83203125" bestFit="1" customWidth="1"/>
    <col min="13" max="13" width="18.6640625" bestFit="1" customWidth="1"/>
    <col min="14" max="14" width="15.5" bestFit="1" customWidth="1"/>
    <col min="15" max="15" width="18" bestFit="1" customWidth="1"/>
    <col min="16" max="16" width="20.1640625" bestFit="1" customWidth="1"/>
    <col min="17" max="17" width="23.83203125" bestFit="1" customWidth="1"/>
  </cols>
  <sheetData>
    <row r="1" spans="1:18">
      <c r="A1" t="s">
        <v>0</v>
      </c>
      <c r="B1" t="s">
        <v>62</v>
      </c>
      <c r="C1" t="s">
        <v>68</v>
      </c>
      <c r="D1" t="s">
        <v>66</v>
      </c>
      <c r="E1" t="s">
        <v>4</v>
      </c>
      <c r="F1" t="s">
        <v>81</v>
      </c>
      <c r="G1" t="s">
        <v>82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35</v>
      </c>
      <c r="R1" t="s">
        <v>121</v>
      </c>
    </row>
    <row r="2" spans="1:18">
      <c r="A2" t="s">
        <v>0</v>
      </c>
      <c r="B2" t="s">
        <v>64</v>
      </c>
      <c r="C2" t="s">
        <v>63</v>
      </c>
      <c r="D2" t="s">
        <v>33</v>
      </c>
      <c r="E2" t="s">
        <v>4</v>
      </c>
      <c r="F2" t="s">
        <v>83</v>
      </c>
      <c r="G2" t="s">
        <v>84</v>
      </c>
      <c r="H2" t="s">
        <v>11</v>
      </c>
      <c r="I2" t="s">
        <v>12</v>
      </c>
      <c r="J2" t="s">
        <v>13</v>
      </c>
      <c r="K2" t="s">
        <v>18</v>
      </c>
      <c r="L2" t="s">
        <v>14</v>
      </c>
      <c r="M2" t="s">
        <v>19</v>
      </c>
      <c r="N2" t="s">
        <v>22</v>
      </c>
      <c r="O2" t="s">
        <v>23</v>
      </c>
      <c r="P2" t="s">
        <v>24</v>
      </c>
    </row>
    <row r="3" spans="1:18">
      <c r="B3" t="s">
        <v>28</v>
      </c>
      <c r="C3" t="s">
        <v>46</v>
      </c>
      <c r="D3" t="s">
        <v>34</v>
      </c>
      <c r="E3" t="s">
        <v>6</v>
      </c>
      <c r="F3" t="s">
        <v>85</v>
      </c>
      <c r="G3" t="s">
        <v>44</v>
      </c>
      <c r="H3" t="s">
        <v>45</v>
      </c>
      <c r="I3" t="s">
        <v>28</v>
      </c>
      <c r="J3" t="s">
        <v>29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5</v>
      </c>
    </row>
    <row r="4" spans="1:18">
      <c r="A4" t="s">
        <v>86</v>
      </c>
      <c r="B4">
        <v>307</v>
      </c>
      <c r="C4">
        <v>294</v>
      </c>
      <c r="D4">
        <v>15</v>
      </c>
      <c r="E4">
        <f t="shared" ref="E4:E41" si="0">((wacc*(1+wacc)^D4)/((1+wacc)^D4-1))</f>
        <v>9.1203432087674882E-2</v>
      </c>
      <c r="F4">
        <f>B4*E4</f>
        <v>27.999453650916188</v>
      </c>
      <c r="G4">
        <f>C4*E4</f>
        <v>26.813809033776415</v>
      </c>
      <c r="H4">
        <v>9</v>
      </c>
      <c r="I4">
        <v>5.0000000000000001E-3</v>
      </c>
      <c r="J4">
        <v>0</v>
      </c>
      <c r="K4">
        <v>1</v>
      </c>
      <c r="L4">
        <v>1</v>
      </c>
      <c r="M4">
        <v>0</v>
      </c>
      <c r="N4">
        <f t="shared" ref="N4:O4" si="1">SQRT(0.85)</f>
        <v>0.92195444572928875</v>
      </c>
      <c r="O4">
        <f t="shared" si="1"/>
        <v>0.92195444572928875</v>
      </c>
      <c r="P4">
        <v>0</v>
      </c>
      <c r="Q4" t="s">
        <v>87</v>
      </c>
      <c r="R4">
        <v>2017</v>
      </c>
    </row>
    <row r="5" spans="1:18">
      <c r="A5" t="s">
        <v>91</v>
      </c>
      <c r="B5">
        <v>425</v>
      </c>
      <c r="C5">
        <v>670</v>
      </c>
      <c r="D5">
        <v>15</v>
      </c>
      <c r="E5">
        <f t="shared" si="0"/>
        <v>9.1203432087674882E-2</v>
      </c>
      <c r="F5">
        <f>B5*E5</f>
        <v>38.761458637261825</v>
      </c>
      <c r="G5">
        <f>C5*E5</f>
        <v>61.106299498742175</v>
      </c>
      <c r="H5">
        <v>9.1769999999999996</v>
      </c>
      <c r="I5">
        <v>2.7930000000000003E-3</v>
      </c>
      <c r="J5">
        <v>0</v>
      </c>
      <c r="K5">
        <v>1</v>
      </c>
      <c r="L5">
        <v>1</v>
      </c>
      <c r="M5">
        <v>0</v>
      </c>
      <c r="N5">
        <f>SQRT(0.9)</f>
        <v>0.94868329805051377</v>
      </c>
      <c r="O5">
        <f t="shared" ref="O5:O28" si="2">SQRT(0.9)</f>
        <v>0.94868329805051377</v>
      </c>
      <c r="P5">
        <v>0</v>
      </c>
      <c r="Q5" t="s">
        <v>36</v>
      </c>
      <c r="R5">
        <v>2016</v>
      </c>
    </row>
    <row r="6" spans="1:18">
      <c r="A6" t="s">
        <v>92</v>
      </c>
      <c r="B6">
        <v>281.25636487829109</v>
      </c>
      <c r="C6">
        <v>615.50537199807502</v>
      </c>
      <c r="D6">
        <v>15</v>
      </c>
      <c r="E6">
        <f t="shared" si="0"/>
        <v>9.1203432087674882E-2</v>
      </c>
      <c r="F6">
        <f t="shared" ref="F6:F41" si="3">B6*E6</f>
        <v>25.65154577340353</v>
      </c>
      <c r="G6">
        <f t="shared" ref="G6:G41" si="4">C6*E6</f>
        <v>56.136202394625499</v>
      </c>
      <c r="H6">
        <v>8.6450000000000031</v>
      </c>
      <c r="I6">
        <v>2.4977400000000009E-3</v>
      </c>
      <c r="J6">
        <v>0</v>
      </c>
      <c r="K6">
        <v>1</v>
      </c>
      <c r="L6">
        <v>1</v>
      </c>
      <c r="M6">
        <v>0</v>
      </c>
      <c r="N6">
        <f t="shared" ref="N6:N28" si="5">SQRT(0.9)</f>
        <v>0.94868329805051377</v>
      </c>
      <c r="O6">
        <f t="shared" si="2"/>
        <v>0.94868329805051377</v>
      </c>
      <c r="P6">
        <v>0</v>
      </c>
      <c r="Q6" t="s">
        <v>36</v>
      </c>
      <c r="R6">
        <v>2016</v>
      </c>
    </row>
    <row r="7" spans="1:18">
      <c r="A7" t="s">
        <v>93</v>
      </c>
      <c r="B7">
        <v>221.2893888274582</v>
      </c>
      <c r="C7">
        <v>561.01074399615004</v>
      </c>
      <c r="D7">
        <v>15</v>
      </c>
      <c r="E7">
        <f t="shared" si="0"/>
        <v>9.1203432087674882E-2</v>
      </c>
      <c r="F7">
        <f t="shared" si="3"/>
        <v>20.182351745648166</v>
      </c>
      <c r="G7">
        <f t="shared" si="4"/>
        <v>51.166105290508831</v>
      </c>
      <c r="H7">
        <v>8.1130000000000049</v>
      </c>
      <c r="I7">
        <v>2.2024800000000015E-3</v>
      </c>
      <c r="J7">
        <v>0</v>
      </c>
      <c r="K7">
        <v>1</v>
      </c>
      <c r="L7">
        <v>1</v>
      </c>
      <c r="M7">
        <v>0</v>
      </c>
      <c r="N7">
        <f t="shared" si="5"/>
        <v>0.94868329805051377</v>
      </c>
      <c r="O7">
        <f t="shared" si="2"/>
        <v>0.94868329805051377</v>
      </c>
      <c r="P7">
        <v>0</v>
      </c>
      <c r="Q7" t="s">
        <v>36</v>
      </c>
      <c r="R7">
        <v>2016</v>
      </c>
    </row>
    <row r="8" spans="1:18">
      <c r="A8" t="s">
        <v>94</v>
      </c>
      <c r="B8">
        <v>200.28124999999997</v>
      </c>
      <c r="C8">
        <v>506.51611599422506</v>
      </c>
      <c r="D8">
        <v>15</v>
      </c>
      <c r="E8">
        <f t="shared" si="0"/>
        <v>9.1203432087674882E-2</v>
      </c>
      <c r="F8">
        <f t="shared" si="3"/>
        <v>18.266337382809631</v>
      </c>
      <c r="G8">
        <f t="shared" si="4"/>
        <v>46.196008186392156</v>
      </c>
      <c r="H8">
        <v>7.5810000000000102</v>
      </c>
      <c r="I8">
        <v>1.9072200000000016E-3</v>
      </c>
      <c r="J8">
        <v>0</v>
      </c>
      <c r="K8">
        <v>1</v>
      </c>
      <c r="L8">
        <v>1</v>
      </c>
      <c r="M8">
        <v>0</v>
      </c>
      <c r="N8">
        <f t="shared" si="5"/>
        <v>0.94868329805051377</v>
      </c>
      <c r="O8">
        <f t="shared" si="2"/>
        <v>0.94868329805051377</v>
      </c>
      <c r="P8">
        <v>0</v>
      </c>
      <c r="Q8" t="s">
        <v>36</v>
      </c>
      <c r="R8">
        <v>2016</v>
      </c>
    </row>
    <row r="9" spans="1:18">
      <c r="A9" t="s">
        <v>95</v>
      </c>
      <c r="B9">
        <v>189.96560660639008</v>
      </c>
      <c r="C9">
        <v>452.02148799230008</v>
      </c>
      <c r="D9">
        <v>15</v>
      </c>
      <c r="E9">
        <f t="shared" si="0"/>
        <v>9.1203432087674882E-2</v>
      </c>
      <c r="F9">
        <f t="shared" si="3"/>
        <v>17.325515301119861</v>
      </c>
      <c r="G9">
        <f t="shared" si="4"/>
        <v>41.225911082275488</v>
      </c>
      <c r="H9">
        <v>7.0490000000000093</v>
      </c>
      <c r="I9">
        <v>1.611960000000001E-3</v>
      </c>
      <c r="J9">
        <v>0</v>
      </c>
      <c r="K9">
        <v>1</v>
      </c>
      <c r="L9">
        <v>1</v>
      </c>
      <c r="M9">
        <v>0</v>
      </c>
      <c r="N9">
        <f t="shared" si="5"/>
        <v>0.94868329805051377</v>
      </c>
      <c r="O9">
        <f t="shared" si="2"/>
        <v>0.94868329805051377</v>
      </c>
      <c r="P9">
        <v>0</v>
      </c>
      <c r="Q9" t="s">
        <v>36</v>
      </c>
      <c r="R9">
        <v>2016</v>
      </c>
    </row>
    <row r="10" spans="1:18">
      <c r="A10" t="s">
        <v>96</v>
      </c>
      <c r="B10">
        <v>185.32632059266038</v>
      </c>
      <c r="C10">
        <v>397.52685999037499</v>
      </c>
      <c r="D10">
        <v>15</v>
      </c>
      <c r="E10">
        <f t="shared" si="0"/>
        <v>9.1203432087674882E-2</v>
      </c>
      <c r="F10">
        <f t="shared" si="3"/>
        <v>16.902396494231365</v>
      </c>
      <c r="G10">
        <f t="shared" si="4"/>
        <v>36.255813978158805</v>
      </c>
      <c r="H10">
        <v>6.5170000000000066</v>
      </c>
      <c r="I10">
        <v>1.3167000000000005E-3</v>
      </c>
      <c r="J10">
        <v>0</v>
      </c>
      <c r="K10">
        <v>1</v>
      </c>
      <c r="L10">
        <v>1</v>
      </c>
      <c r="M10">
        <v>0</v>
      </c>
      <c r="N10">
        <f t="shared" si="5"/>
        <v>0.94868329805051377</v>
      </c>
      <c r="O10">
        <f t="shared" si="2"/>
        <v>0.94868329805051377</v>
      </c>
      <c r="P10">
        <v>0</v>
      </c>
      <c r="Q10" t="s">
        <v>36</v>
      </c>
      <c r="R10">
        <v>2016</v>
      </c>
    </row>
    <row r="11" spans="1:18">
      <c r="A11" t="s">
        <v>97</v>
      </c>
      <c r="B11">
        <v>177.43084709467325</v>
      </c>
      <c r="C11">
        <v>397.52685999037499</v>
      </c>
      <c r="D11">
        <v>15</v>
      </c>
      <c r="E11">
        <f t="shared" si="0"/>
        <v>9.1203432087674882E-2</v>
      </c>
      <c r="F11">
        <f t="shared" si="3"/>
        <v>16.182302213257657</v>
      </c>
      <c r="G11">
        <f t="shared" si="4"/>
        <v>36.255813978158805</v>
      </c>
      <c r="H11">
        <v>6.5170000000000066</v>
      </c>
      <c r="I11">
        <v>1.3167000000000005E-3</v>
      </c>
      <c r="J11">
        <v>0</v>
      </c>
      <c r="K11">
        <v>1</v>
      </c>
      <c r="L11">
        <v>1</v>
      </c>
      <c r="M11">
        <v>0</v>
      </c>
      <c r="N11">
        <f t="shared" si="5"/>
        <v>0.94868329805051377</v>
      </c>
      <c r="O11">
        <f t="shared" si="2"/>
        <v>0.94868329805051377</v>
      </c>
      <c r="P11">
        <v>0</v>
      </c>
      <c r="Q11" t="s">
        <v>36</v>
      </c>
      <c r="R11">
        <v>2016</v>
      </c>
    </row>
    <row r="12" spans="1:18">
      <c r="A12" t="s">
        <v>98</v>
      </c>
      <c r="B12">
        <v>170.12391233220129</v>
      </c>
      <c r="C12">
        <v>397.52685999037499</v>
      </c>
      <c r="D12">
        <v>15</v>
      </c>
      <c r="E12">
        <f t="shared" si="0"/>
        <v>9.1203432087674882E-2</v>
      </c>
      <c r="F12">
        <f t="shared" si="3"/>
        <v>15.515884684879476</v>
      </c>
      <c r="G12">
        <f t="shared" si="4"/>
        <v>36.255813978158805</v>
      </c>
      <c r="H12">
        <v>6.5170000000000101</v>
      </c>
      <c r="I12">
        <v>1.3167000000000005E-3</v>
      </c>
      <c r="J12">
        <v>0</v>
      </c>
      <c r="K12">
        <v>1</v>
      </c>
      <c r="L12">
        <v>1</v>
      </c>
      <c r="M12">
        <v>0</v>
      </c>
      <c r="N12">
        <f t="shared" si="5"/>
        <v>0.94868329805051377</v>
      </c>
      <c r="O12">
        <f t="shared" si="2"/>
        <v>0.94868329805051377</v>
      </c>
      <c r="P12">
        <v>0</v>
      </c>
      <c r="Q12" t="s">
        <v>36</v>
      </c>
      <c r="R12">
        <v>2016</v>
      </c>
    </row>
    <row r="13" spans="1:18">
      <c r="A13" t="s">
        <v>99</v>
      </c>
      <c r="B13">
        <v>425</v>
      </c>
      <c r="C13">
        <v>670</v>
      </c>
      <c r="D13">
        <v>15</v>
      </c>
      <c r="E13">
        <f t="shared" si="0"/>
        <v>9.1203432087674882E-2</v>
      </c>
      <c r="F13">
        <f t="shared" si="3"/>
        <v>38.761458637261825</v>
      </c>
      <c r="G13">
        <f t="shared" si="4"/>
        <v>61.106299498742175</v>
      </c>
      <c r="H13">
        <v>9.1770000000000014</v>
      </c>
      <c r="I13">
        <v>2.7930000000000003E-3</v>
      </c>
      <c r="J13">
        <v>0</v>
      </c>
      <c r="K13">
        <v>1</v>
      </c>
      <c r="L13">
        <v>1</v>
      </c>
      <c r="M13">
        <v>0</v>
      </c>
      <c r="N13">
        <f t="shared" si="5"/>
        <v>0.94868329805051377</v>
      </c>
      <c r="O13">
        <f t="shared" si="2"/>
        <v>0.94868329805051377</v>
      </c>
      <c r="P13">
        <v>0</v>
      </c>
      <c r="Q13" t="s">
        <v>36</v>
      </c>
      <c r="R13">
        <v>2016</v>
      </c>
    </row>
    <row r="14" spans="1:18">
      <c r="A14" t="s">
        <v>100</v>
      </c>
      <c r="B14">
        <v>206.15671641791042</v>
      </c>
      <c r="C14">
        <v>589.05156244600835</v>
      </c>
      <c r="D14">
        <v>15</v>
      </c>
      <c r="E14">
        <f t="shared" si="0"/>
        <v>9.1203432087674882E-2</v>
      </c>
      <c r="F14">
        <f t="shared" si="3"/>
        <v>18.80220008523894</v>
      </c>
      <c r="G14">
        <f t="shared" si="4"/>
        <v>53.723524171683302</v>
      </c>
      <c r="H14">
        <v>7.8736000000000006</v>
      </c>
      <c r="I14">
        <v>2.3407999999999997E-3</v>
      </c>
      <c r="J14">
        <v>0</v>
      </c>
      <c r="K14">
        <v>1</v>
      </c>
      <c r="L14">
        <v>1</v>
      </c>
      <c r="M14">
        <v>0</v>
      </c>
      <c r="N14">
        <f t="shared" si="5"/>
        <v>0.94868329805051377</v>
      </c>
      <c r="O14">
        <f t="shared" si="2"/>
        <v>0.94868329805051377</v>
      </c>
      <c r="P14">
        <v>0</v>
      </c>
      <c r="Q14" t="s">
        <v>36</v>
      </c>
      <c r="R14">
        <v>2016</v>
      </c>
    </row>
    <row r="15" spans="1:18">
      <c r="A15" t="s">
        <v>101</v>
      </c>
      <c r="B15">
        <v>118.05555555555556</v>
      </c>
      <c r="C15">
        <v>508.10312489201664</v>
      </c>
      <c r="D15">
        <v>15</v>
      </c>
      <c r="E15">
        <f t="shared" si="0"/>
        <v>9.1203432087674882E-2</v>
      </c>
      <c r="F15">
        <f t="shared" si="3"/>
        <v>10.767071843683841</v>
      </c>
      <c r="G15">
        <f t="shared" si="4"/>
        <v>46.340748844624429</v>
      </c>
      <c r="H15">
        <v>6.5701999999999989</v>
      </c>
      <c r="I15">
        <v>1.8885999999999994E-3</v>
      </c>
      <c r="J15">
        <v>0</v>
      </c>
      <c r="K15">
        <v>1</v>
      </c>
      <c r="L15">
        <v>1</v>
      </c>
      <c r="M15">
        <v>0</v>
      </c>
      <c r="N15">
        <f t="shared" si="5"/>
        <v>0.94868329805051377</v>
      </c>
      <c r="O15">
        <f t="shared" si="2"/>
        <v>0.94868329805051377</v>
      </c>
      <c r="P15">
        <v>0</v>
      </c>
      <c r="Q15" t="s">
        <v>36</v>
      </c>
      <c r="R15">
        <v>2016</v>
      </c>
    </row>
    <row r="16" spans="1:18">
      <c r="A16" t="s">
        <v>102</v>
      </c>
      <c r="B16">
        <v>77.388059701492537</v>
      </c>
      <c r="C16">
        <v>427.15468733802493</v>
      </c>
      <c r="D16">
        <v>15</v>
      </c>
      <c r="E16">
        <f t="shared" si="0"/>
        <v>9.1203432087674882E-2</v>
      </c>
      <c r="F16">
        <f t="shared" si="3"/>
        <v>7.0580566473820037</v>
      </c>
      <c r="G16">
        <f t="shared" si="4"/>
        <v>38.957973517565556</v>
      </c>
      <c r="H16">
        <v>5.2667999999999973</v>
      </c>
      <c r="I16">
        <v>1.4363999999999989E-3</v>
      </c>
      <c r="J16">
        <v>0</v>
      </c>
      <c r="K16">
        <v>1</v>
      </c>
      <c r="L16">
        <v>1</v>
      </c>
      <c r="M16">
        <v>0</v>
      </c>
      <c r="N16">
        <f t="shared" si="5"/>
        <v>0.94868329805051377</v>
      </c>
      <c r="O16">
        <f t="shared" si="2"/>
        <v>0.94868329805051377</v>
      </c>
      <c r="P16">
        <v>0</v>
      </c>
      <c r="Q16" t="s">
        <v>36</v>
      </c>
      <c r="R16">
        <v>2016</v>
      </c>
    </row>
    <row r="17" spans="1:18">
      <c r="A17" t="s">
        <v>103</v>
      </c>
      <c r="B17">
        <v>72.602500912801716</v>
      </c>
      <c r="C17">
        <v>346.20624978403322</v>
      </c>
      <c r="D17">
        <v>15</v>
      </c>
      <c r="E17">
        <f t="shared" si="0"/>
        <v>9.1203432087674882E-2</v>
      </c>
      <c r="F17">
        <f t="shared" si="3"/>
        <v>6.6215972613960652</v>
      </c>
      <c r="G17">
        <f t="shared" si="4"/>
        <v>31.575198190506679</v>
      </c>
      <c r="H17">
        <v>3.963399999999996</v>
      </c>
      <c r="I17">
        <v>9.8419999999999888E-4</v>
      </c>
      <c r="J17">
        <v>0</v>
      </c>
      <c r="K17">
        <v>1</v>
      </c>
      <c r="L17">
        <v>1</v>
      </c>
      <c r="M17">
        <v>0</v>
      </c>
      <c r="N17">
        <f t="shared" si="5"/>
        <v>0.94868329805051377</v>
      </c>
      <c r="O17">
        <f t="shared" si="2"/>
        <v>0.94868329805051377</v>
      </c>
      <c r="P17">
        <v>0</v>
      </c>
      <c r="Q17" t="s">
        <v>36</v>
      </c>
      <c r="R17">
        <v>2016</v>
      </c>
    </row>
    <row r="18" spans="1:18">
      <c r="A18" t="s">
        <v>104</v>
      </c>
      <c r="B18">
        <v>69.567341823099355</v>
      </c>
      <c r="C18">
        <v>265.25781223004145</v>
      </c>
      <c r="D18">
        <v>15</v>
      </c>
      <c r="E18">
        <f t="shared" si="0"/>
        <v>9.1203432087674882E-2</v>
      </c>
      <c r="F18">
        <f t="shared" si="3"/>
        <v>6.3447803354831063</v>
      </c>
      <c r="G18">
        <f t="shared" si="4"/>
        <v>24.192422863447803</v>
      </c>
      <c r="H18">
        <v>2.659999999999997</v>
      </c>
      <c r="I18">
        <v>5.319999999999984E-4</v>
      </c>
      <c r="J18">
        <v>0</v>
      </c>
      <c r="K18">
        <v>1</v>
      </c>
      <c r="L18">
        <v>1</v>
      </c>
      <c r="M18">
        <v>0</v>
      </c>
      <c r="N18">
        <f t="shared" si="5"/>
        <v>0.94868329805051377</v>
      </c>
      <c r="O18">
        <f t="shared" si="2"/>
        <v>0.94868329805051377</v>
      </c>
      <c r="P18">
        <v>0</v>
      </c>
      <c r="Q18" t="s">
        <v>36</v>
      </c>
      <c r="R18">
        <v>2016</v>
      </c>
    </row>
    <row r="19" spans="1:18">
      <c r="A19" t="s">
        <v>105</v>
      </c>
      <c r="B19">
        <v>66.603558255103323</v>
      </c>
      <c r="C19">
        <v>265.25781223004145</v>
      </c>
      <c r="D19">
        <v>15</v>
      </c>
      <c r="E19">
        <f t="shared" si="0"/>
        <v>9.1203432087674882E-2</v>
      </c>
      <c r="F19">
        <f t="shared" si="3"/>
        <v>6.0744731021168139</v>
      </c>
      <c r="G19">
        <f t="shared" si="4"/>
        <v>24.192422863447803</v>
      </c>
      <c r="H19">
        <v>2.659999999999997</v>
      </c>
      <c r="I19">
        <v>5.319999999999984E-4</v>
      </c>
      <c r="J19">
        <v>0</v>
      </c>
      <c r="K19">
        <v>1</v>
      </c>
      <c r="L19">
        <v>1</v>
      </c>
      <c r="M19">
        <v>0</v>
      </c>
      <c r="N19">
        <f t="shared" si="5"/>
        <v>0.94868329805051377</v>
      </c>
      <c r="O19">
        <f t="shared" si="2"/>
        <v>0.94868329805051377</v>
      </c>
      <c r="P19">
        <v>0</v>
      </c>
      <c r="Q19" t="s">
        <v>36</v>
      </c>
      <c r="R19">
        <v>2016</v>
      </c>
    </row>
    <row r="20" spans="1:18">
      <c r="A20" t="s">
        <v>106</v>
      </c>
      <c r="B20">
        <v>63.860698920960218</v>
      </c>
      <c r="C20">
        <v>265.25781223004145</v>
      </c>
      <c r="D20">
        <v>15</v>
      </c>
      <c r="E20">
        <f t="shared" si="0"/>
        <v>9.1203432087674882E-2</v>
      </c>
      <c r="F20">
        <f t="shared" si="3"/>
        <v>5.8243149171092474</v>
      </c>
      <c r="G20">
        <f t="shared" si="4"/>
        <v>24.192422863447803</v>
      </c>
      <c r="H20">
        <v>2.659999999999997</v>
      </c>
      <c r="I20">
        <v>5.319999999999984E-4</v>
      </c>
      <c r="J20">
        <v>0</v>
      </c>
      <c r="K20">
        <v>1</v>
      </c>
      <c r="L20">
        <v>1</v>
      </c>
      <c r="M20">
        <v>0</v>
      </c>
      <c r="N20">
        <f t="shared" si="5"/>
        <v>0.94868329805051377</v>
      </c>
      <c r="O20">
        <f t="shared" si="2"/>
        <v>0.94868329805051377</v>
      </c>
      <c r="P20">
        <v>0</v>
      </c>
      <c r="Q20" t="s">
        <v>36</v>
      </c>
      <c r="R20">
        <v>2016</v>
      </c>
    </row>
    <row r="21" spans="1:18">
      <c r="A21" s="1" t="s">
        <v>107</v>
      </c>
      <c r="B21">
        <v>425</v>
      </c>
      <c r="C21">
        <v>670</v>
      </c>
      <c r="D21">
        <v>15</v>
      </c>
      <c r="E21">
        <f t="shared" si="0"/>
        <v>9.1203432087674882E-2</v>
      </c>
      <c r="F21">
        <f t="shared" si="3"/>
        <v>38.761458637261825</v>
      </c>
      <c r="G21">
        <f t="shared" si="4"/>
        <v>61.106299498742175</v>
      </c>
      <c r="H21">
        <v>9.1769999999999996</v>
      </c>
      <c r="I21">
        <v>2.7930000000000003E-3</v>
      </c>
      <c r="J21">
        <v>0</v>
      </c>
      <c r="K21">
        <v>1</v>
      </c>
      <c r="L21">
        <v>1</v>
      </c>
      <c r="M21">
        <v>0</v>
      </c>
      <c r="N21">
        <f t="shared" si="5"/>
        <v>0.94868329805051377</v>
      </c>
      <c r="O21">
        <f t="shared" si="2"/>
        <v>0.94868329805051377</v>
      </c>
      <c r="P21">
        <v>0</v>
      </c>
      <c r="Q21" t="s">
        <v>36</v>
      </c>
      <c r="R21">
        <v>2016</v>
      </c>
    </row>
    <row r="22" spans="1:18">
      <c r="A22" s="1" t="s">
        <v>108</v>
      </c>
      <c r="B22">
        <v>396.26233450390811</v>
      </c>
      <c r="C22">
        <v>670</v>
      </c>
      <c r="D22">
        <v>15</v>
      </c>
      <c r="E22">
        <f t="shared" si="0"/>
        <v>9.1203432087674882E-2</v>
      </c>
      <c r="F22">
        <f t="shared" si="3"/>
        <v>36.14048491383069</v>
      </c>
      <c r="G22">
        <f t="shared" si="4"/>
        <v>61.106299498742175</v>
      </c>
      <c r="H22">
        <v>9.1769999999999996</v>
      </c>
      <c r="I22">
        <v>2.7930000000000003E-3</v>
      </c>
      <c r="J22">
        <v>0</v>
      </c>
      <c r="K22">
        <v>1</v>
      </c>
      <c r="L22">
        <v>1</v>
      </c>
      <c r="M22">
        <v>0</v>
      </c>
      <c r="N22">
        <f t="shared" si="5"/>
        <v>0.94868329805051377</v>
      </c>
      <c r="O22">
        <f t="shared" si="2"/>
        <v>0.94868329805051377</v>
      </c>
      <c r="P22">
        <v>0</v>
      </c>
      <c r="Q22" t="s">
        <v>36</v>
      </c>
      <c r="R22">
        <v>2016</v>
      </c>
    </row>
    <row r="23" spans="1:18">
      <c r="A23" s="1" t="s">
        <v>109</v>
      </c>
      <c r="B23">
        <v>338.2349801260545</v>
      </c>
      <c r="C23">
        <v>670</v>
      </c>
      <c r="D23">
        <v>15</v>
      </c>
      <c r="E23">
        <f t="shared" si="0"/>
        <v>9.1203432087674882E-2</v>
      </c>
      <c r="F23">
        <f>B23*E23</f>
        <v>30.848191039602675</v>
      </c>
      <c r="G23">
        <f t="shared" si="4"/>
        <v>61.106299498742175</v>
      </c>
      <c r="H23">
        <v>9.1769999999999996</v>
      </c>
      <c r="I23">
        <v>2.7930000000000003E-3</v>
      </c>
      <c r="J23">
        <v>0</v>
      </c>
      <c r="K23">
        <v>1</v>
      </c>
      <c r="L23">
        <v>1</v>
      </c>
      <c r="M23">
        <v>0</v>
      </c>
      <c r="N23">
        <f t="shared" si="5"/>
        <v>0.94868329805051377</v>
      </c>
      <c r="O23">
        <f t="shared" si="2"/>
        <v>0.94868329805051377</v>
      </c>
      <c r="P23">
        <v>0</v>
      </c>
      <c r="Q23" t="s">
        <v>36</v>
      </c>
      <c r="R23">
        <v>2016</v>
      </c>
    </row>
    <row r="24" spans="1:18">
      <c r="A24" s="1" t="s">
        <v>110</v>
      </c>
      <c r="B24">
        <v>290.3056238490949</v>
      </c>
      <c r="C24">
        <v>670</v>
      </c>
      <c r="D24">
        <v>15</v>
      </c>
      <c r="E24">
        <f t="shared" si="0"/>
        <v>9.1203432087674882E-2</v>
      </c>
      <c r="F24">
        <f t="shared" si="3"/>
        <v>26.476869249391015</v>
      </c>
      <c r="G24">
        <f t="shared" si="4"/>
        <v>61.106299498742175</v>
      </c>
      <c r="H24">
        <v>9.1769999999999996</v>
      </c>
      <c r="I24">
        <v>2.7930000000000003E-3</v>
      </c>
      <c r="J24">
        <v>0</v>
      </c>
      <c r="K24">
        <v>1</v>
      </c>
      <c r="L24">
        <v>1</v>
      </c>
      <c r="M24">
        <v>0</v>
      </c>
      <c r="N24">
        <f t="shared" si="5"/>
        <v>0.94868329805051377</v>
      </c>
      <c r="O24">
        <f t="shared" si="2"/>
        <v>0.94868329805051377</v>
      </c>
      <c r="P24">
        <v>0</v>
      </c>
      <c r="Q24" t="s">
        <v>36</v>
      </c>
      <c r="R24">
        <v>2016</v>
      </c>
    </row>
    <row r="25" spans="1:18">
      <c r="A25" s="1" t="s">
        <v>111</v>
      </c>
      <c r="B25">
        <v>278.35283865887806</v>
      </c>
      <c r="C25">
        <v>670</v>
      </c>
      <c r="D25">
        <v>15</v>
      </c>
      <c r="E25">
        <f t="shared" si="0"/>
        <v>9.1203432087674882E-2</v>
      </c>
      <c r="F25">
        <f t="shared" si="3"/>
        <v>25.386734217036508</v>
      </c>
      <c r="G25">
        <f t="shared" si="4"/>
        <v>61.106299498742175</v>
      </c>
      <c r="H25">
        <v>9.1769999999999996</v>
      </c>
      <c r="I25">
        <v>2.7930000000000003E-3</v>
      </c>
      <c r="J25">
        <v>0</v>
      </c>
      <c r="K25">
        <v>1</v>
      </c>
      <c r="L25">
        <v>1</v>
      </c>
      <c r="M25">
        <v>0</v>
      </c>
      <c r="N25">
        <f t="shared" si="5"/>
        <v>0.94868329805051377</v>
      </c>
      <c r="O25">
        <f t="shared" si="2"/>
        <v>0.94868329805051377</v>
      </c>
      <c r="P25">
        <v>0</v>
      </c>
      <c r="Q25" t="s">
        <v>36</v>
      </c>
      <c r="R25">
        <v>2016</v>
      </c>
    </row>
    <row r="26" spans="1:18">
      <c r="A26" s="1" t="s">
        <v>112</v>
      </c>
      <c r="B26">
        <v>276.39371560798418</v>
      </c>
      <c r="C26">
        <v>670</v>
      </c>
      <c r="D26">
        <v>15</v>
      </c>
      <c r="E26">
        <f t="shared" si="0"/>
        <v>9.1203432087674882E-2</v>
      </c>
      <c r="F26">
        <f t="shared" si="3"/>
        <v>25.20805547091291</v>
      </c>
      <c r="G26">
        <f t="shared" si="4"/>
        <v>61.106299498742175</v>
      </c>
      <c r="H26">
        <v>9.1769999999999996</v>
      </c>
      <c r="I26">
        <v>2.7930000000000003E-3</v>
      </c>
      <c r="J26">
        <v>0</v>
      </c>
      <c r="K26">
        <v>1</v>
      </c>
      <c r="L26">
        <v>1</v>
      </c>
      <c r="M26">
        <v>0</v>
      </c>
      <c r="N26">
        <f t="shared" si="5"/>
        <v>0.94868329805051377</v>
      </c>
      <c r="O26">
        <f t="shared" si="2"/>
        <v>0.94868329805051377</v>
      </c>
      <c r="P26">
        <v>0</v>
      </c>
      <c r="Q26" t="s">
        <v>36</v>
      </c>
      <c r="R26">
        <v>2016</v>
      </c>
    </row>
    <row r="27" spans="1:18">
      <c r="A27" s="1" t="s">
        <v>113</v>
      </c>
      <c r="B27">
        <v>264.61848988929341</v>
      </c>
      <c r="C27">
        <v>670</v>
      </c>
      <c r="D27">
        <v>15</v>
      </c>
      <c r="E27">
        <f t="shared" si="0"/>
        <v>9.1203432087674882E-2</v>
      </c>
      <c r="F27">
        <f t="shared" si="3"/>
        <v>24.134114471761254</v>
      </c>
      <c r="G27">
        <f t="shared" si="4"/>
        <v>61.106299498742175</v>
      </c>
      <c r="H27">
        <v>9.1769999999999996</v>
      </c>
      <c r="I27">
        <v>2.7930000000000003E-3</v>
      </c>
      <c r="J27">
        <v>0</v>
      </c>
      <c r="K27">
        <v>1</v>
      </c>
      <c r="L27">
        <v>1</v>
      </c>
      <c r="M27">
        <v>0</v>
      </c>
      <c r="N27">
        <f t="shared" si="5"/>
        <v>0.94868329805051377</v>
      </c>
      <c r="O27">
        <f t="shared" si="2"/>
        <v>0.94868329805051377</v>
      </c>
      <c r="P27">
        <v>0</v>
      </c>
      <c r="Q27" t="s">
        <v>36</v>
      </c>
      <c r="R27">
        <v>2016</v>
      </c>
    </row>
    <row r="28" spans="1:18">
      <c r="A28" s="1" t="s">
        <v>114</v>
      </c>
      <c r="B28">
        <v>253.72100461981702</v>
      </c>
      <c r="C28">
        <v>670</v>
      </c>
      <c r="D28">
        <v>15</v>
      </c>
      <c r="E28">
        <f t="shared" si="0"/>
        <v>9.1203432087674882E-2</v>
      </c>
      <c r="F28">
        <f t="shared" si="3"/>
        <v>23.140226414060127</v>
      </c>
      <c r="G28">
        <f t="shared" si="4"/>
        <v>61.106299498742175</v>
      </c>
      <c r="H28">
        <v>9.1769999999999996</v>
      </c>
      <c r="I28">
        <v>2.7930000000000003E-3</v>
      </c>
      <c r="J28">
        <v>0</v>
      </c>
      <c r="K28">
        <v>1</v>
      </c>
      <c r="L28">
        <v>1</v>
      </c>
      <c r="M28">
        <v>0</v>
      </c>
      <c r="N28">
        <f t="shared" si="5"/>
        <v>0.94868329805051377</v>
      </c>
      <c r="O28">
        <f t="shared" si="2"/>
        <v>0.94868329805051377</v>
      </c>
      <c r="P28">
        <v>0</v>
      </c>
      <c r="Q28" t="s">
        <v>36</v>
      </c>
      <c r="R28">
        <v>2016</v>
      </c>
    </row>
    <row r="29" spans="1:18">
      <c r="A29" s="1" t="s">
        <v>89</v>
      </c>
      <c r="B29">
        <v>209.17338709677401</v>
      </c>
      <c r="C29">
        <v>685.04201680672202</v>
      </c>
      <c r="D29">
        <v>15</v>
      </c>
      <c r="E29">
        <f t="shared" si="0"/>
        <v>9.1203432087674882E-2</v>
      </c>
      <c r="F29">
        <f t="shared" si="3"/>
        <v>19.077330804629558</v>
      </c>
      <c r="G29">
        <f t="shared" si="4"/>
        <v>62.478183057035707</v>
      </c>
      <c r="H29">
        <f>0.025*(C29+4*B29)</f>
        <v>38.043389129845451</v>
      </c>
      <c r="I29">
        <v>0</v>
      </c>
      <c r="J29">
        <v>0</v>
      </c>
      <c r="K29">
        <v>1</v>
      </c>
      <c r="L29">
        <v>1</v>
      </c>
      <c r="M29">
        <v>0</v>
      </c>
      <c r="N29">
        <f t="shared" ref="N29:O41" si="6">SQRT(0.85)</f>
        <v>0.92195444572928875</v>
      </c>
      <c r="O29">
        <f t="shared" si="6"/>
        <v>0.92195444572928875</v>
      </c>
      <c r="P29">
        <v>0</v>
      </c>
      <c r="Q29" t="s">
        <v>90</v>
      </c>
      <c r="R29">
        <v>2018</v>
      </c>
    </row>
    <row r="30" spans="1:18">
      <c r="A30" s="1" t="s">
        <v>69</v>
      </c>
      <c r="B30">
        <v>180.695564516129</v>
      </c>
      <c r="C30">
        <v>592.94117647058795</v>
      </c>
      <c r="D30">
        <v>15</v>
      </c>
      <c r="E30">
        <f t="shared" si="0"/>
        <v>9.1203432087674882E-2</v>
      </c>
      <c r="F30">
        <f t="shared" si="3"/>
        <v>16.480055646890847</v>
      </c>
      <c r="G30">
        <f t="shared" si="4"/>
        <v>54.078270320221314</v>
      </c>
      <c r="H30">
        <f t="shared" ref="H30:H41" si="7">0.025*(C30+4*B30)</f>
        <v>32.8930858633776</v>
      </c>
      <c r="I30">
        <v>0</v>
      </c>
      <c r="J30">
        <v>0</v>
      </c>
      <c r="K30">
        <v>1</v>
      </c>
      <c r="L30">
        <v>1</v>
      </c>
      <c r="M30">
        <v>0</v>
      </c>
      <c r="N30">
        <f t="shared" si="6"/>
        <v>0.92195444572928875</v>
      </c>
      <c r="O30">
        <f t="shared" si="6"/>
        <v>0.92195444572928875</v>
      </c>
      <c r="P30">
        <v>0</v>
      </c>
      <c r="Q30" t="s">
        <v>90</v>
      </c>
      <c r="R30">
        <v>2018</v>
      </c>
    </row>
    <row r="31" spans="1:18">
      <c r="A31" s="1" t="s">
        <v>70</v>
      </c>
      <c r="B31">
        <v>136.34072580645099</v>
      </c>
      <c r="C31">
        <v>447.731092436974</v>
      </c>
      <c r="D31">
        <v>15</v>
      </c>
      <c r="E31">
        <f t="shared" si="0"/>
        <v>9.1203432087674882E-2</v>
      </c>
      <c r="F31">
        <f t="shared" si="3"/>
        <v>12.434742126872955</v>
      </c>
      <c r="G31">
        <f t="shared" si="4"/>
        <v>40.834612282616042</v>
      </c>
      <c r="H31">
        <f t="shared" si="7"/>
        <v>24.827349891569451</v>
      </c>
      <c r="I31">
        <v>0</v>
      </c>
      <c r="J31">
        <v>0</v>
      </c>
      <c r="K31">
        <v>1</v>
      </c>
      <c r="L31">
        <v>1</v>
      </c>
      <c r="M31">
        <v>0</v>
      </c>
      <c r="N31">
        <f t="shared" si="6"/>
        <v>0.92195444572928875</v>
      </c>
      <c r="O31">
        <f t="shared" si="6"/>
        <v>0.92195444572928875</v>
      </c>
      <c r="P31">
        <v>0</v>
      </c>
      <c r="Q31" t="s">
        <v>90</v>
      </c>
      <c r="R31">
        <v>2018</v>
      </c>
    </row>
    <row r="32" spans="1:18">
      <c r="A32" s="1" t="s">
        <v>71</v>
      </c>
      <c r="B32">
        <v>114.163306451612</v>
      </c>
      <c r="C32">
        <v>374.45378151260502</v>
      </c>
      <c r="D32">
        <v>15</v>
      </c>
      <c r="E32">
        <f t="shared" si="0"/>
        <v>9.1203432087674882E-2</v>
      </c>
      <c r="F32">
        <f t="shared" si="3"/>
        <v>10.412085366864011</v>
      </c>
      <c r="G32">
        <f t="shared" si="4"/>
        <v>34.151470032157917</v>
      </c>
      <c r="H32">
        <f t="shared" si="7"/>
        <v>20.777675182976328</v>
      </c>
      <c r="I32">
        <v>0</v>
      </c>
      <c r="J32">
        <v>0</v>
      </c>
      <c r="K32">
        <v>1</v>
      </c>
      <c r="L32">
        <v>1</v>
      </c>
      <c r="M32">
        <v>0</v>
      </c>
      <c r="N32">
        <f t="shared" si="6"/>
        <v>0.92195444572928875</v>
      </c>
      <c r="O32">
        <f t="shared" si="6"/>
        <v>0.92195444572928875</v>
      </c>
      <c r="P32">
        <v>0</v>
      </c>
      <c r="Q32" t="s">
        <v>90</v>
      </c>
      <c r="R32">
        <v>2018</v>
      </c>
    </row>
    <row r="33" spans="1:18">
      <c r="A33" s="1" t="s">
        <v>72</v>
      </c>
      <c r="B33">
        <v>85.685483870967701</v>
      </c>
      <c r="C33">
        <v>280.33613445378103</v>
      </c>
      <c r="D33">
        <v>15</v>
      </c>
      <c r="E33">
        <f t="shared" si="0"/>
        <v>9.1203432087674882E-2</v>
      </c>
      <c r="F33">
        <f t="shared" si="3"/>
        <v>7.8148102091253646</v>
      </c>
      <c r="G33">
        <f t="shared" si="4"/>
        <v>25.567617600376714</v>
      </c>
      <c r="H33">
        <f t="shared" si="7"/>
        <v>15.576951748441298</v>
      </c>
      <c r="I33">
        <v>0</v>
      </c>
      <c r="J33">
        <v>0</v>
      </c>
      <c r="K33">
        <v>1</v>
      </c>
      <c r="L33">
        <v>1</v>
      </c>
      <c r="M33">
        <v>0</v>
      </c>
      <c r="N33">
        <f t="shared" si="6"/>
        <v>0.92195444572928875</v>
      </c>
      <c r="O33">
        <f t="shared" si="6"/>
        <v>0.92195444572928875</v>
      </c>
      <c r="P33">
        <v>0</v>
      </c>
      <c r="Q33" t="s">
        <v>90</v>
      </c>
      <c r="R33">
        <v>2018</v>
      </c>
    </row>
    <row r="34" spans="1:18">
      <c r="A34" s="1" t="s">
        <v>73</v>
      </c>
      <c r="B34">
        <v>163.810483870967</v>
      </c>
      <c r="C34">
        <v>539.15966386554601</v>
      </c>
      <c r="D34">
        <v>15</v>
      </c>
      <c r="E34">
        <f t="shared" si="0"/>
        <v>9.1203432087674882E-2</v>
      </c>
      <c r="F34">
        <f t="shared" si="3"/>
        <v>14.940078340974901</v>
      </c>
      <c r="G34">
        <f t="shared" si="4"/>
        <v>49.173211787774946</v>
      </c>
      <c r="H34">
        <f t="shared" si="7"/>
        <v>29.860039983735351</v>
      </c>
      <c r="I34">
        <v>0</v>
      </c>
      <c r="J34">
        <v>0</v>
      </c>
      <c r="K34">
        <v>1</v>
      </c>
      <c r="L34">
        <v>1</v>
      </c>
      <c r="M34">
        <v>0</v>
      </c>
      <c r="N34">
        <f t="shared" si="6"/>
        <v>0.92195444572928875</v>
      </c>
      <c r="O34">
        <f t="shared" si="6"/>
        <v>0.92195444572928875</v>
      </c>
      <c r="P34">
        <v>0</v>
      </c>
      <c r="Q34" t="s">
        <v>90</v>
      </c>
      <c r="R34">
        <v>2018</v>
      </c>
    </row>
    <row r="35" spans="1:18">
      <c r="A35" s="1" t="s">
        <v>74</v>
      </c>
      <c r="B35">
        <v>101.310483870967</v>
      </c>
      <c r="C35">
        <v>335.46218487394901</v>
      </c>
      <c r="D35">
        <v>15</v>
      </c>
      <c r="E35">
        <f t="shared" si="0"/>
        <v>9.1203432087674882E-2</v>
      </c>
      <c r="F35">
        <f t="shared" si="3"/>
        <v>9.2398638354952212</v>
      </c>
      <c r="G35">
        <f t="shared" si="4"/>
        <v>30.595302596134246</v>
      </c>
      <c r="H35">
        <f t="shared" si="7"/>
        <v>18.517603008945425</v>
      </c>
      <c r="I35">
        <v>0</v>
      </c>
      <c r="J35">
        <v>0</v>
      </c>
      <c r="K35">
        <v>1</v>
      </c>
      <c r="L35">
        <v>1</v>
      </c>
      <c r="M35">
        <v>0</v>
      </c>
      <c r="N35">
        <f t="shared" si="6"/>
        <v>0.92195444572928875</v>
      </c>
      <c r="O35">
        <f t="shared" si="6"/>
        <v>0.92195444572928875</v>
      </c>
      <c r="P35">
        <v>0</v>
      </c>
      <c r="Q35" t="s">
        <v>90</v>
      </c>
      <c r="R35">
        <v>2018</v>
      </c>
    </row>
    <row r="36" spans="1:18">
      <c r="A36" s="1" t="s">
        <v>75</v>
      </c>
      <c r="B36">
        <v>68.800403225806406</v>
      </c>
      <c r="C36">
        <v>225.21008403361299</v>
      </c>
      <c r="D36">
        <v>15</v>
      </c>
      <c r="E36">
        <f t="shared" si="0"/>
        <v>9.1203432087674882E-2</v>
      </c>
      <c r="F36">
        <f t="shared" si="3"/>
        <v>6.2748329032094823</v>
      </c>
      <c r="G36">
        <f t="shared" si="4"/>
        <v>20.539932604619175</v>
      </c>
      <c r="H36">
        <f t="shared" si="7"/>
        <v>12.510292423420966</v>
      </c>
      <c r="I36">
        <v>0</v>
      </c>
      <c r="J36">
        <v>0</v>
      </c>
      <c r="K36">
        <v>1</v>
      </c>
      <c r="L36">
        <v>1</v>
      </c>
      <c r="M36">
        <v>0</v>
      </c>
      <c r="N36">
        <f t="shared" si="6"/>
        <v>0.92195444572928875</v>
      </c>
      <c r="O36">
        <f t="shared" si="6"/>
        <v>0.92195444572928875</v>
      </c>
      <c r="P36">
        <v>0</v>
      </c>
      <c r="Q36" t="s">
        <v>90</v>
      </c>
      <c r="R36">
        <v>2018</v>
      </c>
    </row>
    <row r="37" spans="1:18">
      <c r="A37" s="1" t="s">
        <v>76</v>
      </c>
      <c r="B37">
        <v>41.582661290322498</v>
      </c>
      <c r="C37">
        <v>137.81512605041999</v>
      </c>
      <c r="D37">
        <v>15</v>
      </c>
      <c r="E37">
        <f t="shared" si="0"/>
        <v>9.1203432087674882E-2</v>
      </c>
      <c r="F37">
        <f t="shared" si="3"/>
        <v>3.7924814250167151</v>
      </c>
      <c r="G37">
        <f t="shared" si="4"/>
        <v>12.569212489393832</v>
      </c>
      <c r="H37">
        <f t="shared" si="7"/>
        <v>7.60364428029275</v>
      </c>
      <c r="I37">
        <v>0</v>
      </c>
      <c r="J37">
        <v>0</v>
      </c>
      <c r="K37">
        <v>1</v>
      </c>
      <c r="L37">
        <v>1</v>
      </c>
      <c r="M37">
        <v>0</v>
      </c>
      <c r="N37">
        <f t="shared" si="6"/>
        <v>0.92195444572928875</v>
      </c>
      <c r="O37">
        <f t="shared" si="6"/>
        <v>0.92195444572928875</v>
      </c>
      <c r="P37">
        <v>0</v>
      </c>
      <c r="Q37" t="s">
        <v>90</v>
      </c>
      <c r="R37">
        <v>2018</v>
      </c>
    </row>
    <row r="38" spans="1:18">
      <c r="A38" s="1" t="s">
        <v>77</v>
      </c>
      <c r="B38">
        <v>197.83266129032199</v>
      </c>
      <c r="C38">
        <v>646.72268907563</v>
      </c>
      <c r="D38">
        <v>15</v>
      </c>
      <c r="E38">
        <f t="shared" si="0"/>
        <v>9.1203432087674882E-2</v>
      </c>
      <c r="F38">
        <f t="shared" si="3"/>
        <v>18.043017688715871</v>
      </c>
      <c r="G38">
        <f t="shared" si="4"/>
        <v>58.983328852667697</v>
      </c>
      <c r="H38">
        <f t="shared" si="7"/>
        <v>35.951333355922955</v>
      </c>
      <c r="I38">
        <v>0</v>
      </c>
      <c r="J38">
        <v>0</v>
      </c>
      <c r="K38">
        <v>1</v>
      </c>
      <c r="L38">
        <v>1</v>
      </c>
      <c r="M38">
        <v>0</v>
      </c>
      <c r="N38">
        <f t="shared" si="6"/>
        <v>0.92195444572928875</v>
      </c>
      <c r="O38">
        <f t="shared" si="6"/>
        <v>0.92195444572928875</v>
      </c>
      <c r="P38">
        <v>0</v>
      </c>
      <c r="Q38" t="s">
        <v>90</v>
      </c>
      <c r="R38">
        <v>2018</v>
      </c>
    </row>
    <row r="39" spans="1:18">
      <c r="A39" s="1" t="s">
        <v>78</v>
      </c>
      <c r="B39">
        <v>181.70362903225799</v>
      </c>
      <c r="C39">
        <v>592.26890756302498</v>
      </c>
      <c r="D39">
        <v>15</v>
      </c>
      <c r="E39">
        <f t="shared" si="0"/>
        <v>9.1203432087674882E-2</v>
      </c>
      <c r="F39">
        <f t="shared" si="3"/>
        <v>16.571994590527613</v>
      </c>
      <c r="G39">
        <f t="shared" si="4"/>
        <v>54.016957088565739</v>
      </c>
      <c r="H39">
        <f t="shared" si="7"/>
        <v>32.977085592301421</v>
      </c>
      <c r="I39">
        <v>0</v>
      </c>
      <c r="J39">
        <v>0</v>
      </c>
      <c r="K39">
        <v>1</v>
      </c>
      <c r="L39">
        <v>1</v>
      </c>
      <c r="M39">
        <v>0</v>
      </c>
      <c r="N39">
        <f t="shared" si="6"/>
        <v>0.92195444572928875</v>
      </c>
      <c r="O39">
        <f t="shared" si="6"/>
        <v>0.92195444572928875</v>
      </c>
      <c r="P39">
        <v>0</v>
      </c>
      <c r="Q39" t="s">
        <v>90</v>
      </c>
      <c r="R39">
        <v>2018</v>
      </c>
    </row>
    <row r="40" spans="1:18">
      <c r="A40" s="1" t="s">
        <v>79</v>
      </c>
      <c r="B40">
        <v>165.826612903225</v>
      </c>
      <c r="C40">
        <v>543.19327731092403</v>
      </c>
      <c r="D40">
        <v>15</v>
      </c>
      <c r="E40">
        <f t="shared" si="0"/>
        <v>9.1203432087674882E-2</v>
      </c>
      <c r="F40">
        <f t="shared" si="3"/>
        <v>15.123956228248433</v>
      </c>
      <c r="G40">
        <f t="shared" si="4"/>
        <v>49.54109117770841</v>
      </c>
      <c r="H40">
        <f t="shared" si="7"/>
        <v>30.162493223095602</v>
      </c>
      <c r="I40">
        <v>0</v>
      </c>
      <c r="J40">
        <v>0</v>
      </c>
      <c r="K40">
        <v>1</v>
      </c>
      <c r="L40">
        <v>1</v>
      </c>
      <c r="M40">
        <v>0</v>
      </c>
      <c r="N40">
        <f t="shared" si="6"/>
        <v>0.92195444572928875</v>
      </c>
      <c r="O40">
        <f t="shared" si="6"/>
        <v>0.92195444572928875</v>
      </c>
      <c r="P40">
        <v>0</v>
      </c>
      <c r="Q40" t="s">
        <v>90</v>
      </c>
      <c r="R40">
        <v>2018</v>
      </c>
    </row>
    <row r="41" spans="1:18">
      <c r="A41" s="1" t="s">
        <v>80</v>
      </c>
      <c r="B41">
        <v>145.16129032257999</v>
      </c>
      <c r="C41">
        <v>474.62184873949502</v>
      </c>
      <c r="D41">
        <v>15</v>
      </c>
      <c r="E41">
        <f t="shared" si="0"/>
        <v>9.1203432087674882E-2</v>
      </c>
      <c r="F41">
        <f t="shared" si="3"/>
        <v>13.23920788369468</v>
      </c>
      <c r="G41">
        <f t="shared" si="4"/>
        <v>43.287141548839237</v>
      </c>
      <c r="H41">
        <f t="shared" si="7"/>
        <v>26.381675250745378</v>
      </c>
      <c r="I41">
        <v>0</v>
      </c>
      <c r="J41">
        <v>0</v>
      </c>
      <c r="K41">
        <v>1</v>
      </c>
      <c r="L41">
        <v>1</v>
      </c>
      <c r="M41">
        <v>0</v>
      </c>
      <c r="N41">
        <f t="shared" si="6"/>
        <v>0.92195444572928875</v>
      </c>
      <c r="O41">
        <f t="shared" si="6"/>
        <v>0.92195444572928875</v>
      </c>
      <c r="P41">
        <v>0</v>
      </c>
      <c r="Q41" t="s">
        <v>90</v>
      </c>
      <c r="R41">
        <v>2018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6"/>
  <sheetViews>
    <sheetView workbookViewId="0">
      <pane xSplit="1" topLeftCell="B1" activePane="topRight" state="frozen"/>
      <selection pane="topRight" activeCell="H16" sqref="H16"/>
    </sheetView>
  </sheetViews>
  <sheetFormatPr baseColWidth="10" defaultRowHeight="16"/>
  <cols>
    <col min="1" max="1" width="17" bestFit="1" customWidth="1"/>
    <col min="2" max="2" width="13.33203125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2.1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2" customWidth="1"/>
    <col min="13" max="13" width="9.83203125" bestFit="1" customWidth="1"/>
    <col min="14" max="14" width="18.5" customWidth="1"/>
    <col min="16" max="16" width="8.6640625" customWidth="1"/>
  </cols>
  <sheetData>
    <row r="1" spans="1:16">
      <c r="A1" t="s">
        <v>0</v>
      </c>
      <c r="B1" t="s">
        <v>47</v>
      </c>
      <c r="C1" t="s">
        <v>66</v>
      </c>
      <c r="D1" t="s">
        <v>32</v>
      </c>
      <c r="E1" t="s">
        <v>4</v>
      </c>
      <c r="F1" t="s">
        <v>61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60</v>
      </c>
      <c r="N1" t="s">
        <v>35</v>
      </c>
      <c r="O1" t="s">
        <v>121</v>
      </c>
      <c r="P1" t="str">
        <f>Generators_rawUSD!P1</f>
        <v>reserves</v>
      </c>
    </row>
    <row r="2" spans="1:16">
      <c r="A2" t="s">
        <v>0</v>
      </c>
      <c r="B2" t="s">
        <v>65</v>
      </c>
      <c r="C2" t="s">
        <v>33</v>
      </c>
      <c r="D2" t="s">
        <v>301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tr">
        <f>Generators_rawUSD!P2</f>
        <v>Provides reserves</v>
      </c>
    </row>
    <row r="3" spans="1:16">
      <c r="B3" t="s">
        <v>43</v>
      </c>
      <c r="C3" t="s">
        <v>34</v>
      </c>
      <c r="D3" t="s">
        <v>5</v>
      </c>
      <c r="E3" t="s">
        <v>5</v>
      </c>
      <c r="F3" t="s">
        <v>44</v>
      </c>
      <c r="G3" t="s">
        <v>45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tr">
        <f>Generators_rawUSD!P3</f>
        <v>[boolean]</v>
      </c>
    </row>
    <row r="4" spans="1:16">
      <c r="A4" t="str">
        <f>Generators_rawUSD!A4</f>
        <v>OCGT</v>
      </c>
      <c r="B4">
        <f>Generators_rawUSD!B4*inflator_2017</f>
        <v>916</v>
      </c>
      <c r="C4">
        <f>Generators_rawUSD!C4</f>
        <v>25</v>
      </c>
      <c r="D4">
        <f>Generators_rawUSD!D4</f>
        <v>4.4999999999999998E-2</v>
      </c>
      <c r="E4">
        <f>((D4*(1+D4)^C4)/((1+D4)^C4-1))</f>
        <v>6.7439028038694573E-2</v>
      </c>
      <c r="F4">
        <f>B4*E4</f>
        <v>61.774149683444229</v>
      </c>
      <c r="G4">
        <f>Generators_rawUSD!G4*inflator_2017</f>
        <v>12</v>
      </c>
      <c r="H4">
        <f>Generators_rawUSD!H4*inflator_2017</f>
        <v>7.0000000000000001E-3</v>
      </c>
      <c r="I4">
        <f>Generators_rawUSD!I4</f>
        <v>9.82</v>
      </c>
      <c r="J4">
        <f>Generators_rawUSD!J4</f>
        <v>1</v>
      </c>
      <c r="K4">
        <f>Generators_rawUSD!K4</f>
        <v>1</v>
      </c>
      <c r="L4">
        <f>Generators_rawUSD!L4</f>
        <v>0</v>
      </c>
      <c r="M4" t="str">
        <f>Generators_rawUSD!M4</f>
        <v>naturalgas</v>
      </c>
      <c r="N4" t="str">
        <f>Generators_rawUSD!N4</f>
        <v>ATB2019-2017-capex-marketfactors</v>
      </c>
      <c r="O4">
        <v>2017</v>
      </c>
      <c r="P4">
        <f>Generators_rawUSD!P4</f>
        <v>1</v>
      </c>
    </row>
    <row r="5" spans="1:16">
      <c r="A5" t="str">
        <f>Generators_rawUSD!A5</f>
        <v>OCGT_2017</v>
      </c>
      <c r="B5">
        <f>Generators_rawUSD!B5*inflator_2017</f>
        <v>916</v>
      </c>
      <c r="C5">
        <f>Generators_rawUSD!C5</f>
        <v>25</v>
      </c>
      <c r="D5">
        <f>Generators_rawUSD!D5</f>
        <v>4.4999999999999998E-2</v>
      </c>
      <c r="E5">
        <f t="shared" ref="E5:E61" si="0">((D5*(1+D5)^C5)/((1+D5)^C5-1))</f>
        <v>6.7439028038694573E-2</v>
      </c>
      <c r="F5">
        <f t="shared" ref="F5:F24" si="1">B5*E5</f>
        <v>61.774149683444229</v>
      </c>
      <c r="G5">
        <f>Generators_rawUSD!G5*inflator_2017</f>
        <v>12</v>
      </c>
      <c r="H5">
        <f>Generators_rawUSD!H5*inflator_2017</f>
        <v>7.0000000000000001E-3</v>
      </c>
      <c r="I5">
        <f>Generators_rawUSD!I5</f>
        <v>9.82</v>
      </c>
      <c r="J5">
        <f>Generators_rawUSD!J5</f>
        <v>1</v>
      </c>
      <c r="K5">
        <f>Generators_rawUSD!K5</f>
        <v>1</v>
      </c>
      <c r="L5">
        <f>Generators_rawUSD!L5</f>
        <v>0</v>
      </c>
      <c r="M5" t="str">
        <f>Generators_rawUSD!M5</f>
        <v>naturalgas</v>
      </c>
      <c r="N5" t="str">
        <f>Generators_rawUSD!N5</f>
        <v>ATB2019-2017-capex-marketfactors</v>
      </c>
      <c r="O5">
        <v>2017</v>
      </c>
      <c r="P5">
        <f>Generators_rawUSD!P5</f>
        <v>1</v>
      </c>
    </row>
    <row r="6" spans="1:16">
      <c r="A6" t="str">
        <f>Generators_rawUSD!A6</f>
        <v>OCGT_2030_mid</v>
      </c>
      <c r="B6">
        <f>Generators_rawUSD!B6*inflator_2017</f>
        <v>849</v>
      </c>
      <c r="C6">
        <f>Generators_rawUSD!C6</f>
        <v>25</v>
      </c>
      <c r="D6">
        <f>Generators_rawUSD!D6</f>
        <v>4.4999999999999998E-2</v>
      </c>
      <c r="E6">
        <f t="shared" si="0"/>
        <v>6.7439028038694573E-2</v>
      </c>
      <c r="F6">
        <f t="shared" si="1"/>
        <v>57.255734804851691</v>
      </c>
      <c r="G6">
        <f>Generators_rawUSD!G6*inflator_2017</f>
        <v>12</v>
      </c>
      <c r="H6">
        <f>Generators_rawUSD!H6*inflator_2017</f>
        <v>7.0000000000000001E-3</v>
      </c>
      <c r="I6">
        <f>Generators_rawUSD!I6</f>
        <v>9.01</v>
      </c>
      <c r="J6">
        <f>Generators_rawUSD!J6</f>
        <v>1</v>
      </c>
      <c r="K6">
        <f>Generators_rawUSD!K6</f>
        <v>1</v>
      </c>
      <c r="L6">
        <f>Generators_rawUSD!L6</f>
        <v>0</v>
      </c>
      <c r="M6" t="str">
        <f>Generators_rawUSD!M6</f>
        <v>naturalgas</v>
      </c>
      <c r="N6" t="str">
        <f>Generators_rawUSD!N6</f>
        <v>ATB2019-2030-mid-marketfactors</v>
      </c>
      <c r="O6">
        <v>2017</v>
      </c>
      <c r="P6">
        <f>Generators_rawUSD!P6</f>
        <v>1</v>
      </c>
    </row>
    <row r="7" spans="1:16">
      <c r="A7" t="str">
        <f>Generators_rawUSD!A7</f>
        <v>OCGT_2030_low</v>
      </c>
      <c r="B7">
        <f>Generators_rawUSD!B7*inflator_2017</f>
        <v>849</v>
      </c>
      <c r="C7">
        <f>Generators_rawUSD!C7</f>
        <v>25</v>
      </c>
      <c r="D7">
        <f>Generators_rawUSD!D7</f>
        <v>4.4999999999999998E-2</v>
      </c>
      <c r="E7">
        <f t="shared" si="0"/>
        <v>6.7439028038694573E-2</v>
      </c>
      <c r="F7">
        <f t="shared" si="1"/>
        <v>57.255734804851691</v>
      </c>
      <c r="G7">
        <f>Generators_rawUSD!G7*inflator_2017</f>
        <v>12</v>
      </c>
      <c r="H7">
        <f>Generators_rawUSD!H7*inflator_2017</f>
        <v>7.0000000000000001E-3</v>
      </c>
      <c r="I7">
        <f>Generators_rawUSD!I7</f>
        <v>9.01</v>
      </c>
      <c r="J7">
        <f>Generators_rawUSD!J7</f>
        <v>1</v>
      </c>
      <c r="K7">
        <f>Generators_rawUSD!K7</f>
        <v>1</v>
      </c>
      <c r="L7">
        <f>Generators_rawUSD!L7</f>
        <v>0</v>
      </c>
      <c r="M7" t="str">
        <f>Generators_rawUSD!M7</f>
        <v>naturalgas</v>
      </c>
      <c r="N7" t="str">
        <f>Generators_rawUSD!N7</f>
        <v>ATB2019-2030-low-marketfactors</v>
      </c>
      <c r="O7">
        <v>2017</v>
      </c>
      <c r="P7">
        <f>Generators_rawUSD!P7</f>
        <v>1</v>
      </c>
    </row>
    <row r="8" spans="1:16">
      <c r="A8" t="str">
        <f>Generators_rawUSD!A8</f>
        <v>OCGT_2040_mid</v>
      </c>
      <c r="B8">
        <f>Generators_rawUSD!B8*inflator_2017</f>
        <v>822</v>
      </c>
      <c r="C8">
        <f>Generators_rawUSD!C8</f>
        <v>25</v>
      </c>
      <c r="D8">
        <f>Generators_rawUSD!D8</f>
        <v>4.4999999999999998E-2</v>
      </c>
      <c r="E8">
        <f t="shared" si="0"/>
        <v>6.7439028038694573E-2</v>
      </c>
      <c r="F8">
        <f t="shared" si="1"/>
        <v>55.43488104780694</v>
      </c>
      <c r="G8">
        <f>Generators_rawUSD!G8*inflator_2017</f>
        <v>12</v>
      </c>
      <c r="H8">
        <f>Generators_rawUSD!H8*inflator_2017</f>
        <v>7.0000000000000001E-3</v>
      </c>
      <c r="I8">
        <f>Generators_rawUSD!I8</f>
        <v>9.08</v>
      </c>
      <c r="J8">
        <f>Generators_rawUSD!J8</f>
        <v>1</v>
      </c>
      <c r="K8">
        <f>Generators_rawUSD!K8</f>
        <v>1</v>
      </c>
      <c r="L8">
        <f>Generators_rawUSD!L8</f>
        <v>0</v>
      </c>
      <c r="M8" t="str">
        <f>Generators_rawUSD!M8</f>
        <v>naturalgas</v>
      </c>
      <c r="N8" t="str">
        <f>Generators_rawUSD!N8</f>
        <v>ATB2019-2040-mid-marketfactors</v>
      </c>
      <c r="O8">
        <v>2017</v>
      </c>
      <c r="P8">
        <f>Generators_rawUSD!P8</f>
        <v>1</v>
      </c>
    </row>
    <row r="9" spans="1:16">
      <c r="A9" t="str">
        <f>Generators_rawUSD!A9</f>
        <v>OCGT_2040_low</v>
      </c>
      <c r="B9">
        <f>Generators_rawUSD!B9*inflator_2017</f>
        <v>822</v>
      </c>
      <c r="C9">
        <f>Generators_rawUSD!C9</f>
        <v>25</v>
      </c>
      <c r="D9">
        <f>Generators_rawUSD!D9</f>
        <v>4.4999999999999998E-2</v>
      </c>
      <c r="E9">
        <f t="shared" si="0"/>
        <v>6.7439028038694573E-2</v>
      </c>
      <c r="F9">
        <f t="shared" si="1"/>
        <v>55.43488104780694</v>
      </c>
      <c r="G9">
        <f>Generators_rawUSD!G9*inflator_2017</f>
        <v>12</v>
      </c>
      <c r="H9">
        <f>Generators_rawUSD!H9*inflator_2017</f>
        <v>7.0000000000000001E-3</v>
      </c>
      <c r="I9">
        <f>Generators_rawUSD!I9</f>
        <v>9.08</v>
      </c>
      <c r="J9">
        <f>Generators_rawUSD!J9</f>
        <v>1</v>
      </c>
      <c r="K9">
        <f>Generators_rawUSD!K9</f>
        <v>1</v>
      </c>
      <c r="L9">
        <f>Generators_rawUSD!L9</f>
        <v>0</v>
      </c>
      <c r="M9" t="str">
        <f>Generators_rawUSD!M9</f>
        <v>naturalgas</v>
      </c>
      <c r="N9" t="str">
        <f>Generators_rawUSD!N9</f>
        <v>ATB2019-2040-low-marketfactors</v>
      </c>
      <c r="O9">
        <v>2017</v>
      </c>
      <c r="P9">
        <f>Generators_rawUSD!P9</f>
        <v>1</v>
      </c>
    </row>
    <row r="10" spans="1:16">
      <c r="A10" t="str">
        <f>Generators_rawUSD!A10</f>
        <v>OCGT_2050_mid</v>
      </c>
      <c r="B10">
        <f>Generators_rawUSD!B10*inflator_2017</f>
        <v>798</v>
      </c>
      <c r="C10">
        <f>Generators_rawUSD!C10</f>
        <v>25</v>
      </c>
      <c r="D10">
        <f>Generators_rawUSD!D10</f>
        <v>4.4999999999999998E-2</v>
      </c>
      <c r="E10">
        <f t="shared" si="0"/>
        <v>6.7439028038694573E-2</v>
      </c>
      <c r="F10">
        <f t="shared" si="1"/>
        <v>53.81634437487827</v>
      </c>
      <c r="G10">
        <f>Generators_rawUSD!G10*inflator_2017</f>
        <v>12</v>
      </c>
      <c r="H10">
        <f>Generators_rawUSD!H10*inflator_2017</f>
        <v>7.0000000000000001E-3</v>
      </c>
      <c r="I10">
        <f>Generators_rawUSD!I10</f>
        <v>9.08</v>
      </c>
      <c r="J10">
        <f>Generators_rawUSD!J10</f>
        <v>1</v>
      </c>
      <c r="K10">
        <f>Generators_rawUSD!K10</f>
        <v>1</v>
      </c>
      <c r="L10">
        <f>Generators_rawUSD!L10</f>
        <v>0</v>
      </c>
      <c r="M10" t="str">
        <f>Generators_rawUSD!M10</f>
        <v>naturalgas</v>
      </c>
      <c r="N10" t="str">
        <f>Generators_rawUSD!N10</f>
        <v>ATB2019-2050-mid-marketfactors</v>
      </c>
      <c r="O10">
        <v>2017</v>
      </c>
      <c r="P10">
        <f>Generators_rawUSD!P10</f>
        <v>1</v>
      </c>
    </row>
    <row r="11" spans="1:16">
      <c r="A11" t="str">
        <f>Generators_rawUSD!A11</f>
        <v>OCGT_2050_low</v>
      </c>
      <c r="B11">
        <f>Generators_rawUSD!B11*inflator_2017</f>
        <v>798</v>
      </c>
      <c r="C11">
        <f>Generators_rawUSD!C11</f>
        <v>25</v>
      </c>
      <c r="D11">
        <f>Generators_rawUSD!D11</f>
        <v>4.4999999999999998E-2</v>
      </c>
      <c r="E11">
        <f t="shared" si="0"/>
        <v>6.7439028038694573E-2</v>
      </c>
      <c r="F11">
        <f t="shared" si="1"/>
        <v>53.81634437487827</v>
      </c>
      <c r="G11">
        <f>Generators_rawUSD!G11*inflator_2017</f>
        <v>12</v>
      </c>
      <c r="H11">
        <f>Generators_rawUSD!H11*inflator_2017</f>
        <v>7.0000000000000001E-3</v>
      </c>
      <c r="I11">
        <f>Generators_rawUSD!I11</f>
        <v>9.08</v>
      </c>
      <c r="J11">
        <f>Generators_rawUSD!J11</f>
        <v>1</v>
      </c>
      <c r="K11">
        <f>Generators_rawUSD!K11</f>
        <v>1</v>
      </c>
      <c r="L11">
        <f>Generators_rawUSD!L11</f>
        <v>0</v>
      </c>
      <c r="M11" t="str">
        <f>Generators_rawUSD!M11</f>
        <v>naturalgas</v>
      </c>
      <c r="N11" t="str">
        <f>Generators_rawUSD!N11</f>
        <v>ATB2019-2050-low-marketfactors</v>
      </c>
      <c r="O11">
        <v>2017</v>
      </c>
      <c r="P11">
        <f>Generators_rawUSD!P11</f>
        <v>1</v>
      </c>
    </row>
    <row r="12" spans="1:16">
      <c r="A12" t="str">
        <f>Generators_rawUSD!A12</f>
        <v>CCGT</v>
      </c>
      <c r="B12">
        <f>Generators_rawUSD!B12*inflator_2017</f>
        <v>924</v>
      </c>
      <c r="C12">
        <f>Generators_rawUSD!C12</f>
        <v>25</v>
      </c>
      <c r="D12">
        <f>Generators_rawUSD!D12</f>
        <v>4.4999999999999998E-2</v>
      </c>
      <c r="E12">
        <f t="shared" si="0"/>
        <v>6.7439028038694573E-2</v>
      </c>
      <c r="F12">
        <f t="shared" si="1"/>
        <v>62.313661907753783</v>
      </c>
      <c r="G12">
        <f>Generators_rawUSD!G12*inflator_2017</f>
        <v>11</v>
      </c>
      <c r="H12">
        <f>Generators_rawUSD!H12*inflator_2017</f>
        <v>3.0000000000000001E-3</v>
      </c>
      <c r="I12">
        <f>Generators_rawUSD!I12</f>
        <v>6.45</v>
      </c>
      <c r="J12">
        <f>Generators_rawUSD!J12</f>
        <v>0.5</v>
      </c>
      <c r="K12">
        <f>Generators_rawUSD!K12</f>
        <v>0.5</v>
      </c>
      <c r="L12">
        <f>Generators_rawUSD!L12</f>
        <v>0</v>
      </c>
      <c r="M12" t="str">
        <f>Generators_rawUSD!M12</f>
        <v>naturalgas</v>
      </c>
      <c r="N12" t="str">
        <f>Generators_rawUSD!N12</f>
        <v>ATB2019-2017-capex-marketfactors</v>
      </c>
      <c r="O12">
        <v>2017</v>
      </c>
      <c r="P12">
        <f>Generators_rawUSD!P12</f>
        <v>1</v>
      </c>
    </row>
    <row r="13" spans="1:16">
      <c r="A13" t="str">
        <f>Generators_rawUSD!A13</f>
        <v>CCGT_2017</v>
      </c>
      <c r="B13">
        <f>Generators_rawUSD!B13*inflator_2017</f>
        <v>924</v>
      </c>
      <c r="C13">
        <f>Generators_rawUSD!C13</f>
        <v>25</v>
      </c>
      <c r="D13">
        <f>Generators_rawUSD!D13</f>
        <v>4.4999999999999998E-2</v>
      </c>
      <c r="E13">
        <f t="shared" si="0"/>
        <v>6.7439028038694573E-2</v>
      </c>
      <c r="F13">
        <f t="shared" si="1"/>
        <v>62.313661907753783</v>
      </c>
      <c r="G13">
        <f>Generators_rawUSD!G13*inflator_2017</f>
        <v>11</v>
      </c>
      <c r="H13">
        <f>Generators_rawUSD!H13*inflator_2017</f>
        <v>3.0000000000000001E-3</v>
      </c>
      <c r="I13">
        <f>Generators_rawUSD!I13</f>
        <v>6.45</v>
      </c>
      <c r="J13">
        <f>Generators_rawUSD!J13</f>
        <v>0.5</v>
      </c>
      <c r="K13">
        <f>Generators_rawUSD!K13</f>
        <v>0.5</v>
      </c>
      <c r="L13">
        <f>Generators_rawUSD!L13</f>
        <v>0</v>
      </c>
      <c r="M13" t="str">
        <f>Generators_rawUSD!M13</f>
        <v>naturalgas</v>
      </c>
      <c r="N13" t="str">
        <f>Generators_rawUSD!N13</f>
        <v>ATB2019-2017-capex-marketfactors</v>
      </c>
      <c r="O13">
        <v>2017</v>
      </c>
      <c r="P13">
        <f>Generators_rawUSD!P13</f>
        <v>1</v>
      </c>
    </row>
    <row r="14" spans="1:16">
      <c r="A14" t="str">
        <f>Generators_rawUSD!A14</f>
        <v>CCGT_2030_mid</v>
      </c>
      <c r="B14">
        <f>Generators_rawUSD!B14*inflator_2017</f>
        <v>850</v>
      </c>
      <c r="C14">
        <f>Generators_rawUSD!C14</f>
        <v>25</v>
      </c>
      <c r="D14">
        <f>Generators_rawUSD!D14</f>
        <v>4.4999999999999998E-2</v>
      </c>
      <c r="E14">
        <f t="shared" si="0"/>
        <v>6.7439028038694573E-2</v>
      </c>
      <c r="F14">
        <f t="shared" si="1"/>
        <v>57.32317383289039</v>
      </c>
      <c r="G14">
        <f>Generators_rawUSD!G14*inflator_2017</f>
        <v>11</v>
      </c>
      <c r="H14">
        <f>Generators_rawUSD!H14*inflator_2017</f>
        <v>3.0000000000000001E-3</v>
      </c>
      <c r="I14">
        <f>Generators_rawUSD!I14</f>
        <v>6.26</v>
      </c>
      <c r="J14">
        <f>Generators_rawUSD!J14</f>
        <v>0.5</v>
      </c>
      <c r="K14">
        <f>Generators_rawUSD!K14</f>
        <v>0.5</v>
      </c>
      <c r="L14">
        <f>Generators_rawUSD!L14</f>
        <v>0</v>
      </c>
      <c r="M14" t="str">
        <f>Generators_rawUSD!M14</f>
        <v>naturalgas</v>
      </c>
      <c r="N14" t="str">
        <f>Generators_rawUSD!N14</f>
        <v>ATB2019-2030-mid-marketfactors</v>
      </c>
      <c r="O14">
        <v>2017</v>
      </c>
      <c r="P14">
        <f>Generators_rawUSD!P14</f>
        <v>1</v>
      </c>
    </row>
    <row r="15" spans="1:16">
      <c r="A15" t="str">
        <f>Generators_rawUSD!A15</f>
        <v>CCGT_2030_low</v>
      </c>
      <c r="B15">
        <f>Generators_rawUSD!B15*inflator_2017</f>
        <v>850</v>
      </c>
      <c r="C15">
        <f>Generators_rawUSD!C15</f>
        <v>25</v>
      </c>
      <c r="D15">
        <f>Generators_rawUSD!D15</f>
        <v>4.4999999999999998E-2</v>
      </c>
      <c r="E15">
        <f t="shared" si="0"/>
        <v>6.7439028038694573E-2</v>
      </c>
      <c r="F15">
        <f t="shared" si="1"/>
        <v>57.32317383289039</v>
      </c>
      <c r="G15">
        <f>Generators_rawUSD!G15*inflator_2017</f>
        <v>11</v>
      </c>
      <c r="H15">
        <f>Generators_rawUSD!H15*inflator_2017</f>
        <v>3.0000000000000001E-3</v>
      </c>
      <c r="I15">
        <f>Generators_rawUSD!I15</f>
        <v>6.26</v>
      </c>
      <c r="J15">
        <f>Generators_rawUSD!J15</f>
        <v>0.5</v>
      </c>
      <c r="K15">
        <f>Generators_rawUSD!K15</f>
        <v>0.5</v>
      </c>
      <c r="L15">
        <f>Generators_rawUSD!L15</f>
        <v>0</v>
      </c>
      <c r="M15" t="str">
        <f>Generators_rawUSD!M15</f>
        <v>naturalgas</v>
      </c>
      <c r="N15" t="str">
        <f>Generators_rawUSD!N15</f>
        <v>ATB2019-2030-low-marketfactors</v>
      </c>
      <c r="O15">
        <v>2017</v>
      </c>
      <c r="P15">
        <f>Generators_rawUSD!P15</f>
        <v>1</v>
      </c>
    </row>
    <row r="16" spans="1:16">
      <c r="A16" t="str">
        <f>Generators_rawUSD!A16</f>
        <v>CCGT_2040_mid</v>
      </c>
      <c r="B16">
        <f>Generators_rawUSD!B16*inflator_2017</f>
        <v>824</v>
      </c>
      <c r="C16">
        <f>Generators_rawUSD!C16</f>
        <v>25</v>
      </c>
      <c r="D16">
        <f>Generators_rawUSD!D16</f>
        <v>4.4999999999999998E-2</v>
      </c>
      <c r="E16">
        <f t="shared" si="0"/>
        <v>6.7439028038694573E-2</v>
      </c>
      <c r="F16">
        <f t="shared" si="1"/>
        <v>55.56975910388433</v>
      </c>
      <c r="G16">
        <f>Generators_rawUSD!G16*inflator_2017</f>
        <v>11</v>
      </c>
      <c r="H16">
        <f>Generators_rawUSD!H16*inflator_2017</f>
        <v>3.0000000000000001E-3</v>
      </c>
      <c r="I16">
        <f>Generators_rawUSD!I16</f>
        <v>6.28</v>
      </c>
      <c r="J16">
        <f>Generators_rawUSD!J16</f>
        <v>0.5</v>
      </c>
      <c r="K16">
        <f>Generators_rawUSD!K16</f>
        <v>0.5</v>
      </c>
      <c r="L16">
        <f>Generators_rawUSD!L16</f>
        <v>0</v>
      </c>
      <c r="M16" t="str">
        <f>Generators_rawUSD!M16</f>
        <v>naturalgas</v>
      </c>
      <c r="N16" t="str">
        <f>Generators_rawUSD!N16</f>
        <v>ATB2019-2040-mid-marketfactors</v>
      </c>
      <c r="O16">
        <v>2017</v>
      </c>
      <c r="P16">
        <f>Generators_rawUSD!P16</f>
        <v>1</v>
      </c>
    </row>
    <row r="17" spans="1:16">
      <c r="A17" t="str">
        <f>Generators_rawUSD!A17</f>
        <v>CCGT_2040_low</v>
      </c>
      <c r="B17">
        <f>Generators_rawUSD!B17*inflator_2017</f>
        <v>824</v>
      </c>
      <c r="C17">
        <f>Generators_rawUSD!C17</f>
        <v>25</v>
      </c>
      <c r="D17">
        <f>Generators_rawUSD!D17</f>
        <v>4.4999999999999998E-2</v>
      </c>
      <c r="E17">
        <f t="shared" si="0"/>
        <v>6.7439028038694573E-2</v>
      </c>
      <c r="F17">
        <f t="shared" si="1"/>
        <v>55.56975910388433</v>
      </c>
      <c r="G17">
        <f>Generators_rawUSD!G17*inflator_2017</f>
        <v>11</v>
      </c>
      <c r="H17">
        <f>Generators_rawUSD!H17*inflator_2017</f>
        <v>3.0000000000000001E-3</v>
      </c>
      <c r="I17">
        <f>Generators_rawUSD!I17</f>
        <v>6.28</v>
      </c>
      <c r="J17">
        <f>Generators_rawUSD!J17</f>
        <v>0.5</v>
      </c>
      <c r="K17">
        <f>Generators_rawUSD!K17</f>
        <v>0.5</v>
      </c>
      <c r="L17">
        <f>Generators_rawUSD!L17</f>
        <v>0</v>
      </c>
      <c r="M17" t="str">
        <f>Generators_rawUSD!M17</f>
        <v>naturalgas</v>
      </c>
      <c r="N17" t="str">
        <f>Generators_rawUSD!N17</f>
        <v>ATB2019-2040-low-marketfactors</v>
      </c>
      <c r="O17">
        <v>2017</v>
      </c>
      <c r="P17">
        <f>Generators_rawUSD!P17</f>
        <v>1</v>
      </c>
    </row>
    <row r="18" spans="1:16">
      <c r="A18" t="str">
        <f>Generators_rawUSD!A18</f>
        <v>CCGT_2050_mid</v>
      </c>
      <c r="B18">
        <f>Generators_rawUSD!B18*inflator_2017</f>
        <v>798</v>
      </c>
      <c r="C18">
        <f>Generators_rawUSD!C18</f>
        <v>25</v>
      </c>
      <c r="D18">
        <f>Generators_rawUSD!D18</f>
        <v>4.4999999999999998E-2</v>
      </c>
      <c r="E18">
        <f t="shared" si="0"/>
        <v>6.7439028038694573E-2</v>
      </c>
      <c r="F18">
        <f t="shared" si="1"/>
        <v>53.81634437487827</v>
      </c>
      <c r="G18">
        <f>Generators_rawUSD!G18*inflator_2017</f>
        <v>11</v>
      </c>
      <c r="H18">
        <f>Generators_rawUSD!H18*inflator_2017</f>
        <v>3.0000000000000001E-3</v>
      </c>
      <c r="I18">
        <f>Generators_rawUSD!I18</f>
        <v>6.28</v>
      </c>
      <c r="J18">
        <f>Generators_rawUSD!J18</f>
        <v>0.5</v>
      </c>
      <c r="K18">
        <f>Generators_rawUSD!K18</f>
        <v>0.5</v>
      </c>
      <c r="L18">
        <f>Generators_rawUSD!L18</f>
        <v>0</v>
      </c>
      <c r="M18" t="str">
        <f>Generators_rawUSD!M18</f>
        <v>naturalgas</v>
      </c>
      <c r="N18" t="str">
        <f>Generators_rawUSD!N18</f>
        <v>ATB2019-2050-mid-marketfactors</v>
      </c>
      <c r="O18">
        <v>2017</v>
      </c>
      <c r="P18">
        <f>Generators_rawUSD!P18</f>
        <v>1</v>
      </c>
    </row>
    <row r="19" spans="1:16">
      <c r="A19" t="str">
        <f>Generators_rawUSD!A19</f>
        <v>CCGT_2050_low</v>
      </c>
      <c r="B19">
        <f>Generators_rawUSD!B19*inflator_2017</f>
        <v>798</v>
      </c>
      <c r="C19">
        <f>Generators_rawUSD!C19</f>
        <v>25</v>
      </c>
      <c r="D19">
        <f>Generators_rawUSD!D19</f>
        <v>4.4999999999999998E-2</v>
      </c>
      <c r="E19">
        <f t="shared" si="0"/>
        <v>6.7439028038694573E-2</v>
      </c>
      <c r="F19">
        <f t="shared" si="1"/>
        <v>53.81634437487827</v>
      </c>
      <c r="G19">
        <f>Generators_rawUSD!G19*inflator_2017</f>
        <v>11</v>
      </c>
      <c r="H19">
        <f>Generators_rawUSD!H19*inflator_2017</f>
        <v>3.0000000000000001E-3</v>
      </c>
      <c r="I19">
        <f>Generators_rawUSD!I19</f>
        <v>6.28</v>
      </c>
      <c r="J19">
        <f>Generators_rawUSD!J19</f>
        <v>0.5</v>
      </c>
      <c r="K19">
        <f>Generators_rawUSD!K19</f>
        <v>0.5</v>
      </c>
      <c r="L19">
        <f>Generators_rawUSD!L19</f>
        <v>0</v>
      </c>
      <c r="M19" t="str">
        <f>Generators_rawUSD!M19</f>
        <v>naturalgas</v>
      </c>
      <c r="N19" t="str">
        <f>Generators_rawUSD!N19</f>
        <v>ATB2019-2050-low-marketfactors</v>
      </c>
      <c r="O19">
        <v>2017</v>
      </c>
      <c r="P19">
        <f>Generators_rawUSD!P19</f>
        <v>1</v>
      </c>
    </row>
    <row r="20" spans="1:16">
      <c r="A20" t="str">
        <f>Generators_rawUSD!A20</f>
        <v>Nuclear</v>
      </c>
      <c r="B20">
        <f>Generators_rawUSD!B20*inflator_2017</f>
        <v>6670</v>
      </c>
      <c r="C20">
        <f>Generators_rawUSD!C20</f>
        <v>40</v>
      </c>
      <c r="D20">
        <f>Generators_rawUSD!D20</f>
        <v>4.4999999999999998E-2</v>
      </c>
      <c r="E20">
        <f t="shared" si="0"/>
        <v>5.4343146609589395E-2</v>
      </c>
      <c r="F20">
        <f t="shared" si="1"/>
        <v>362.46878788596126</v>
      </c>
      <c r="G20">
        <f>Generators_rawUSD!G20*inflator_2017</f>
        <v>101</v>
      </c>
      <c r="H20">
        <f>Generators_rawUSD!H20*inflator_2017</f>
        <v>2E-3</v>
      </c>
      <c r="I20">
        <f>Generators_rawUSD!I20</f>
        <v>10.46</v>
      </c>
      <c r="J20">
        <f>Generators_rawUSD!J20</f>
        <v>0.05</v>
      </c>
      <c r="K20">
        <f>Generators_rawUSD!K20</f>
        <v>0.05</v>
      </c>
      <c r="L20">
        <f>Generators_rawUSD!L20</f>
        <v>0.85</v>
      </c>
      <c r="M20" t="str">
        <f>Generators_rawUSD!M20</f>
        <v>uranium</v>
      </c>
      <c r="N20" t="str">
        <f>Generators_rawUSD!N20</f>
        <v>ATB2019-2017-capex-marketfactors</v>
      </c>
      <c r="O20">
        <v>2017</v>
      </c>
      <c r="P20">
        <f>Generators_rawUSD!P20</f>
        <v>1</v>
      </c>
    </row>
    <row r="21" spans="1:16">
      <c r="A21" t="str">
        <f>Generators_rawUSD!A21</f>
        <v>Nuclear_2017</v>
      </c>
      <c r="B21">
        <f>Generators_rawUSD!B21*inflator_2017</f>
        <v>6670</v>
      </c>
      <c r="C21">
        <f>Generators_rawUSD!C21</f>
        <v>40</v>
      </c>
      <c r="D21">
        <f>Generators_rawUSD!D21</f>
        <v>4.4999999999999998E-2</v>
      </c>
      <c r="E21">
        <f t="shared" si="0"/>
        <v>5.4343146609589395E-2</v>
      </c>
      <c r="F21">
        <f t="shared" si="1"/>
        <v>362.46878788596126</v>
      </c>
      <c r="G21">
        <f>Generators_rawUSD!G21*inflator_2017</f>
        <v>101</v>
      </c>
      <c r="H21">
        <f>Generators_rawUSD!H21*inflator_2017</f>
        <v>2E-3</v>
      </c>
      <c r="I21">
        <f>Generators_rawUSD!I21</f>
        <v>10.46</v>
      </c>
      <c r="J21">
        <f>Generators_rawUSD!J21</f>
        <v>0.05</v>
      </c>
      <c r="K21">
        <f>Generators_rawUSD!K21</f>
        <v>0.05</v>
      </c>
      <c r="L21">
        <f>Generators_rawUSD!L21</f>
        <v>0.85</v>
      </c>
      <c r="M21" t="str">
        <f>Generators_rawUSD!M21</f>
        <v>uranium</v>
      </c>
      <c r="N21" t="str">
        <f>Generators_rawUSD!N21</f>
        <v>ATB2019-2017-capex-marketfactors</v>
      </c>
      <c r="O21">
        <v>2017</v>
      </c>
      <c r="P21">
        <f>Generators_rawUSD!P21</f>
        <v>1</v>
      </c>
    </row>
    <row r="22" spans="1:16">
      <c r="A22" t="str">
        <f>Generators_rawUSD!A22</f>
        <v>Nuclear_2030</v>
      </c>
      <c r="B22">
        <f>Generators_rawUSD!B22*inflator_2017</f>
        <v>6180</v>
      </c>
      <c r="C22">
        <f>Generators_rawUSD!C22</f>
        <v>40</v>
      </c>
      <c r="D22">
        <f>Generators_rawUSD!D22</f>
        <v>4.4999999999999998E-2</v>
      </c>
      <c r="E22">
        <f t="shared" si="0"/>
        <v>5.4343146609589395E-2</v>
      </c>
      <c r="F22">
        <f t="shared" si="1"/>
        <v>335.84064604726245</v>
      </c>
      <c r="G22">
        <f>Generators_rawUSD!G22*inflator_2017</f>
        <v>101</v>
      </c>
      <c r="H22">
        <f>Generators_rawUSD!H22*inflator_2017</f>
        <v>2E-3</v>
      </c>
      <c r="I22">
        <f>Generators_rawUSD!I22</f>
        <v>10.46</v>
      </c>
      <c r="J22">
        <f>Generators_rawUSD!J22</f>
        <v>0.05</v>
      </c>
      <c r="K22">
        <f>Generators_rawUSD!K22</f>
        <v>0.05</v>
      </c>
      <c r="L22">
        <f>Generators_rawUSD!L22</f>
        <v>0.85</v>
      </c>
      <c r="M22" t="str">
        <f>Generators_rawUSD!M22</f>
        <v>uranium</v>
      </c>
      <c r="N22" t="str">
        <f>Generators_rawUSD!N22</f>
        <v>ATB2019-2030-marketfactors</v>
      </c>
      <c r="O22">
        <v>2017</v>
      </c>
      <c r="P22">
        <f>Generators_rawUSD!P22</f>
        <v>1</v>
      </c>
    </row>
    <row r="23" spans="1:16">
      <c r="A23" t="str">
        <f>Generators_rawUSD!A23</f>
        <v>Nuclear_2040</v>
      </c>
      <c r="B23">
        <f>Generators_rawUSD!B23*inflator_2017</f>
        <v>5844</v>
      </c>
      <c r="C23">
        <f>Generators_rawUSD!C23</f>
        <v>40</v>
      </c>
      <c r="D23">
        <f>Generators_rawUSD!D23</f>
        <v>4.4999999999999998E-2</v>
      </c>
      <c r="E23">
        <f t="shared" si="0"/>
        <v>5.4343146609589395E-2</v>
      </c>
      <c r="F23">
        <f t="shared" si="1"/>
        <v>317.5813487864404</v>
      </c>
      <c r="G23">
        <f>Generators_rawUSD!G23*inflator_2017</f>
        <v>101</v>
      </c>
      <c r="H23">
        <f>Generators_rawUSD!H23*inflator_2017</f>
        <v>2E-3</v>
      </c>
      <c r="I23">
        <f>Generators_rawUSD!I23</f>
        <v>10.46</v>
      </c>
      <c r="J23">
        <f>Generators_rawUSD!J23</f>
        <v>0.05</v>
      </c>
      <c r="K23">
        <f>Generators_rawUSD!K23</f>
        <v>0.05</v>
      </c>
      <c r="L23">
        <f>Generators_rawUSD!L23</f>
        <v>0.85</v>
      </c>
      <c r="M23" t="str">
        <f>Generators_rawUSD!M23</f>
        <v>uranium</v>
      </c>
      <c r="N23" t="str">
        <f>Generators_rawUSD!N23</f>
        <v>ATB2019-2040-marketfactors</v>
      </c>
      <c r="O23">
        <v>2017</v>
      </c>
      <c r="P23">
        <f>Generators_rawUSD!P23</f>
        <v>1</v>
      </c>
    </row>
    <row r="24" spans="1:16">
      <c r="A24" t="str">
        <f>Generators_rawUSD!A24</f>
        <v>Nuclear_2050</v>
      </c>
      <c r="B24">
        <f>Generators_rawUSD!B24*inflator_2017</f>
        <v>5471</v>
      </c>
      <c r="C24">
        <f>Generators_rawUSD!C24</f>
        <v>40</v>
      </c>
      <c r="D24">
        <f>Generators_rawUSD!D24</f>
        <v>4.4999999999999998E-2</v>
      </c>
      <c r="E24">
        <f t="shared" si="0"/>
        <v>5.4343146609589395E-2</v>
      </c>
      <c r="F24">
        <f t="shared" si="1"/>
        <v>297.31135510106355</v>
      </c>
      <c r="G24">
        <f>Generators_rawUSD!G24*inflator_2017</f>
        <v>101</v>
      </c>
      <c r="H24">
        <f>Generators_rawUSD!H24*inflator_2017</f>
        <v>2E-3</v>
      </c>
      <c r="I24">
        <f>Generators_rawUSD!I24</f>
        <v>10.46</v>
      </c>
      <c r="J24">
        <f>Generators_rawUSD!J24</f>
        <v>0.05</v>
      </c>
      <c r="K24">
        <f>Generators_rawUSD!K24</f>
        <v>0.05</v>
      </c>
      <c r="L24">
        <f>Generators_rawUSD!L24</f>
        <v>0.85</v>
      </c>
      <c r="M24" t="str">
        <f>Generators_rawUSD!M24</f>
        <v>uranium</v>
      </c>
      <c r="N24" t="str">
        <f>Generators_rawUSD!N24</f>
        <v>ATB2019-2050-marketfactors</v>
      </c>
      <c r="O24">
        <v>2017</v>
      </c>
      <c r="P24">
        <f>Generators_rawUSD!P24</f>
        <v>1</v>
      </c>
    </row>
    <row r="25" spans="1:16">
      <c r="A25" t="str">
        <f>Generators_rawUSD!A25</f>
        <v>Nuclear_existing</v>
      </c>
      <c r="B25">
        <f>Generators_rawUSD!B25*inflator_2018</f>
        <v>0</v>
      </c>
      <c r="C25">
        <f>Generators_rawUSD!C25</f>
        <v>40</v>
      </c>
      <c r="D25">
        <f>Generators_rawUSD!D25</f>
        <v>4.4999999999999998E-2</v>
      </c>
      <c r="E25">
        <f t="shared" si="0"/>
        <v>5.4343146609589395E-2</v>
      </c>
      <c r="F25">
        <f t="shared" ref="F25:F30" si="2">B25*E25</f>
        <v>0</v>
      </c>
      <c r="G25">
        <f>Generators_rawUSD!G25*inflator_2018</f>
        <v>197.6201724364513</v>
      </c>
      <c r="H25">
        <f>Generators_rawUSD!H25*inflator_2017</f>
        <v>2E-3</v>
      </c>
      <c r="I25">
        <f>Generators_rawUSD!I25</f>
        <v>10.46</v>
      </c>
      <c r="J25">
        <f>Generators_rawUSD!J25</f>
        <v>0.05</v>
      </c>
      <c r="K25">
        <f>Generators_rawUSD!K25</f>
        <v>0.05</v>
      </c>
      <c r="L25">
        <f>Generators_rawUSD!L25</f>
        <v>0.85</v>
      </c>
      <c r="M25" t="str">
        <f>Generators_rawUSD!M25</f>
        <v>uranium</v>
      </c>
      <c r="N25" t="str">
        <f>Generators_rawUSD!N25</f>
        <v>NEI2019</v>
      </c>
      <c r="O25">
        <v>2017</v>
      </c>
      <c r="P25">
        <f>Generators_rawUSD!P25</f>
        <v>1</v>
      </c>
    </row>
    <row r="26" spans="1:16">
      <c r="A26" t="str">
        <f>Generators_rawUSD!A26</f>
        <v>Nuclear_vogtle</v>
      </c>
      <c r="B26">
        <f>Generators_rawUSD!B26*inflator_2018</f>
        <v>12016.263783429813</v>
      </c>
      <c r="C26">
        <f>Generators_rawUSD!C26</f>
        <v>40</v>
      </c>
      <c r="D26">
        <f>Generators_rawUSD!D26</f>
        <v>4.4999999999999998E-2</v>
      </c>
      <c r="E26">
        <f t="shared" si="0"/>
        <v>5.4343146609589395E-2</v>
      </c>
      <c r="F26">
        <f t="shared" ref="F26" si="3">B26*E26</f>
        <v>653.00158448242564</v>
      </c>
      <c r="G26">
        <f>Generators_rawUSD!G26*inflator_2017</f>
        <v>101</v>
      </c>
      <c r="H26">
        <f>Generators_rawUSD!H26*inflator_2017</f>
        <v>2E-3</v>
      </c>
      <c r="I26">
        <f>Generators_rawUSD!I26</f>
        <v>10.46</v>
      </c>
      <c r="J26">
        <f>Generators_rawUSD!J26</f>
        <v>0.05</v>
      </c>
      <c r="K26">
        <f>Generators_rawUSD!K26</f>
        <v>0.05</v>
      </c>
      <c r="L26">
        <f>Generators_rawUSD!L26</f>
        <v>0.85</v>
      </c>
      <c r="M26" t="str">
        <f>Generators_rawUSD!M26</f>
        <v>uranium</v>
      </c>
      <c r="N26" t="str">
        <f>Generators_rawUSD!N26</f>
        <v>https://www.powermag.com/georgia-psc-backs-additional-costs-for-vogtle-nuclear-project/</v>
      </c>
      <c r="O26">
        <v>2017</v>
      </c>
      <c r="P26">
        <f>Generators_rawUSD!P26</f>
        <v>1</v>
      </c>
    </row>
    <row r="27" spans="1:16">
      <c r="A27" t="str">
        <f>Generators_rawUSD!A27</f>
        <v>Lostload</v>
      </c>
      <c r="B27">
        <f>Generators_rawUSD!B27*inflator_2017</f>
        <v>0</v>
      </c>
      <c r="C27">
        <f>Generators_rawUSD!C27</f>
        <v>100</v>
      </c>
      <c r="D27">
        <f>Generators_rawUSD!D27</f>
        <v>4.4999999999999998E-2</v>
      </c>
      <c r="E27">
        <f t="shared" si="0"/>
        <v>4.5558392201505982E-2</v>
      </c>
      <c r="F27">
        <f t="shared" si="2"/>
        <v>0</v>
      </c>
      <c r="G27">
        <f>Generators_rawUSD!G27*inflator_2017</f>
        <v>0</v>
      </c>
      <c r="H27">
        <f>Generators_rawUSD!H27*inflator_2017</f>
        <v>9</v>
      </c>
      <c r="I27">
        <f>Generators_rawUSD!I27</f>
        <v>0</v>
      </c>
      <c r="J27">
        <f>Generators_rawUSD!J27</f>
        <v>1</v>
      </c>
      <c r="K27">
        <f>Generators_rawUSD!K27</f>
        <v>1</v>
      </c>
      <c r="L27">
        <f>Generators_rawUSD!L27</f>
        <v>0</v>
      </c>
      <c r="M27" t="str">
        <f>Generators_rawUSD!M27</f>
        <v>none</v>
      </c>
      <c r="N27" t="str">
        <f>Generators_rawUSD!N27</f>
        <v>ERCOT VOLL</v>
      </c>
      <c r="O27">
        <v>2017</v>
      </c>
      <c r="P27">
        <f>Generators_rawUSD!P27</f>
        <v>1</v>
      </c>
    </row>
    <row r="28" spans="1:16">
      <c r="A28" t="str">
        <f>Generators_rawUSD!A28</f>
        <v>PV_track</v>
      </c>
      <c r="B28">
        <f>Generators_rawUSD!B28*inflator_2017</f>
        <v>1441.7</v>
      </c>
      <c r="C28">
        <f>Generators_rawUSD!C28</f>
        <v>25</v>
      </c>
      <c r="D28">
        <f>Generators_rawUSD!D28</f>
        <v>4.2000000000000003E-2</v>
      </c>
      <c r="E28">
        <f t="shared" si="0"/>
        <v>6.5372244616581671E-2</v>
      </c>
      <c r="F28">
        <f t="shared" si="2"/>
        <v>94.247165063725802</v>
      </c>
      <c r="G28">
        <f>Generators_rawUSD!G28*inflator_2017</f>
        <v>26</v>
      </c>
      <c r="H28">
        <f>Generators_rawUSD!H28*inflator_2017</f>
        <v>0</v>
      </c>
      <c r="I28">
        <f>Generators_rawUSD!I28</f>
        <v>0</v>
      </c>
      <c r="J28">
        <f>Generators_rawUSD!J28</f>
        <v>1</v>
      </c>
      <c r="K28">
        <f>Generators_rawUSD!K28</f>
        <v>1</v>
      </c>
      <c r="L28">
        <f>Generators_rawUSD!L28</f>
        <v>0</v>
      </c>
      <c r="M28" t="str">
        <f>Generators_rawUSD!M28</f>
        <v>none</v>
      </c>
      <c r="N28" t="str">
        <f>Generators_rawUSD!N28</f>
        <v>ATB2019-2017-capex-marketfactors</v>
      </c>
      <c r="O28">
        <v>2017</v>
      </c>
      <c r="P28">
        <f>Generators_rawUSD!P28</f>
        <v>1</v>
      </c>
    </row>
    <row r="29" spans="1:16">
      <c r="A29" t="str">
        <f>Generators_rawUSD!A29</f>
        <v>PV_fixed</v>
      </c>
      <c r="B29">
        <f>Generators_rawUSD!B29*inflator_2017</f>
        <v>1337.7936936936935</v>
      </c>
      <c r="C29">
        <f>Generators_rawUSD!C29</f>
        <v>25</v>
      </c>
      <c r="D29">
        <f>Generators_rawUSD!D29</f>
        <v>4.2000000000000003E-2</v>
      </c>
      <c r="E29">
        <f t="shared" si="0"/>
        <v>6.5372244616581671E-2</v>
      </c>
      <c r="F29">
        <f t="shared" si="2"/>
        <v>87.454576590664459</v>
      </c>
      <c r="G29">
        <f>Generators_rawUSD!G29*inflator_2017</f>
        <v>19.5</v>
      </c>
      <c r="H29">
        <f>Generators_rawUSD!H29*inflator_2017</f>
        <v>0</v>
      </c>
      <c r="I29">
        <f>Generators_rawUSD!I29</f>
        <v>0</v>
      </c>
      <c r="J29">
        <f>Generators_rawUSD!J29</f>
        <v>1</v>
      </c>
      <c r="K29">
        <f>Generators_rawUSD!K29</f>
        <v>1</v>
      </c>
      <c r="L29">
        <f>Generators_rawUSD!L29</f>
        <v>0</v>
      </c>
      <c r="M29" t="str">
        <f>Generators_rawUSD!M29</f>
        <v>none</v>
      </c>
      <c r="N29" t="str">
        <f>Generators_rawUSD!N29</f>
        <v>ATB2019-2017-capex-marketfactors</v>
      </c>
      <c r="O29">
        <v>2017</v>
      </c>
      <c r="P29">
        <f>Generators_rawUSD!P29</f>
        <v>1</v>
      </c>
    </row>
    <row r="30" spans="1:16">
      <c r="A30" t="str">
        <f>Generators_rawUSD!A30</f>
        <v>PV_track_2017</v>
      </c>
      <c r="B30">
        <f>Generators_rawUSD!B30*inflator_2017</f>
        <v>1441.7</v>
      </c>
      <c r="C30">
        <f>Generators_rawUSD!C30</f>
        <v>25</v>
      </c>
      <c r="D30">
        <f>Generators_rawUSD!D30</f>
        <v>4.2000000000000003E-2</v>
      </c>
      <c r="E30">
        <f t="shared" si="0"/>
        <v>6.5372244616581671E-2</v>
      </c>
      <c r="F30">
        <f t="shared" si="2"/>
        <v>94.247165063725802</v>
      </c>
      <c r="G30">
        <f>Generators_rawUSD!G30*inflator_2017</f>
        <v>26</v>
      </c>
      <c r="H30">
        <f>Generators_rawUSD!H30*inflator_2017</f>
        <v>0</v>
      </c>
      <c r="I30">
        <f>Generators_rawUSD!I30</f>
        <v>0</v>
      </c>
      <c r="J30">
        <f>Generators_rawUSD!J30</f>
        <v>1</v>
      </c>
      <c r="K30">
        <f>Generators_rawUSD!K30</f>
        <v>1</v>
      </c>
      <c r="L30">
        <f>Generators_rawUSD!L30</f>
        <v>0</v>
      </c>
      <c r="M30" t="str">
        <f>Generators_rawUSD!M30</f>
        <v>none</v>
      </c>
      <c r="N30" t="str">
        <f>Generators_rawUSD!N30</f>
        <v>ATB2019-2017-capex-marketfactors</v>
      </c>
      <c r="O30">
        <v>2017</v>
      </c>
      <c r="P30">
        <f>Generators_rawUSD!P30</f>
        <v>1</v>
      </c>
    </row>
    <row r="31" spans="1:16">
      <c r="A31" t="str">
        <f>Generators_rawUSD!A31</f>
        <v>PV_track_2025_mid</v>
      </c>
      <c r="B31">
        <f>Generators_rawUSD!B31*inflator_2017</f>
        <v>1257.1000000000001</v>
      </c>
      <c r="C31">
        <f>Generators_rawUSD!C31</f>
        <v>25</v>
      </c>
      <c r="D31">
        <f>Generators_rawUSD!D31</f>
        <v>4.2000000000000003E-2</v>
      </c>
      <c r="E31">
        <f t="shared" si="0"/>
        <v>6.5372244616581671E-2</v>
      </c>
      <c r="F31">
        <f t="shared" ref="F31:F57" si="4">B31*E31</f>
        <v>82.179448707504832</v>
      </c>
      <c r="G31">
        <f>Generators_rawUSD!G31*inflator_2017</f>
        <v>14.3</v>
      </c>
      <c r="H31">
        <f>Generators_rawUSD!H31*inflator_2017</f>
        <v>0</v>
      </c>
      <c r="I31">
        <f>Generators_rawUSD!I31</f>
        <v>0</v>
      </c>
      <c r="J31">
        <f>Generators_rawUSD!J31</f>
        <v>1</v>
      </c>
      <c r="K31">
        <f>Generators_rawUSD!K31</f>
        <v>1</v>
      </c>
      <c r="L31">
        <f>Generators_rawUSD!L31</f>
        <v>0</v>
      </c>
      <c r="M31" t="str">
        <f>Generators_rawUSD!M31</f>
        <v>none</v>
      </c>
      <c r="N31" t="str">
        <f>Generators_rawUSD!N31</f>
        <v>ATB2019-2025-mid-capex-marketfactors</v>
      </c>
      <c r="O31">
        <v>2017</v>
      </c>
      <c r="P31">
        <f>Generators_rawUSD!P31</f>
        <v>1</v>
      </c>
    </row>
    <row r="32" spans="1:16">
      <c r="A32" t="str">
        <f>Generators_rawUSD!A32</f>
        <v>PV_track_2025_low</v>
      </c>
      <c r="B32">
        <f>Generators_rawUSD!B32*inflator_2017</f>
        <v>951.6</v>
      </c>
      <c r="C32">
        <f>Generators_rawUSD!C32</f>
        <v>25</v>
      </c>
      <c r="D32">
        <f>Generators_rawUSD!D32</f>
        <v>4.2000000000000003E-2</v>
      </c>
      <c r="E32">
        <f t="shared" si="0"/>
        <v>6.5372244616581671E-2</v>
      </c>
      <c r="F32">
        <f t="shared" si="4"/>
        <v>62.208227977139117</v>
      </c>
      <c r="G32">
        <f>Generators_rawUSD!G32*inflator_2017</f>
        <v>11.700000000000001</v>
      </c>
      <c r="H32">
        <f>Generators_rawUSD!H32*inflator_2017</f>
        <v>0</v>
      </c>
      <c r="I32">
        <f>Generators_rawUSD!I32</f>
        <v>0</v>
      </c>
      <c r="J32">
        <f>Generators_rawUSD!J32</f>
        <v>1</v>
      </c>
      <c r="K32">
        <f>Generators_rawUSD!K32</f>
        <v>1</v>
      </c>
      <c r="L32">
        <f>Generators_rawUSD!L32</f>
        <v>0</v>
      </c>
      <c r="M32" t="str">
        <f>Generators_rawUSD!M32</f>
        <v>none</v>
      </c>
      <c r="N32" t="str">
        <f>Generators_rawUSD!N32</f>
        <v>ATB2019-2025-low-capex-marketfactors</v>
      </c>
      <c r="O32">
        <v>2017</v>
      </c>
      <c r="P32">
        <f>Generators_rawUSD!P32</f>
        <v>1</v>
      </c>
    </row>
    <row r="33" spans="1:16">
      <c r="A33" t="str">
        <f>Generators_rawUSD!A33</f>
        <v>PV_track_2030_mid</v>
      </c>
      <c r="B33">
        <f>Generators_rawUSD!B33*inflator_2017</f>
        <v>1118</v>
      </c>
      <c r="C33">
        <f>Generators_rawUSD!C33</f>
        <v>25</v>
      </c>
      <c r="D33">
        <f>Generators_rawUSD!D33</f>
        <v>4.2000000000000003E-2</v>
      </c>
      <c r="E33">
        <f t="shared" si="0"/>
        <v>6.5372244616581671E-2</v>
      </c>
      <c r="F33">
        <f t="shared" si="4"/>
        <v>73.086169481338302</v>
      </c>
      <c r="G33">
        <f>Generators_rawUSD!G33*inflator_2017</f>
        <v>13</v>
      </c>
      <c r="H33">
        <f>Generators_rawUSD!H33*inflator_2017</f>
        <v>0</v>
      </c>
      <c r="I33">
        <f>Generators_rawUSD!I33</f>
        <v>0</v>
      </c>
      <c r="J33">
        <f>Generators_rawUSD!J33</f>
        <v>1</v>
      </c>
      <c r="K33">
        <f>Generators_rawUSD!K33</f>
        <v>1</v>
      </c>
      <c r="L33">
        <f>Generators_rawUSD!L33</f>
        <v>0</v>
      </c>
      <c r="M33" t="str">
        <f>Generators_rawUSD!M33</f>
        <v>none</v>
      </c>
      <c r="N33" t="str">
        <f>Generators_rawUSD!N33</f>
        <v>ATB2019-2030-capex-marketfactors</v>
      </c>
      <c r="O33">
        <v>2017</v>
      </c>
      <c r="P33">
        <f>Generators_rawUSD!P33</f>
        <v>1</v>
      </c>
    </row>
    <row r="34" spans="1:16">
      <c r="A34" t="str">
        <f>Generators_rawUSD!A34</f>
        <v>PV_track_2030_low</v>
      </c>
      <c r="B34">
        <f>Generators_rawUSD!B34*inflator_2017</f>
        <v>733.2</v>
      </c>
      <c r="C34">
        <f>Generators_rawUSD!C34</f>
        <v>25</v>
      </c>
      <c r="D34">
        <f>Generators_rawUSD!D34</f>
        <v>4.2000000000000003E-2</v>
      </c>
      <c r="E34">
        <f t="shared" si="0"/>
        <v>6.5372244616581671E-2</v>
      </c>
      <c r="F34">
        <f t="shared" si="4"/>
        <v>47.930929752877681</v>
      </c>
      <c r="G34">
        <f>Generators_rawUSD!G34*inflator_2017</f>
        <v>9.1</v>
      </c>
      <c r="H34">
        <f>Generators_rawUSD!H34*inflator_2017</f>
        <v>0</v>
      </c>
      <c r="I34">
        <f>Generators_rawUSD!I34</f>
        <v>0</v>
      </c>
      <c r="J34">
        <f>Generators_rawUSD!J34</f>
        <v>1</v>
      </c>
      <c r="K34">
        <f>Generators_rawUSD!K34</f>
        <v>1</v>
      </c>
      <c r="L34">
        <f>Generators_rawUSD!L34</f>
        <v>0</v>
      </c>
      <c r="M34" t="str">
        <f>Generators_rawUSD!M34</f>
        <v>none</v>
      </c>
      <c r="N34" t="str">
        <f>Generators_rawUSD!N34</f>
        <v>ATB2019-2030-capex-marketfactors</v>
      </c>
      <c r="O34">
        <v>2017</v>
      </c>
      <c r="P34">
        <f>Generators_rawUSD!P34</f>
        <v>1</v>
      </c>
    </row>
    <row r="35" spans="1:16">
      <c r="A35" t="str">
        <f>Generators_rawUSD!A35</f>
        <v>PV_track_2040_mid</v>
      </c>
      <c r="B35">
        <f>Generators_rawUSD!B35*inflator_2017</f>
        <v>994.5</v>
      </c>
      <c r="C35">
        <f>Generators_rawUSD!C35</f>
        <v>25</v>
      </c>
      <c r="D35">
        <f>Generators_rawUSD!D35</f>
        <v>4.2000000000000003E-2</v>
      </c>
      <c r="E35">
        <f t="shared" si="0"/>
        <v>6.5372244616581671E-2</v>
      </c>
      <c r="F35">
        <f t="shared" si="4"/>
        <v>65.012697271190476</v>
      </c>
      <c r="G35">
        <f>Generators_rawUSD!G35*inflator_2017</f>
        <v>11.700000000000001</v>
      </c>
      <c r="H35">
        <f>Generators_rawUSD!H35*inflator_2017</f>
        <v>0</v>
      </c>
      <c r="I35">
        <f>Generators_rawUSD!I35</f>
        <v>0</v>
      </c>
      <c r="J35">
        <f>Generators_rawUSD!J35</f>
        <v>1</v>
      </c>
      <c r="K35">
        <f>Generators_rawUSD!K35</f>
        <v>1</v>
      </c>
      <c r="L35">
        <f>Generators_rawUSD!L35</f>
        <v>0</v>
      </c>
      <c r="M35" t="str">
        <f>Generators_rawUSD!M35</f>
        <v>none</v>
      </c>
      <c r="N35" t="str">
        <f>Generators_rawUSD!N35</f>
        <v>ATB2019-2040-mid-marketfactors</v>
      </c>
      <c r="O35">
        <v>2017</v>
      </c>
      <c r="P35">
        <f>Generators_rawUSD!P35</f>
        <v>1</v>
      </c>
    </row>
    <row r="36" spans="1:16">
      <c r="A36" t="str">
        <f>Generators_rawUSD!A36</f>
        <v>PV_track_2040_low</v>
      </c>
      <c r="B36">
        <f>Generators_rawUSD!B36*inflator_2017</f>
        <v>548.6</v>
      </c>
      <c r="C36">
        <f>Generators_rawUSD!C36</f>
        <v>25</v>
      </c>
      <c r="D36">
        <f>Generators_rawUSD!D36</f>
        <v>4.2000000000000003E-2</v>
      </c>
      <c r="E36">
        <f t="shared" si="0"/>
        <v>6.5372244616581671E-2</v>
      </c>
      <c r="F36">
        <f t="shared" si="4"/>
        <v>35.863213396656704</v>
      </c>
      <c r="G36">
        <f>Generators_rawUSD!G36*inflator_2017</f>
        <v>6.5</v>
      </c>
      <c r="H36">
        <f>Generators_rawUSD!H36*inflator_2017</f>
        <v>0</v>
      </c>
      <c r="I36">
        <f>Generators_rawUSD!I36</f>
        <v>0</v>
      </c>
      <c r="J36">
        <f>Generators_rawUSD!J36</f>
        <v>1</v>
      </c>
      <c r="K36">
        <f>Generators_rawUSD!K36</f>
        <v>1</v>
      </c>
      <c r="L36">
        <f>Generators_rawUSD!L36</f>
        <v>0</v>
      </c>
      <c r="M36" t="str">
        <f>Generators_rawUSD!M36</f>
        <v>none</v>
      </c>
      <c r="N36" t="str">
        <f>Generators_rawUSD!N36</f>
        <v>ATB2019-2040-low-marketfactors</v>
      </c>
      <c r="O36">
        <v>2017</v>
      </c>
      <c r="P36">
        <f>Generators_rawUSD!P36</f>
        <v>1</v>
      </c>
    </row>
    <row r="37" spans="1:16">
      <c r="A37" t="str">
        <f>Generators_rawUSD!A37</f>
        <v>PV_track_2050_mid</v>
      </c>
      <c r="B37">
        <f>Generators_rawUSD!B37*inflator_2017</f>
        <v>886.6</v>
      </c>
      <c r="C37">
        <f>Generators_rawUSD!C37</f>
        <v>25</v>
      </c>
      <c r="D37">
        <f>Generators_rawUSD!D37</f>
        <v>4.2000000000000003E-2</v>
      </c>
      <c r="E37">
        <f t="shared" si="0"/>
        <v>6.5372244616581671E-2</v>
      </c>
      <c r="F37">
        <f t="shared" si="4"/>
        <v>57.959032077061309</v>
      </c>
      <c r="G37">
        <f>Generators_rawUSD!G37*inflator_2017</f>
        <v>10.4</v>
      </c>
      <c r="H37">
        <f>Generators_rawUSD!H37*inflator_2017</f>
        <v>0</v>
      </c>
      <c r="I37">
        <f>Generators_rawUSD!I37</f>
        <v>0</v>
      </c>
      <c r="J37">
        <f>Generators_rawUSD!J37</f>
        <v>1</v>
      </c>
      <c r="K37">
        <f>Generators_rawUSD!K37</f>
        <v>1</v>
      </c>
      <c r="L37">
        <f>Generators_rawUSD!L37</f>
        <v>0</v>
      </c>
      <c r="M37" t="str">
        <f>Generators_rawUSD!M37</f>
        <v>none</v>
      </c>
      <c r="N37" t="str">
        <f>Generators_rawUSD!N37</f>
        <v>ATB2019-2050-mid-marketfactors</v>
      </c>
      <c r="O37">
        <v>2017</v>
      </c>
      <c r="P37">
        <f>Generators_rawUSD!P37</f>
        <v>1</v>
      </c>
    </row>
    <row r="38" spans="1:16">
      <c r="A38" t="str">
        <f>Generators_rawUSD!A38</f>
        <v>PV_track_2050_low</v>
      </c>
      <c r="B38">
        <f>Generators_rawUSD!B38*inflator_2017</f>
        <v>461.5</v>
      </c>
      <c r="C38">
        <f>Generators_rawUSD!C38</f>
        <v>25</v>
      </c>
      <c r="D38">
        <f>Generators_rawUSD!D38</f>
        <v>4.2000000000000003E-2</v>
      </c>
      <c r="E38">
        <f t="shared" si="0"/>
        <v>6.5372244616581671E-2</v>
      </c>
      <c r="F38">
        <f t="shared" si="4"/>
        <v>30.169290890552443</v>
      </c>
      <c r="G38">
        <f>Generators_rawUSD!G38*inflator_2017</f>
        <v>5.2</v>
      </c>
      <c r="H38">
        <f>Generators_rawUSD!H38*inflator_2017</f>
        <v>0</v>
      </c>
      <c r="I38">
        <f>Generators_rawUSD!I38</f>
        <v>0</v>
      </c>
      <c r="J38">
        <f>Generators_rawUSD!J38</f>
        <v>1</v>
      </c>
      <c r="K38">
        <f>Generators_rawUSD!K38</f>
        <v>1</v>
      </c>
      <c r="L38">
        <f>Generators_rawUSD!L38</f>
        <v>0</v>
      </c>
      <c r="M38" t="str">
        <f>Generators_rawUSD!M38</f>
        <v>none</v>
      </c>
      <c r="N38" t="str">
        <f>Generators_rawUSD!N38</f>
        <v>ATB2019-2050-low-marketfactors</v>
      </c>
      <c r="O38">
        <v>2017</v>
      </c>
      <c r="P38">
        <f>Generators_rawUSD!P38</f>
        <v>1</v>
      </c>
    </row>
    <row r="39" spans="1:16">
      <c r="A39" t="str">
        <f>Generators_rawUSD!A39</f>
        <v>Wind</v>
      </c>
      <c r="B39">
        <f>Generators_rawUSD!B39*inflator_2017</f>
        <v>1623</v>
      </c>
      <c r="C39">
        <f>Generators_rawUSD!C39</f>
        <v>25</v>
      </c>
      <c r="D39">
        <f>Generators_rawUSD!D39</f>
        <v>4.2000000000000003E-2</v>
      </c>
      <c r="E39">
        <f t="shared" si="0"/>
        <v>6.5372244616581671E-2</v>
      </c>
      <c r="F39">
        <f t="shared" si="4"/>
        <v>106.09915301271205</v>
      </c>
      <c r="G39">
        <f>Generators_rawUSD!G39*inflator_2017</f>
        <v>44</v>
      </c>
      <c r="H39">
        <f>Generators_rawUSD!H39*inflator_2017</f>
        <v>1.0000000000000001E-5</v>
      </c>
      <c r="I39">
        <f>Generators_rawUSD!I39</f>
        <v>0</v>
      </c>
      <c r="J39">
        <f>Generators_rawUSD!J39</f>
        <v>1</v>
      </c>
      <c r="K39">
        <f>Generators_rawUSD!K39</f>
        <v>1</v>
      </c>
      <c r="L39">
        <f>Generators_rawUSD!L39</f>
        <v>0</v>
      </c>
      <c r="M39" t="str">
        <f>Generators_rawUSD!M39</f>
        <v>none</v>
      </c>
      <c r="N39" t="str">
        <f>Generators_rawUSD!N39</f>
        <v>ATB2019-2017-capex-marketfactors</v>
      </c>
      <c r="O39">
        <v>2017</v>
      </c>
      <c r="P39">
        <f>Generators_rawUSD!P39</f>
        <v>1</v>
      </c>
    </row>
    <row r="40" spans="1:16">
      <c r="A40" t="str">
        <f>Generators_rawUSD!A40</f>
        <v>Wind_2017</v>
      </c>
      <c r="B40">
        <f>Generators_rawUSD!B40*inflator_2017</f>
        <v>1623</v>
      </c>
      <c r="C40">
        <f>Generators_rawUSD!C40</f>
        <v>25</v>
      </c>
      <c r="D40">
        <f>Generators_rawUSD!D40</f>
        <v>4.2000000000000003E-2</v>
      </c>
      <c r="E40">
        <f t="shared" si="0"/>
        <v>6.5372244616581671E-2</v>
      </c>
      <c r="F40">
        <f t="shared" si="4"/>
        <v>106.09915301271205</v>
      </c>
      <c r="G40">
        <f>Generators_rawUSD!G40*inflator_2017</f>
        <v>44</v>
      </c>
      <c r="H40">
        <f>Generators_rawUSD!H40*inflator_2017</f>
        <v>1.0000000000000001E-5</v>
      </c>
      <c r="I40">
        <f>Generators_rawUSD!I40</f>
        <v>0</v>
      </c>
      <c r="J40">
        <f>Generators_rawUSD!J40</f>
        <v>1</v>
      </c>
      <c r="K40">
        <f>Generators_rawUSD!K40</f>
        <v>1</v>
      </c>
      <c r="L40">
        <f>Generators_rawUSD!L40</f>
        <v>0</v>
      </c>
      <c r="M40" t="str">
        <f>Generators_rawUSD!M40</f>
        <v>none</v>
      </c>
      <c r="N40" t="str">
        <f>Generators_rawUSD!N40</f>
        <v>ATB2019-2017-capex-marketfactors</v>
      </c>
      <c r="O40">
        <v>2017</v>
      </c>
      <c r="P40">
        <f>Generators_rawUSD!P40</f>
        <v>1</v>
      </c>
    </row>
    <row r="41" spans="1:16">
      <c r="A41" t="str">
        <f>Generators_rawUSD!A41</f>
        <v>Wind_2025_mid</v>
      </c>
      <c r="B41">
        <f>Generators_rawUSD!B41*inflator_2017</f>
        <v>1401</v>
      </c>
      <c r="C41">
        <f>Generators_rawUSD!C41</f>
        <v>25</v>
      </c>
      <c r="D41">
        <f>Generators_rawUSD!D41</f>
        <v>4.2000000000000003E-2</v>
      </c>
      <c r="E41">
        <f t="shared" si="0"/>
        <v>6.5372244616581671E-2</v>
      </c>
      <c r="F41">
        <f t="shared" si="4"/>
        <v>91.586514707830915</v>
      </c>
      <c r="G41">
        <f>Generators_rawUSD!G41*inflator_2017</f>
        <v>41</v>
      </c>
      <c r="H41">
        <f>Generators_rawUSD!H41*inflator_2017</f>
        <v>1.0000000000000001E-5</v>
      </c>
      <c r="I41">
        <f>Generators_rawUSD!I41</f>
        <v>0</v>
      </c>
      <c r="J41">
        <f>Generators_rawUSD!J41</f>
        <v>1</v>
      </c>
      <c r="K41">
        <f>Generators_rawUSD!K41</f>
        <v>1</v>
      </c>
      <c r="L41">
        <f>Generators_rawUSD!L41</f>
        <v>0</v>
      </c>
      <c r="M41" t="str">
        <f>Generators_rawUSD!M41</f>
        <v>none</v>
      </c>
      <c r="N41" t="str">
        <f>Generators_rawUSD!N41</f>
        <v>ATB2019-2025-mid-capex-marketfactors</v>
      </c>
      <c r="O41">
        <v>2017</v>
      </c>
      <c r="P41">
        <f>Generators_rawUSD!P41</f>
        <v>1</v>
      </c>
    </row>
    <row r="42" spans="1:16">
      <c r="A42" t="str">
        <f>Generators_rawUSD!A42</f>
        <v>Wind_2025_low</v>
      </c>
      <c r="B42">
        <f>Generators_rawUSD!B42*inflator_2017</f>
        <v>1322</v>
      </c>
      <c r="C42">
        <f>Generators_rawUSD!C42</f>
        <v>25</v>
      </c>
      <c r="D42">
        <f>Generators_rawUSD!D42</f>
        <v>4.2000000000000003E-2</v>
      </c>
      <c r="E42">
        <f t="shared" si="0"/>
        <v>6.5372244616581671E-2</v>
      </c>
      <c r="F42">
        <f t="shared" si="4"/>
        <v>86.422107383120974</v>
      </c>
      <c r="G42">
        <f>Generators_rawUSD!G42*inflator_2017</f>
        <v>38</v>
      </c>
      <c r="H42">
        <f>Generators_rawUSD!H42*inflator_2017</f>
        <v>1.0000000000000001E-5</v>
      </c>
      <c r="I42">
        <f>Generators_rawUSD!I42</f>
        <v>0</v>
      </c>
      <c r="J42">
        <f>Generators_rawUSD!J42</f>
        <v>1</v>
      </c>
      <c r="K42">
        <f>Generators_rawUSD!K42</f>
        <v>1</v>
      </c>
      <c r="L42">
        <f>Generators_rawUSD!L42</f>
        <v>0</v>
      </c>
      <c r="M42" t="str">
        <f>Generators_rawUSD!M42</f>
        <v>none</v>
      </c>
      <c r="N42" t="str">
        <f>Generators_rawUSD!N42</f>
        <v>ATB2019-2025-low-capex-marketfactors</v>
      </c>
      <c r="O42">
        <v>2017</v>
      </c>
      <c r="P42">
        <f>Generators_rawUSD!P42</f>
        <v>1</v>
      </c>
    </row>
    <row r="43" spans="1:16">
      <c r="A43" t="str">
        <f>Generators_rawUSD!A43</f>
        <v>Wind_2030_mid</v>
      </c>
      <c r="B43">
        <f>Generators_rawUSD!B43*inflator_2017</f>
        <v>1262</v>
      </c>
      <c r="C43">
        <f>Generators_rawUSD!C43</f>
        <v>25</v>
      </c>
      <c r="D43">
        <f>Generators_rawUSD!D43</f>
        <v>4.2000000000000003E-2</v>
      </c>
      <c r="E43">
        <f t="shared" si="0"/>
        <v>6.5372244616581671E-2</v>
      </c>
      <c r="F43">
        <f t="shared" si="4"/>
        <v>82.499772706126066</v>
      </c>
      <c r="G43">
        <f>Generators_rawUSD!G43*inflator_2017</f>
        <v>39</v>
      </c>
      <c r="H43">
        <f>Generators_rawUSD!H43*inflator_2017</f>
        <v>1.0000000000000001E-5</v>
      </c>
      <c r="I43">
        <f>Generators_rawUSD!I43</f>
        <v>0</v>
      </c>
      <c r="J43">
        <f>Generators_rawUSD!J43</f>
        <v>1</v>
      </c>
      <c r="K43">
        <f>Generators_rawUSD!K43</f>
        <v>1</v>
      </c>
      <c r="L43">
        <f>Generators_rawUSD!L43</f>
        <v>0</v>
      </c>
      <c r="M43" t="str">
        <f>Generators_rawUSD!M43</f>
        <v>none</v>
      </c>
      <c r="N43" t="str">
        <f>Generators_rawUSD!N43</f>
        <v>ATB2019-2030-mid-marketfactors</v>
      </c>
      <c r="O43">
        <v>2017</v>
      </c>
      <c r="P43">
        <f>Generators_rawUSD!P43</f>
        <v>1</v>
      </c>
    </row>
    <row r="44" spans="1:16">
      <c r="A44" t="str">
        <f>Generators_rawUSD!A44</f>
        <v>Wind_2030_low</v>
      </c>
      <c r="B44">
        <f>Generators_rawUSD!B44*inflator_2017</f>
        <v>1134</v>
      </c>
      <c r="C44">
        <f>Generators_rawUSD!C44</f>
        <v>25</v>
      </c>
      <c r="D44">
        <f>Generators_rawUSD!D44</f>
        <v>4.2000000000000003E-2</v>
      </c>
      <c r="E44">
        <f t="shared" si="0"/>
        <v>6.5372244616581671E-2</v>
      </c>
      <c r="F44">
        <f t="shared" si="4"/>
        <v>74.132125395203616</v>
      </c>
      <c r="G44">
        <f>Generators_rawUSD!G44*inflator_2017</f>
        <v>34</v>
      </c>
      <c r="H44">
        <f>Generators_rawUSD!H44*inflator_2017</f>
        <v>1.0000000000000001E-5</v>
      </c>
      <c r="I44">
        <f>Generators_rawUSD!I44</f>
        <v>0</v>
      </c>
      <c r="J44">
        <f>Generators_rawUSD!J44</f>
        <v>1</v>
      </c>
      <c r="K44">
        <f>Generators_rawUSD!K44</f>
        <v>1</v>
      </c>
      <c r="L44">
        <f>Generators_rawUSD!L44</f>
        <v>0</v>
      </c>
      <c r="M44" t="str">
        <f>Generators_rawUSD!M44</f>
        <v>none</v>
      </c>
      <c r="N44" t="str">
        <f>Generators_rawUSD!N44</f>
        <v>ATB2019-2030-low-marketfactors</v>
      </c>
      <c r="O44">
        <v>2017</v>
      </c>
      <c r="P44">
        <f>Generators_rawUSD!P44</f>
        <v>1</v>
      </c>
    </row>
    <row r="45" spans="1:16">
      <c r="A45" t="str">
        <f>Generators_rawUSD!A45</f>
        <v>Wind_2040_mid</v>
      </c>
      <c r="B45">
        <f>Generators_rawUSD!B45*inflator_2017</f>
        <v>1144</v>
      </c>
      <c r="C45">
        <f>Generators_rawUSD!C45</f>
        <v>25</v>
      </c>
      <c r="D45">
        <f>Generators_rawUSD!D45</f>
        <v>4.2000000000000003E-2</v>
      </c>
      <c r="E45">
        <f t="shared" si="0"/>
        <v>6.5372244616581671E-2</v>
      </c>
      <c r="F45">
        <f t="shared" si="4"/>
        <v>74.785847841369431</v>
      </c>
      <c r="G45">
        <f>Generators_rawUSD!G45*inflator_2017</f>
        <v>36</v>
      </c>
      <c r="H45">
        <f>Generators_rawUSD!H45*inflator_2017</f>
        <v>1.0000000000000001E-5</v>
      </c>
      <c r="I45">
        <f>Generators_rawUSD!I45</f>
        <v>0</v>
      </c>
      <c r="J45">
        <f>Generators_rawUSD!J45</f>
        <v>1</v>
      </c>
      <c r="K45">
        <f>Generators_rawUSD!K45</f>
        <v>1</v>
      </c>
      <c r="L45">
        <f>Generators_rawUSD!L45</f>
        <v>0</v>
      </c>
      <c r="M45" t="str">
        <f>Generators_rawUSD!M45</f>
        <v>none</v>
      </c>
      <c r="N45" t="str">
        <f>Generators_rawUSD!N45</f>
        <v>ATB2019-2040-mid-TRG5-marketfactors</v>
      </c>
      <c r="O45">
        <v>2017</v>
      </c>
      <c r="P45">
        <f>Generators_rawUSD!P45</f>
        <v>1</v>
      </c>
    </row>
    <row r="46" spans="1:16">
      <c r="A46" t="str">
        <f>Generators_rawUSD!A46</f>
        <v>Wind_2040_low</v>
      </c>
      <c r="B46">
        <f>Generators_rawUSD!B46*inflator_2017</f>
        <v>1012</v>
      </c>
      <c r="C46">
        <f>Generators_rawUSD!C46</f>
        <v>25</v>
      </c>
      <c r="D46">
        <f>Generators_rawUSD!D46</f>
        <v>4.2000000000000003E-2</v>
      </c>
      <c r="E46">
        <f t="shared" si="0"/>
        <v>6.5372244616581671E-2</v>
      </c>
      <c r="F46">
        <f t="shared" si="4"/>
        <v>66.156711551980649</v>
      </c>
      <c r="G46">
        <f>Generators_rawUSD!G46*inflator_2017</f>
        <v>29</v>
      </c>
      <c r="H46">
        <f>Generators_rawUSD!H46*inflator_2017</f>
        <v>1.0000000000000001E-5</v>
      </c>
      <c r="I46">
        <f>Generators_rawUSD!I46</f>
        <v>0</v>
      </c>
      <c r="J46">
        <f>Generators_rawUSD!J46</f>
        <v>1</v>
      </c>
      <c r="K46">
        <f>Generators_rawUSD!K46</f>
        <v>1</v>
      </c>
      <c r="L46">
        <f>Generators_rawUSD!L46</f>
        <v>0</v>
      </c>
      <c r="M46" t="str">
        <f>Generators_rawUSD!M46</f>
        <v>none</v>
      </c>
      <c r="N46" t="str">
        <f>Generators_rawUSD!N46</f>
        <v>ATB2019-2040-low-TRG5-marketfactors</v>
      </c>
      <c r="O46">
        <v>2017</v>
      </c>
      <c r="P46">
        <f>Generators_rawUSD!P46</f>
        <v>1</v>
      </c>
    </row>
    <row r="47" spans="1:16">
      <c r="A47" t="str">
        <f>Generators_rawUSD!A47</f>
        <v>Wind_2050_mid</v>
      </c>
      <c r="B47">
        <f>Generators_rawUSD!B47*inflator_2017</f>
        <v>1019</v>
      </c>
      <c r="C47">
        <f>Generators_rawUSD!C47</f>
        <v>25</v>
      </c>
      <c r="D47">
        <f>Generators_rawUSD!D47</f>
        <v>4.2000000000000003E-2</v>
      </c>
      <c r="E47">
        <f t="shared" si="0"/>
        <v>6.5372244616581671E-2</v>
      </c>
      <c r="F47">
        <f t="shared" si="4"/>
        <v>66.614317264296716</v>
      </c>
      <c r="G47">
        <f>Generators_rawUSD!G47*inflator_2017</f>
        <v>33</v>
      </c>
      <c r="H47">
        <f>Generators_rawUSD!H47*inflator_2017</f>
        <v>1.0000000000000001E-5</v>
      </c>
      <c r="I47">
        <f>Generators_rawUSD!I47</f>
        <v>0</v>
      </c>
      <c r="J47">
        <f>Generators_rawUSD!J47</f>
        <v>1</v>
      </c>
      <c r="K47">
        <f>Generators_rawUSD!K47</f>
        <v>1</v>
      </c>
      <c r="L47">
        <f>Generators_rawUSD!L47</f>
        <v>0</v>
      </c>
      <c r="M47" t="str">
        <f>Generators_rawUSD!M47</f>
        <v>none</v>
      </c>
      <c r="N47" t="str">
        <f>Generators_rawUSD!N47</f>
        <v>ATB2019-2050-mid-TRG5-marketfactors</v>
      </c>
      <c r="O47">
        <v>2017</v>
      </c>
      <c r="P47">
        <f>Generators_rawUSD!P47</f>
        <v>1</v>
      </c>
    </row>
    <row r="48" spans="1:16">
      <c r="A48" t="str">
        <f>Generators_rawUSD!A48</f>
        <v>Wind_2050_low</v>
      </c>
      <c r="B48">
        <f>Generators_rawUSD!B48*inflator_2017</f>
        <v>873</v>
      </c>
      <c r="C48">
        <f>Generators_rawUSD!C48</f>
        <v>25</v>
      </c>
      <c r="D48">
        <f>Generators_rawUSD!D48</f>
        <v>4.2000000000000003E-2</v>
      </c>
      <c r="E48">
        <f t="shared" si="0"/>
        <v>6.5372244616581671E-2</v>
      </c>
      <c r="F48">
        <f t="shared" si="4"/>
        <v>57.0699695502758</v>
      </c>
      <c r="G48">
        <f>Generators_rawUSD!G48*inflator_2017</f>
        <v>24</v>
      </c>
      <c r="H48">
        <f>Generators_rawUSD!H48*inflator_2017</f>
        <v>1.0000000000000001E-5</v>
      </c>
      <c r="I48">
        <f>Generators_rawUSD!I48</f>
        <v>0</v>
      </c>
      <c r="J48">
        <f>Generators_rawUSD!J48</f>
        <v>1</v>
      </c>
      <c r="K48">
        <f>Generators_rawUSD!K48</f>
        <v>1</v>
      </c>
      <c r="L48">
        <f>Generators_rawUSD!L48</f>
        <v>0</v>
      </c>
      <c r="M48" t="str">
        <f>Generators_rawUSD!M48</f>
        <v>none</v>
      </c>
      <c r="N48" t="str">
        <f>Generators_rawUSD!N48</f>
        <v>ATB2019-2050-low-TRG5-marketfactors</v>
      </c>
      <c r="O48">
        <v>2017</v>
      </c>
      <c r="P48">
        <f>Generators_rawUSD!P48</f>
        <v>1</v>
      </c>
    </row>
    <row r="49" spans="1:16">
      <c r="A49" t="str">
        <f>Generators_rawUSD!A49</f>
        <v>Wind_off</v>
      </c>
      <c r="B49">
        <f>Generators_rawUSD!B49*inflator_2017</f>
        <v>3972</v>
      </c>
      <c r="C49">
        <f>Generators_rawUSD!C49</f>
        <v>25</v>
      </c>
      <c r="D49">
        <f>Generators_rawUSD!D49</f>
        <v>4.2000000000000003E-2</v>
      </c>
      <c r="E49">
        <f t="shared" si="0"/>
        <v>6.5372244616581671E-2</v>
      </c>
      <c r="F49">
        <f t="shared" si="4"/>
        <v>259.6585556170624</v>
      </c>
      <c r="G49">
        <f>Generators_rawUSD!G49*inflator_2017</f>
        <v>122</v>
      </c>
      <c r="H49">
        <f>Generators_rawUSD!H49*inflator_2017</f>
        <v>1.0000000000000001E-5</v>
      </c>
      <c r="I49">
        <f>Generators_rawUSD!I49</f>
        <v>0</v>
      </c>
      <c r="J49">
        <f>Generators_rawUSD!J49</f>
        <v>1</v>
      </c>
      <c r="K49">
        <f>Generators_rawUSD!K49</f>
        <v>1</v>
      </c>
      <c r="L49">
        <f>Generators_rawUSD!L49</f>
        <v>0</v>
      </c>
      <c r="M49" t="str">
        <f>Generators_rawUSD!M49</f>
        <v>none</v>
      </c>
      <c r="N49" t="str">
        <f>Generators_rawUSD!N49</f>
        <v>ATB2019-2017-capex-TRG3-marketfactors</v>
      </c>
      <c r="O49">
        <v>2017</v>
      </c>
      <c r="P49">
        <f>Generators_rawUSD!P49</f>
        <v>1</v>
      </c>
    </row>
    <row r="50" spans="1:16">
      <c r="A50" t="str">
        <f>Generators_rawUSD!A50</f>
        <v>Wind_off_2017</v>
      </c>
      <c r="B50">
        <f>Generators_rawUSD!B50*inflator_2017</f>
        <v>3972</v>
      </c>
      <c r="C50">
        <f>Generators_rawUSD!C50</f>
        <v>25</v>
      </c>
      <c r="D50">
        <f>Generators_rawUSD!D50</f>
        <v>4.2000000000000003E-2</v>
      </c>
      <c r="E50">
        <f t="shared" si="0"/>
        <v>6.5372244616581671E-2</v>
      </c>
      <c r="F50">
        <f t="shared" si="4"/>
        <v>259.6585556170624</v>
      </c>
      <c r="G50">
        <f>Generators_rawUSD!G50*inflator_2017</f>
        <v>122</v>
      </c>
      <c r="H50">
        <f>Generators_rawUSD!H50*inflator_2017</f>
        <v>1.0000000000000001E-5</v>
      </c>
      <c r="I50">
        <f>Generators_rawUSD!I50</f>
        <v>0</v>
      </c>
      <c r="J50">
        <f>Generators_rawUSD!J50</f>
        <v>1</v>
      </c>
      <c r="K50">
        <f>Generators_rawUSD!K50</f>
        <v>1</v>
      </c>
      <c r="L50">
        <f>Generators_rawUSD!L50</f>
        <v>0</v>
      </c>
      <c r="M50" t="str">
        <f>Generators_rawUSD!M50</f>
        <v>none</v>
      </c>
      <c r="N50" t="str">
        <f>Generators_rawUSD!N50</f>
        <v>ATB2019-2017-capex-TRG3-marketfactors</v>
      </c>
      <c r="O50">
        <v>2017</v>
      </c>
      <c r="P50">
        <f>Generators_rawUSD!P50</f>
        <v>1</v>
      </c>
    </row>
    <row r="51" spans="1:16">
      <c r="A51" t="str">
        <f>Generators_rawUSD!A51</f>
        <v>Wind_off_2030_mid</v>
      </c>
      <c r="B51">
        <f>Generators_rawUSD!B51*inflator_2017</f>
        <v>2783</v>
      </c>
      <c r="C51">
        <f>Generators_rawUSD!C51</f>
        <v>25</v>
      </c>
      <c r="D51">
        <f>Generators_rawUSD!D51</f>
        <v>4.2000000000000003E-2</v>
      </c>
      <c r="E51">
        <f t="shared" si="0"/>
        <v>6.5372244616581671E-2</v>
      </c>
      <c r="F51">
        <f t="shared" si="4"/>
        <v>181.93095676794678</v>
      </c>
      <c r="G51">
        <f>Generators_rawUSD!G51*inflator_2017</f>
        <v>79</v>
      </c>
      <c r="H51">
        <f>Generators_rawUSD!H51*inflator_2017</f>
        <v>1.0000000000000001E-5</v>
      </c>
      <c r="I51">
        <f>Generators_rawUSD!I51</f>
        <v>0</v>
      </c>
      <c r="J51">
        <f>Generators_rawUSD!J51</f>
        <v>1</v>
      </c>
      <c r="K51">
        <f>Generators_rawUSD!K51</f>
        <v>1</v>
      </c>
      <c r="L51">
        <f>Generators_rawUSD!L51</f>
        <v>0</v>
      </c>
      <c r="M51" t="str">
        <f>Generators_rawUSD!M51</f>
        <v>none</v>
      </c>
      <c r="N51" t="str">
        <f>Generators_rawUSD!N51</f>
        <v>ATB2019-2030-mid-TRG3-marketfactors</v>
      </c>
      <c r="O51">
        <v>2017</v>
      </c>
      <c r="P51">
        <f>Generators_rawUSD!P51</f>
        <v>1</v>
      </c>
    </row>
    <row r="52" spans="1:16">
      <c r="A52" t="str">
        <f>Generators_rawUSD!A52</f>
        <v>Wind_off_2030_low</v>
      </c>
      <c r="B52">
        <f>Generators_rawUSD!B52*inflator_2017</f>
        <v>2227</v>
      </c>
      <c r="C52">
        <f>Generators_rawUSD!C52</f>
        <v>25</v>
      </c>
      <c r="D52">
        <f>Generators_rawUSD!D52</f>
        <v>4.2000000000000003E-2</v>
      </c>
      <c r="E52">
        <f t="shared" si="0"/>
        <v>6.5372244616581671E-2</v>
      </c>
      <c r="F52">
        <f t="shared" si="4"/>
        <v>145.58398876112739</v>
      </c>
      <c r="G52">
        <f>Generators_rawUSD!G52*inflator_2017</f>
        <v>63</v>
      </c>
      <c r="H52">
        <f>Generators_rawUSD!H52*inflator_2017</f>
        <v>1.0000000000000001E-5</v>
      </c>
      <c r="I52">
        <f>Generators_rawUSD!I52</f>
        <v>0</v>
      </c>
      <c r="J52">
        <f>Generators_rawUSD!J52</f>
        <v>1</v>
      </c>
      <c r="K52">
        <f>Generators_rawUSD!K52</f>
        <v>1</v>
      </c>
      <c r="L52">
        <f>Generators_rawUSD!L52</f>
        <v>0</v>
      </c>
      <c r="M52" t="str">
        <f>Generators_rawUSD!M52</f>
        <v>none</v>
      </c>
      <c r="N52" t="str">
        <f>Generators_rawUSD!N52</f>
        <v>ATB2019-2030-low-TRG3-marketfactors</v>
      </c>
      <c r="O52">
        <v>2017</v>
      </c>
      <c r="P52">
        <f>Generators_rawUSD!P52</f>
        <v>1</v>
      </c>
    </row>
    <row r="53" spans="1:16">
      <c r="A53" t="str">
        <f>Generators_rawUSD!A53</f>
        <v>Wind_off_2040_mid</v>
      </c>
      <c r="B53">
        <f>Generators_rawUSD!B53*inflator_2017</f>
        <v>2146</v>
      </c>
      <c r="C53">
        <f>Generators_rawUSD!C53</f>
        <v>25</v>
      </c>
      <c r="D53">
        <f>Generators_rawUSD!D53</f>
        <v>4.2000000000000003E-2</v>
      </c>
      <c r="E53">
        <f t="shared" si="0"/>
        <v>6.5372244616581671E-2</v>
      </c>
      <c r="F53">
        <f t="shared" si="4"/>
        <v>140.28883694718428</v>
      </c>
      <c r="G53">
        <f>Generators_rawUSD!G53*inflator_2017</f>
        <v>57</v>
      </c>
      <c r="H53">
        <f>Generators_rawUSD!H53*inflator_2017</f>
        <v>1.0000000000000001E-5</v>
      </c>
      <c r="I53">
        <f>Generators_rawUSD!I53</f>
        <v>0</v>
      </c>
      <c r="J53">
        <f>Generators_rawUSD!J53</f>
        <v>1</v>
      </c>
      <c r="K53">
        <f>Generators_rawUSD!K53</f>
        <v>1</v>
      </c>
      <c r="L53">
        <f>Generators_rawUSD!L53</f>
        <v>0</v>
      </c>
      <c r="M53" t="str">
        <f>Generators_rawUSD!M53</f>
        <v>none</v>
      </c>
      <c r="N53" t="str">
        <f>Generators_rawUSD!N53</f>
        <v>ATB2019-2040-mid-TRG3-marketfactors</v>
      </c>
      <c r="O53">
        <v>2017</v>
      </c>
      <c r="P53">
        <f>Generators_rawUSD!P53</f>
        <v>1</v>
      </c>
    </row>
    <row r="54" spans="1:16">
      <c r="A54" t="str">
        <f>Generators_rawUSD!A54</f>
        <v>Wind_off_2040_low</v>
      </c>
      <c r="B54">
        <f>Generators_rawUSD!B54*inflator_2017</f>
        <v>1716</v>
      </c>
      <c r="C54">
        <f>Generators_rawUSD!C54</f>
        <v>25</v>
      </c>
      <c r="D54">
        <f>Generators_rawUSD!D54</f>
        <v>4.2000000000000003E-2</v>
      </c>
      <c r="E54">
        <f t="shared" si="0"/>
        <v>6.5372244616581671E-2</v>
      </c>
      <c r="F54">
        <f t="shared" si="4"/>
        <v>112.17877176205414</v>
      </c>
      <c r="G54">
        <f>Generators_rawUSD!G54*inflator_2017</f>
        <v>46</v>
      </c>
      <c r="H54">
        <f>Generators_rawUSD!H54*inflator_2017</f>
        <v>1.0000000000000001E-5</v>
      </c>
      <c r="I54">
        <f>Generators_rawUSD!I54</f>
        <v>0</v>
      </c>
      <c r="J54">
        <f>Generators_rawUSD!J54</f>
        <v>1</v>
      </c>
      <c r="K54">
        <f>Generators_rawUSD!K54</f>
        <v>1</v>
      </c>
      <c r="L54">
        <f>Generators_rawUSD!L54</f>
        <v>0</v>
      </c>
      <c r="M54" t="str">
        <f>Generators_rawUSD!M54</f>
        <v>none</v>
      </c>
      <c r="N54" t="str">
        <f>Generators_rawUSD!N54</f>
        <v>ATB2019-2040-low-TRG3-marketfactors</v>
      </c>
      <c r="O54">
        <v>2017</v>
      </c>
      <c r="P54">
        <f>Generators_rawUSD!P54</f>
        <v>1</v>
      </c>
    </row>
    <row r="55" spans="1:16">
      <c r="A55" t="str">
        <f>Generators_rawUSD!A55</f>
        <v>Wind_off_2050_mid</v>
      </c>
      <c r="B55">
        <f>Generators_rawUSD!B55*inflator_2017</f>
        <v>1676</v>
      </c>
      <c r="C55">
        <f>Generators_rawUSD!C55</f>
        <v>25</v>
      </c>
      <c r="D55">
        <f>Generators_rawUSD!D55</f>
        <v>4.2000000000000003E-2</v>
      </c>
      <c r="E55">
        <f t="shared" si="0"/>
        <v>6.5372244616581671E-2</v>
      </c>
      <c r="F55">
        <f t="shared" si="4"/>
        <v>109.56388197739088</v>
      </c>
      <c r="G55">
        <f>Generators_rawUSD!G55*inflator_2017</f>
        <v>41</v>
      </c>
      <c r="H55">
        <f>Generators_rawUSD!H55*inflator_2017</f>
        <v>1.0000000000000001E-5</v>
      </c>
      <c r="I55">
        <f>Generators_rawUSD!I55</f>
        <v>0</v>
      </c>
      <c r="J55">
        <f>Generators_rawUSD!J55</f>
        <v>1</v>
      </c>
      <c r="K55">
        <f>Generators_rawUSD!K55</f>
        <v>1</v>
      </c>
      <c r="L55">
        <f>Generators_rawUSD!L55</f>
        <v>0</v>
      </c>
      <c r="M55" t="str">
        <f>Generators_rawUSD!M55</f>
        <v>none</v>
      </c>
      <c r="N55" t="str">
        <f>Generators_rawUSD!N55</f>
        <v>ATB2019-2050-mid-TRG3-marketfactors</v>
      </c>
      <c r="O55">
        <v>2017</v>
      </c>
      <c r="P55">
        <f>Generators_rawUSD!P55</f>
        <v>1</v>
      </c>
    </row>
    <row r="56" spans="1:16">
      <c r="A56" t="str">
        <f>Generators_rawUSD!A56</f>
        <v>Wind_off_2050_low</v>
      </c>
      <c r="B56">
        <f>Generators_rawUSD!B56*inflator_2017</f>
        <v>1341</v>
      </c>
      <c r="C56">
        <f>Generators_rawUSD!C56</f>
        <v>25</v>
      </c>
      <c r="D56">
        <f>Generators_rawUSD!D56</f>
        <v>4.2000000000000003E-2</v>
      </c>
      <c r="E56">
        <f t="shared" si="0"/>
        <v>6.5372244616581671E-2</v>
      </c>
      <c r="F56">
        <f t="shared" si="4"/>
        <v>87.664180030836022</v>
      </c>
      <c r="G56">
        <f>Generators_rawUSD!G56*inflator_2017</f>
        <v>33</v>
      </c>
      <c r="H56">
        <f>Generators_rawUSD!H56*inflator_2017</f>
        <v>1.0000000000000001E-5</v>
      </c>
      <c r="I56">
        <f>Generators_rawUSD!I56</f>
        <v>0</v>
      </c>
      <c r="J56">
        <f>Generators_rawUSD!J56</f>
        <v>1</v>
      </c>
      <c r="K56">
        <f>Generators_rawUSD!K56</f>
        <v>1</v>
      </c>
      <c r="L56">
        <f>Generators_rawUSD!L56</f>
        <v>0</v>
      </c>
      <c r="M56" t="str">
        <f>Generators_rawUSD!M56</f>
        <v>none</v>
      </c>
      <c r="N56" t="str">
        <f>Generators_rawUSD!N56</f>
        <v>ATB2019-2050-low-TRG3-marketfactors</v>
      </c>
      <c r="O56">
        <v>2017</v>
      </c>
      <c r="P56">
        <f>Generators_rawUSD!P56</f>
        <v>1</v>
      </c>
    </row>
    <row r="57" spans="1:16">
      <c r="A57" t="str">
        <f>Generators_rawUSD!A57</f>
        <v>Hydro_ROR</v>
      </c>
      <c r="B57">
        <f>Generators_rawUSD!B57*inflator_2016</f>
        <v>4800.1266629723214</v>
      </c>
      <c r="C57">
        <f>Generators_rawUSD!C57</f>
        <v>50</v>
      </c>
      <c r="D57">
        <f>Generators_rawUSD!D57</f>
        <v>1.9E-2</v>
      </c>
      <c r="E57">
        <f t="shared" si="0"/>
        <v>3.1157918907882748E-2</v>
      </c>
      <c r="F57">
        <f t="shared" si="4"/>
        <v>149.56195731245742</v>
      </c>
      <c r="G57">
        <f>Generators_rawUSD!G57*inflator_2016</f>
        <v>35.970310865933016</v>
      </c>
      <c r="H57">
        <f>Generators_rawUSD!H57*inflator_2017</f>
        <v>0</v>
      </c>
      <c r="I57">
        <f>Generators_rawUSD!I57</f>
        <v>0</v>
      </c>
      <c r="J57">
        <f>Generators_rawUSD!J57</f>
        <v>1</v>
      </c>
      <c r="K57">
        <f>Generators_rawUSD!K57</f>
        <v>1</v>
      </c>
      <c r="L57">
        <f>Generators_rawUSD!L57</f>
        <v>1</v>
      </c>
      <c r="M57" t="str">
        <f>Generators_rawUSD!M57</f>
        <v>none</v>
      </c>
      <c r="N57" t="str">
        <f>Generators_rawUSD!N57</f>
        <v>DOE2018-HydropowerMarketReport</v>
      </c>
      <c r="O57">
        <v>2017</v>
      </c>
      <c r="P57">
        <f>Generators_rawUSD!P57</f>
        <v>1</v>
      </c>
    </row>
    <row r="58" spans="1:16">
      <c r="A58" t="str">
        <f>Generators_rawUSD!A58</f>
        <v>Nuclear_NEA_USA_7</v>
      </c>
      <c r="B58">
        <f>Generators_rawUSD!B58*inflator_2013</f>
        <v>5516.7441201594947</v>
      </c>
      <c r="C58">
        <f>Generators_rawUSD!C58</f>
        <v>40</v>
      </c>
      <c r="D58">
        <f>Generators_rawUSD!D58</f>
        <v>4.4999999999999998E-2</v>
      </c>
      <c r="E58">
        <f t="shared" si="0"/>
        <v>5.4343146609589395E-2</v>
      </c>
      <c r="F58">
        <f t="shared" ref="F58:F60" si="5">B58*E58</f>
        <v>299.79723452941766</v>
      </c>
      <c r="G58">
        <f>Generators_rawUSD!G58*inflator_2017</f>
        <v>101</v>
      </c>
      <c r="H58">
        <f>Generators_rawUSD!H58*inflator_2017</f>
        <v>2E-3</v>
      </c>
      <c r="I58">
        <f>Generators_rawUSD!I58</f>
        <v>10.46</v>
      </c>
      <c r="J58">
        <f>Generators_rawUSD!J58</f>
        <v>0.05</v>
      </c>
      <c r="K58">
        <f>Generators_rawUSD!K58</f>
        <v>0.05</v>
      </c>
      <c r="L58">
        <f>Generators_rawUSD!L58</f>
        <v>0.85</v>
      </c>
      <c r="M58" t="str">
        <f>Generators_rawUSD!M58</f>
        <v>uranium</v>
      </c>
      <c r="N58" t="str">
        <f>Generators_rawUSD!N58</f>
        <v>https://www.oecd-nea.org/ndd/pubs/2015/7057-proj-costs-electricity-2015.pdf</v>
      </c>
      <c r="O58">
        <v>2017</v>
      </c>
      <c r="P58">
        <f>Generators_rawUSD!P58</f>
        <v>1</v>
      </c>
    </row>
    <row r="59" spans="1:16">
      <c r="A59" t="str">
        <f>Generators_rawUSD!A59</f>
        <v>Nuclear_NEA_Korea_7</v>
      </c>
      <c r="B59">
        <f>Generators_rawUSD!B59*inflator_2013</f>
        <v>2525.3072455431598</v>
      </c>
      <c r="C59">
        <f>Generators_rawUSD!C59</f>
        <v>40</v>
      </c>
      <c r="D59">
        <f>Generators_rawUSD!D59</f>
        <v>4.4999999999999998E-2</v>
      </c>
      <c r="E59">
        <f t="shared" si="0"/>
        <v>5.4343146609589395E-2</v>
      </c>
      <c r="F59">
        <f t="shared" si="5"/>
        <v>137.2331418788103</v>
      </c>
      <c r="G59">
        <f>Generators_rawUSD!G59*inflator_2017</f>
        <v>101</v>
      </c>
      <c r="H59">
        <f>Generators_rawUSD!H59*inflator_2017</f>
        <v>2E-3</v>
      </c>
      <c r="I59">
        <f>Generators_rawUSD!I59</f>
        <v>10.46</v>
      </c>
      <c r="J59">
        <f>Generators_rawUSD!J59</f>
        <v>0.05</v>
      </c>
      <c r="K59">
        <f>Generators_rawUSD!K59</f>
        <v>0.05</v>
      </c>
      <c r="L59">
        <f>Generators_rawUSD!L59</f>
        <v>0.85</v>
      </c>
      <c r="M59" t="str">
        <f>Generators_rawUSD!M59</f>
        <v>uranium</v>
      </c>
      <c r="N59" t="str">
        <f>Generators_rawUSD!N59</f>
        <v>https://www.oecd-nea.org/ndd/pubs/2015/7057-proj-costs-electricity-2015.pdf</v>
      </c>
      <c r="O59">
        <v>2017</v>
      </c>
      <c r="P59">
        <f>Generators_rawUSD!P59</f>
        <v>1</v>
      </c>
    </row>
    <row r="60" spans="1:16">
      <c r="A60" t="str">
        <f>Generators_rawUSD!A60</f>
        <v>Nuclear_4</v>
      </c>
      <c r="B60">
        <f>Generators_rawUSD!B60*inflator_2017</f>
        <v>4000</v>
      </c>
      <c r="C60">
        <f>Generators_rawUSD!C60</f>
        <v>40</v>
      </c>
      <c r="D60">
        <f>Generators_rawUSD!D60</f>
        <v>4.4999999999999998E-2</v>
      </c>
      <c r="E60">
        <f t="shared" si="0"/>
        <v>5.4343146609589395E-2</v>
      </c>
      <c r="F60">
        <f t="shared" si="5"/>
        <v>217.37258643835759</v>
      </c>
      <c r="G60">
        <f>Generators_rawUSD!G60*inflator_2017</f>
        <v>101</v>
      </c>
      <c r="H60">
        <f>Generators_rawUSD!H60*inflator_2017</f>
        <v>2E-3</v>
      </c>
      <c r="I60">
        <f>Generators_rawUSD!I60</f>
        <v>10.46</v>
      </c>
      <c r="J60">
        <f>Generators_rawUSD!J60</f>
        <v>0.05</v>
      </c>
      <c r="K60">
        <f>Generators_rawUSD!K60</f>
        <v>0.05</v>
      </c>
      <c r="L60">
        <f>Generators_rawUSD!L60</f>
        <v>0.85</v>
      </c>
      <c r="M60" t="str">
        <f>Generators_rawUSD!M60</f>
        <v>uranium</v>
      </c>
      <c r="N60" t="str">
        <f>Generators_rawUSD!N60</f>
        <v>None</v>
      </c>
      <c r="O60">
        <v>2017</v>
      </c>
      <c r="P60">
        <f>Generators_rawUSD!P60</f>
        <v>1</v>
      </c>
    </row>
    <row r="61" spans="1:16">
      <c r="A61" t="str">
        <f>Generators_rawUSD!A61</f>
        <v>Nuclear_5</v>
      </c>
      <c r="B61">
        <f>Generators_rawUSD!B61*inflator_2017</f>
        <v>5000</v>
      </c>
      <c r="C61">
        <f>Generators_rawUSD!C61</f>
        <v>40</v>
      </c>
      <c r="D61">
        <f>Generators_rawUSD!D61</f>
        <v>4.4999999999999998E-2</v>
      </c>
      <c r="E61">
        <f t="shared" si="0"/>
        <v>5.4343146609589395E-2</v>
      </c>
      <c r="F61">
        <f t="shared" ref="F61" si="6">B61*E61</f>
        <v>271.71573304794697</v>
      </c>
      <c r="G61">
        <f>Generators_rawUSD!G61*inflator_2017</f>
        <v>101</v>
      </c>
      <c r="H61">
        <f>Generators_rawUSD!H61*inflator_2017</f>
        <v>2E-3</v>
      </c>
      <c r="I61">
        <f>Generators_rawUSD!I61</f>
        <v>10.46</v>
      </c>
      <c r="J61">
        <f>Generators_rawUSD!J61</f>
        <v>0.05</v>
      </c>
      <c r="K61">
        <f>Generators_rawUSD!K61</f>
        <v>0.05</v>
      </c>
      <c r="L61">
        <f>Generators_rawUSD!L61</f>
        <v>0.85</v>
      </c>
      <c r="M61" t="str">
        <f>Generators_rawUSD!M61</f>
        <v>uranium</v>
      </c>
      <c r="N61" t="str">
        <f>Generators_rawUSD!N61</f>
        <v>None</v>
      </c>
      <c r="O61">
        <v>2017</v>
      </c>
      <c r="P61">
        <f>Generators_rawUSD!P61</f>
        <v>1</v>
      </c>
    </row>
    <row r="62" spans="1:16">
      <c r="A62" t="str">
        <f>Generators_rawUSD!A62</f>
        <v>PV_track_2045_mid</v>
      </c>
      <c r="B62">
        <f>Generators_rawUSD!B62*inflator_2017</f>
        <v>939.9</v>
      </c>
      <c r="C62">
        <f>Generators_rawUSD!C62</f>
        <v>30</v>
      </c>
      <c r="D62">
        <f>Generators_rawUSD!D62</f>
        <v>7.0000000000000007E-2</v>
      </c>
      <c r="E62">
        <f t="shared" ref="E62:E63" si="7">((D62*(1+D62)^C62)/((1+D62)^C62-1))</f>
        <v>8.0586403511111196E-2</v>
      </c>
      <c r="F62">
        <f t="shared" ref="F62:F63" si="8">B62*E62</f>
        <v>75.743160660093409</v>
      </c>
      <c r="G62">
        <f>Generators_rawUSD!G62*inflator_2017</f>
        <v>11.15263471482082</v>
      </c>
      <c r="H62">
        <f>Generators_rawUSD!H62*inflator_2017</f>
        <v>0</v>
      </c>
      <c r="I62">
        <f>Generators_rawUSD!I62</f>
        <v>0</v>
      </c>
      <c r="J62">
        <f>Generators_rawUSD!J62</f>
        <v>1</v>
      </c>
      <c r="K62">
        <f>Generators_rawUSD!K62</f>
        <v>1</v>
      </c>
      <c r="L62">
        <f>Generators_rawUSD!L62</f>
        <v>0</v>
      </c>
      <c r="M62" t="str">
        <f>Generators_rawUSD!M62</f>
        <v>none</v>
      </c>
      <c r="N62" t="str">
        <f>Generators_rawUSD!N62</f>
        <v>ATB2019-2030-capex-marketfactors</v>
      </c>
      <c r="O62">
        <v>2017</v>
      </c>
      <c r="P62">
        <f>Generators_rawUSD!P62</f>
        <v>1</v>
      </c>
    </row>
    <row r="63" spans="1:16">
      <c r="A63" t="str">
        <f>Generators_rawUSD!A63</f>
        <v>Wind_2045_mid</v>
      </c>
      <c r="B63">
        <f>Generators_rawUSD!B63*inflator_2017</f>
        <v>1082</v>
      </c>
      <c r="C63">
        <f>Generators_rawUSD!C63</f>
        <v>30</v>
      </c>
      <c r="D63">
        <f>Generators_rawUSD!D63</f>
        <v>7.0000000000000007E-2</v>
      </c>
      <c r="E63">
        <f t="shared" si="7"/>
        <v>8.0586403511111196E-2</v>
      </c>
      <c r="F63">
        <f t="shared" si="8"/>
        <v>87.194488599022307</v>
      </c>
      <c r="G63">
        <f>Generators_rawUSD!G63*inflator_2017</f>
        <v>34.568125000000002</v>
      </c>
      <c r="H63">
        <f>Generators_rawUSD!H63*inflator_2017</f>
        <v>1.0000000000000001E-5</v>
      </c>
      <c r="I63">
        <f>Generators_rawUSD!I63</f>
        <v>0</v>
      </c>
      <c r="J63">
        <f>Generators_rawUSD!J63</f>
        <v>1</v>
      </c>
      <c r="K63">
        <f>Generators_rawUSD!K63</f>
        <v>1</v>
      </c>
      <c r="L63">
        <f>Generators_rawUSD!L63</f>
        <v>0</v>
      </c>
      <c r="M63" t="str">
        <f>Generators_rawUSD!M63</f>
        <v>none</v>
      </c>
      <c r="N63" t="str">
        <f>Generators_rawUSD!N63</f>
        <v>ATB2019-2030-mid-marketfactors</v>
      </c>
      <c r="O63">
        <v>2017</v>
      </c>
      <c r="P63">
        <f>Generators_rawUSD!P63</f>
        <v>1</v>
      </c>
    </row>
    <row r="64" spans="1:16">
      <c r="A64" t="str">
        <f>Generators_rawUSD!A64</f>
        <v>OCGT_2045_mid</v>
      </c>
      <c r="B64">
        <f>Generators_rawUSD!B64*inflator_2017</f>
        <v>813</v>
      </c>
      <c r="C64">
        <f>Generators_rawUSD!C64</f>
        <v>30</v>
      </c>
      <c r="D64">
        <f>Generators_rawUSD!D64</f>
        <v>7.0000000000000007E-2</v>
      </c>
      <c r="E64">
        <f t="shared" ref="E64:E66" si="9">((D64*(1+D64)^C64)/((1+D64)^C64-1))</f>
        <v>8.0586403511111196E-2</v>
      </c>
      <c r="F64">
        <f t="shared" ref="F64:F66" si="10">B64*E64</f>
        <v>65.5167460545334</v>
      </c>
      <c r="G64">
        <f>Generators_rawUSD!G64*inflator_2017</f>
        <v>12</v>
      </c>
      <c r="H64">
        <f>Generators_rawUSD!H64*inflator_2017</f>
        <v>7.0000000000000001E-3</v>
      </c>
      <c r="I64">
        <f>Generators_rawUSD!I64</f>
        <v>9.08</v>
      </c>
      <c r="J64">
        <f>Generators_rawUSD!J64</f>
        <v>1</v>
      </c>
      <c r="K64">
        <f>Generators_rawUSD!K64</f>
        <v>1</v>
      </c>
      <c r="L64">
        <f>Generators_rawUSD!L64</f>
        <v>0</v>
      </c>
      <c r="M64" t="str">
        <f>Generators_rawUSD!M64</f>
        <v>naturalgas</v>
      </c>
      <c r="N64" t="str">
        <f>Generators_rawUSD!N64</f>
        <v>ATB2019-2040-mid-marketfactors</v>
      </c>
      <c r="O64">
        <v>2017</v>
      </c>
      <c r="P64">
        <f>Generators_rawUSD!P64</f>
        <v>1</v>
      </c>
    </row>
    <row r="65" spans="1:16">
      <c r="A65" t="str">
        <f>Generators_rawUSD!A65</f>
        <v>CCGT_2045_mid</v>
      </c>
      <c r="B65">
        <f>Generators_rawUSD!B65*inflator_2017</f>
        <v>815</v>
      </c>
      <c r="C65">
        <f>Generators_rawUSD!C65</f>
        <v>30</v>
      </c>
      <c r="D65">
        <f>Generators_rawUSD!D65</f>
        <v>7.0000000000000007E-2</v>
      </c>
      <c r="E65">
        <f t="shared" si="9"/>
        <v>8.0586403511111196E-2</v>
      </c>
      <c r="F65">
        <f t="shared" si="10"/>
        <v>65.677918861555625</v>
      </c>
      <c r="G65">
        <f>Generators_rawUSD!G65*inflator_2017</f>
        <v>11</v>
      </c>
      <c r="H65">
        <f>Generators_rawUSD!H65*inflator_2017</f>
        <v>3.0000000000000001E-3</v>
      </c>
      <c r="I65">
        <f>Generators_rawUSD!I65</f>
        <v>6.28</v>
      </c>
      <c r="J65">
        <f>Generators_rawUSD!J65</f>
        <v>0.5</v>
      </c>
      <c r="K65">
        <f>Generators_rawUSD!K65</f>
        <v>0.5</v>
      </c>
      <c r="L65">
        <f>Generators_rawUSD!L65</f>
        <v>0</v>
      </c>
      <c r="M65" t="str">
        <f>Generators_rawUSD!M65</f>
        <v>naturalgas</v>
      </c>
      <c r="N65" t="str">
        <f>Generators_rawUSD!N65</f>
        <v>ATB2019-2050-mid-marketfactors</v>
      </c>
      <c r="O65">
        <v>2017</v>
      </c>
      <c r="P65">
        <f>Generators_rawUSD!P65</f>
        <v>1</v>
      </c>
    </row>
    <row r="66" spans="1:16">
      <c r="A66" t="str">
        <f>Generators_rawUSD!A66</f>
        <v>Nuclear_2045</v>
      </c>
      <c r="B66">
        <f>Generators_rawUSD!B66*inflator_2017</f>
        <v>5682</v>
      </c>
      <c r="C66">
        <f>Generators_rawUSD!C66</f>
        <v>30</v>
      </c>
      <c r="D66">
        <f>Generators_rawUSD!D66</f>
        <v>7.0000000000000007E-2</v>
      </c>
      <c r="E66">
        <f t="shared" si="9"/>
        <v>8.0586403511111196E-2</v>
      </c>
      <c r="F66">
        <f t="shared" si="10"/>
        <v>457.8919447501338</v>
      </c>
      <c r="G66">
        <f>Generators_rawUSD!G66*inflator_2017</f>
        <v>101</v>
      </c>
      <c r="H66">
        <f>Generators_rawUSD!H66*inflator_2017</f>
        <v>2E-3</v>
      </c>
      <c r="I66">
        <f>Generators_rawUSD!I66</f>
        <v>10.46</v>
      </c>
      <c r="J66">
        <f>Generators_rawUSD!J66</f>
        <v>0.05</v>
      </c>
      <c r="K66">
        <f>Generators_rawUSD!K66</f>
        <v>0.05</v>
      </c>
      <c r="L66">
        <f>Generators_rawUSD!L66</f>
        <v>0.85</v>
      </c>
      <c r="M66" t="str">
        <f>Generators_rawUSD!M66</f>
        <v>uranium</v>
      </c>
      <c r="N66" t="str">
        <f>Generators_rawUSD!N66</f>
        <v>ATB2019-2040-marketfactors</v>
      </c>
      <c r="O66">
        <v>2017</v>
      </c>
      <c r="P66">
        <f>Generators_rawUSD!P66</f>
        <v>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"/>
  <sheetViews>
    <sheetView workbookViewId="0">
      <selection activeCell="G1" sqref="G1"/>
    </sheetView>
  </sheetViews>
  <sheetFormatPr baseColWidth="10" defaultRowHeight="16"/>
  <cols>
    <col min="1" max="1" width="7.1640625" bestFit="1" customWidth="1"/>
    <col min="2" max="2" width="11.83203125" customWidth="1"/>
    <col min="3" max="3" width="9" customWidth="1"/>
    <col min="4" max="4" width="7.6640625" bestFit="1" customWidth="1"/>
    <col min="5" max="5" width="7.6640625" customWidth="1"/>
    <col min="6" max="6" width="8.83203125" customWidth="1"/>
    <col min="7" max="7" width="11" customWidth="1"/>
    <col min="8" max="8" width="10.5" bestFit="1" customWidth="1"/>
    <col min="9" max="9" width="9.83203125" bestFit="1" customWidth="1"/>
    <col min="10" max="10" width="12" bestFit="1" customWidth="1"/>
    <col min="11" max="11" width="12" customWidth="1"/>
    <col min="12" max="12" width="8.83203125" customWidth="1"/>
    <col min="13" max="13" width="9.5" bestFit="1" customWidth="1"/>
  </cols>
  <sheetData>
    <row r="1" spans="1:14">
      <c r="A1" t="s">
        <v>238</v>
      </c>
      <c r="B1" t="s">
        <v>240</v>
      </c>
      <c r="C1" t="s">
        <v>241</v>
      </c>
      <c r="D1" t="s">
        <v>66</v>
      </c>
      <c r="E1" t="s">
        <v>32</v>
      </c>
      <c r="F1" t="s">
        <v>4</v>
      </c>
      <c r="G1" t="s">
        <v>61</v>
      </c>
      <c r="H1" t="s">
        <v>48</v>
      </c>
      <c r="I1" t="s">
        <v>49</v>
      </c>
      <c r="J1" t="s">
        <v>246</v>
      </c>
      <c r="K1" t="s">
        <v>49</v>
      </c>
      <c r="L1" t="s">
        <v>35</v>
      </c>
      <c r="M1" t="s">
        <v>121</v>
      </c>
      <c r="N1" t="s">
        <v>311</v>
      </c>
    </row>
    <row r="2" spans="1:14">
      <c r="A2" t="s">
        <v>238</v>
      </c>
      <c r="B2" t="s">
        <v>242</v>
      </c>
      <c r="C2" t="s">
        <v>243</v>
      </c>
      <c r="D2" t="s">
        <v>33</v>
      </c>
      <c r="E2" t="s">
        <v>32</v>
      </c>
      <c r="F2" t="s">
        <v>4</v>
      </c>
      <c r="G2" t="s">
        <v>3</v>
      </c>
      <c r="H2" t="s">
        <v>11</v>
      </c>
      <c r="I2" t="s">
        <v>12</v>
      </c>
      <c r="J2" t="s">
        <v>247</v>
      </c>
      <c r="K2" t="s">
        <v>12</v>
      </c>
      <c r="N2" t="s">
        <v>312</v>
      </c>
    </row>
    <row r="3" spans="1:14">
      <c r="A3" t="s">
        <v>237</v>
      </c>
      <c r="B3" t="s">
        <v>235</v>
      </c>
      <c r="C3" t="s">
        <v>46</v>
      </c>
      <c r="D3" t="s">
        <v>34</v>
      </c>
      <c r="E3" t="s">
        <v>5</v>
      </c>
      <c r="F3" t="s">
        <v>5</v>
      </c>
      <c r="G3" t="s">
        <v>245</v>
      </c>
      <c r="H3" t="s">
        <v>45</v>
      </c>
      <c r="I3" t="s">
        <v>28</v>
      </c>
      <c r="J3" t="s">
        <v>239</v>
      </c>
      <c r="K3" t="s">
        <v>28</v>
      </c>
      <c r="N3" t="s">
        <v>313</v>
      </c>
    </row>
    <row r="4" spans="1:14">
      <c r="A4">
        <v>230</v>
      </c>
      <c r="B4">
        <f>3.667/1.60934</f>
        <v>2.2785738252948411</v>
      </c>
      <c r="C4">
        <v>0</v>
      </c>
      <c r="D4">
        <v>50</v>
      </c>
      <c r="E4">
        <v>3.5999999999999997E-2</v>
      </c>
      <c r="F4">
        <f>((E4*(1+E4)^D4)/((1+E4)^D4-1))</f>
        <v>4.3405553590771057E-2</v>
      </c>
      <c r="H4">
        <v>0</v>
      </c>
      <c r="I4">
        <v>0</v>
      </c>
      <c r="J4">
        <f>0.01/1.60934/100</f>
        <v>6.2137273664980683E-5</v>
      </c>
      <c r="K4">
        <v>0</v>
      </c>
      <c r="L4" t="s">
        <v>236</v>
      </c>
      <c r="M4">
        <v>2010</v>
      </c>
      <c r="N4">
        <v>1</v>
      </c>
    </row>
    <row r="5" spans="1:14">
      <c r="A5">
        <v>345</v>
      </c>
      <c r="B5">
        <f>2.333/1.60934</f>
        <v>1.4496625946039994</v>
      </c>
      <c r="C5">
        <v>0</v>
      </c>
      <c r="D5">
        <v>50</v>
      </c>
      <c r="E5">
        <v>3.5999999999999997E-2</v>
      </c>
      <c r="F5">
        <f t="shared" ref="F5:F7" si="0">((E5*(1+E5)^D5)/((1+E5)^D5-1))</f>
        <v>4.3405553590771057E-2</v>
      </c>
      <c r="H5">
        <v>0</v>
      </c>
      <c r="I5">
        <v>0</v>
      </c>
      <c r="J5">
        <f t="shared" ref="J5:J7" si="1">0.01/1.60934/100</f>
        <v>6.2137273664980683E-5</v>
      </c>
      <c r="K5">
        <v>0</v>
      </c>
      <c r="L5" t="s">
        <v>236</v>
      </c>
      <c r="M5">
        <v>2010</v>
      </c>
      <c r="N5">
        <v>1</v>
      </c>
    </row>
    <row r="6" spans="1:14">
      <c r="A6">
        <v>500</v>
      </c>
      <c r="B6">
        <f>1.347/1.60934</f>
        <v>0.83698907626728969</v>
      </c>
      <c r="C6">
        <v>0</v>
      </c>
      <c r="D6">
        <v>50</v>
      </c>
      <c r="E6">
        <v>3.5999999999999997E-2</v>
      </c>
      <c r="F6">
        <f t="shared" si="0"/>
        <v>4.3405553590771057E-2</v>
      </c>
      <c r="H6">
        <v>0</v>
      </c>
      <c r="I6">
        <v>0</v>
      </c>
      <c r="J6">
        <f t="shared" si="1"/>
        <v>6.2137273664980683E-5</v>
      </c>
      <c r="K6">
        <v>0</v>
      </c>
      <c r="L6" t="s">
        <v>236</v>
      </c>
      <c r="M6">
        <v>2010</v>
      </c>
      <c r="N6">
        <v>1</v>
      </c>
    </row>
    <row r="7" spans="1:14">
      <c r="A7">
        <v>765</v>
      </c>
      <c r="B7">
        <f>1.4/1.60934</f>
        <v>0.86992183130972944</v>
      </c>
      <c r="C7">
        <v>0</v>
      </c>
      <c r="D7">
        <v>50</v>
      </c>
      <c r="E7">
        <v>3.5999999999999997E-2</v>
      </c>
      <c r="F7">
        <f t="shared" si="0"/>
        <v>4.3405553590771057E-2</v>
      </c>
      <c r="H7">
        <v>0</v>
      </c>
      <c r="I7">
        <v>0</v>
      </c>
      <c r="J7">
        <f t="shared" si="1"/>
        <v>6.2137273664980683E-5</v>
      </c>
      <c r="K7">
        <v>0</v>
      </c>
      <c r="L7" t="s">
        <v>236</v>
      </c>
      <c r="M7">
        <v>2010</v>
      </c>
      <c r="N7">
        <v>1</v>
      </c>
    </row>
    <row r="8" spans="1:14">
      <c r="A8" t="s">
        <v>244</v>
      </c>
      <c r="B8">
        <f>1.4/1.60934</f>
        <v>0.86992183130972944</v>
      </c>
      <c r="C8">
        <f>253*inflator_2015/inflator_2010</f>
        <v>232.76038427623266</v>
      </c>
      <c r="D8">
        <v>50</v>
      </c>
      <c r="E8">
        <v>3.5999999999999997E-2</v>
      </c>
      <c r="F8">
        <f t="shared" ref="F8" si="2">((E8*(1+E8)^D8)/((1+E8)^D8-1))</f>
        <v>4.3405553590771057E-2</v>
      </c>
      <c r="H8">
        <v>0</v>
      </c>
      <c r="I8">
        <v>0</v>
      </c>
      <c r="J8">
        <f>0.005/1.60934/100</f>
        <v>3.1068636832490341E-5</v>
      </c>
      <c r="K8">
        <v>0</v>
      </c>
      <c r="L8" t="s">
        <v>236</v>
      </c>
      <c r="M8">
        <v>2010</v>
      </c>
      <c r="N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"/>
  <sheetViews>
    <sheetView workbookViewId="0">
      <selection activeCell="I12" sqref="I12"/>
    </sheetView>
  </sheetViews>
  <sheetFormatPr baseColWidth="10" defaultRowHeight="16"/>
  <cols>
    <col min="1" max="1" width="7" bestFit="1" customWidth="1"/>
    <col min="2" max="2" width="12" customWidth="1"/>
    <col min="3" max="3" width="8.83203125" customWidth="1"/>
    <col min="4" max="4" width="7.6640625" bestFit="1" customWidth="1"/>
    <col min="5" max="5" width="7.6640625" customWidth="1"/>
    <col min="6" max="6" width="8" customWidth="1"/>
    <col min="7" max="7" width="10.6640625" customWidth="1"/>
    <col min="8" max="8" width="10.5" bestFit="1" customWidth="1"/>
    <col min="9" max="9" width="9.83203125" bestFit="1" customWidth="1"/>
    <col min="10" max="11" width="12.33203125" customWidth="1"/>
    <col min="12" max="12" width="8.83203125" customWidth="1"/>
    <col min="13" max="13" width="6.33203125" customWidth="1"/>
  </cols>
  <sheetData>
    <row r="1" spans="1:14">
      <c r="A1" t="s">
        <v>238</v>
      </c>
      <c r="B1" t="s">
        <v>240</v>
      </c>
      <c r="C1" t="s">
        <v>241</v>
      </c>
      <c r="D1" t="s">
        <v>66</v>
      </c>
      <c r="E1" t="s">
        <v>32</v>
      </c>
      <c r="F1" t="s">
        <v>4</v>
      </c>
      <c r="G1" t="s">
        <v>61</v>
      </c>
      <c r="H1" t="s">
        <v>48</v>
      </c>
      <c r="I1" t="s">
        <v>49</v>
      </c>
      <c r="J1" t="str">
        <f>Transmission_raw!J1</f>
        <v>loss_distance</v>
      </c>
      <c r="K1" t="str">
        <f>Transmission_raw!K1</f>
        <v>cost_vom</v>
      </c>
      <c r="L1" t="s">
        <v>35</v>
      </c>
      <c r="M1" t="s">
        <v>121</v>
      </c>
      <c r="N1" t="str">
        <f>Transmission_raw!N1</f>
        <v>reserves</v>
      </c>
    </row>
    <row r="2" spans="1:14">
      <c r="A2" t="s">
        <v>238</v>
      </c>
      <c r="B2" t="s">
        <v>242</v>
      </c>
      <c r="C2" t="s">
        <v>243</v>
      </c>
      <c r="D2" t="s">
        <v>33</v>
      </c>
      <c r="E2" t="s">
        <v>32</v>
      </c>
      <c r="F2" t="s">
        <v>4</v>
      </c>
      <c r="G2" t="s">
        <v>3</v>
      </c>
      <c r="H2" t="s">
        <v>11</v>
      </c>
      <c r="I2" t="s">
        <v>12</v>
      </c>
      <c r="J2" t="str">
        <f>Transmission_raw!J2</f>
        <v>loss per km</v>
      </c>
      <c r="K2" t="str">
        <f>Transmission_raw!K2</f>
        <v>VOM</v>
      </c>
      <c r="N2" t="str">
        <f>Transmission_raw!N2</f>
        <v>Provides reserves</v>
      </c>
    </row>
    <row r="3" spans="1:14">
      <c r="A3" t="s">
        <v>237</v>
      </c>
      <c r="B3" t="s">
        <v>235</v>
      </c>
      <c r="C3" t="s">
        <v>46</v>
      </c>
      <c r="D3" t="s">
        <v>34</v>
      </c>
      <c r="E3" t="s">
        <v>5</v>
      </c>
      <c r="F3" t="s">
        <v>5</v>
      </c>
      <c r="G3" t="s">
        <v>44</v>
      </c>
      <c r="H3" t="s">
        <v>45</v>
      </c>
      <c r="I3" t="s">
        <v>28</v>
      </c>
      <c r="J3" t="str">
        <f>Transmission_raw!J3</f>
        <v>[fraction/km]</v>
      </c>
      <c r="K3" t="str">
        <f>Transmission_raw!K3</f>
        <v>[M$/GWh]</v>
      </c>
      <c r="N3" t="str">
        <f>Transmission_raw!N3</f>
        <v>[boolean]</v>
      </c>
    </row>
    <row r="4" spans="1:14">
      <c r="A4">
        <f>Transmission_raw!A4</f>
        <v>230</v>
      </c>
      <c r="B4">
        <f>Transmission_raw!B4*inflator_2010</f>
        <v>2.5613788020337469</v>
      </c>
      <c r="C4">
        <f>Transmission_raw!C4</f>
        <v>0</v>
      </c>
      <c r="D4">
        <f>Transmission_raw!D4</f>
        <v>50</v>
      </c>
      <c r="E4">
        <f>Transmission_raw!E4</f>
        <v>3.5999999999999997E-2</v>
      </c>
      <c r="F4">
        <f>((E4*(1+E4)^D4)/((1+E4)^D4-1))</f>
        <v>4.3405553590771057E-2</v>
      </c>
      <c r="H4">
        <f>Transmission_raw!H4*inflator_2010</f>
        <v>0</v>
      </c>
      <c r="I4">
        <f>Transmission_raw!I4*inflator_2010</f>
        <v>0</v>
      </c>
      <c r="J4">
        <f>Transmission_raw!J4</f>
        <v>6.2137273664980683E-5</v>
      </c>
      <c r="K4">
        <f>Transmission_raw!K4*inflator_2017</f>
        <v>0</v>
      </c>
      <c r="L4" t="str">
        <f>Transmission_raw!L4</f>
        <v>NREL-ReEDS-2019</v>
      </c>
      <c r="M4">
        <v>2017</v>
      </c>
      <c r="N4">
        <f>Transmission_raw!N4</f>
        <v>1</v>
      </c>
    </row>
    <row r="5" spans="1:14">
      <c r="A5">
        <f>Transmission_raw!A5</f>
        <v>345</v>
      </c>
      <c r="B5">
        <f>Transmission_raw!B5*inflator_2010</f>
        <v>1.6295873316456866</v>
      </c>
      <c r="C5">
        <f>Transmission_raw!C5</f>
        <v>0</v>
      </c>
      <c r="D5">
        <f>Transmission_raw!D5</f>
        <v>50</v>
      </c>
      <c r="E5">
        <f>Transmission_raw!E5</f>
        <v>3.5999999999999997E-2</v>
      </c>
      <c r="F5">
        <f t="shared" ref="F5:F8" si="0">((E5*(1+E5)^D5)/((1+E5)^D5-1))</f>
        <v>4.3405553590771057E-2</v>
      </c>
      <c r="H5">
        <f>Transmission_raw!H5*inflator_2010</f>
        <v>0</v>
      </c>
      <c r="I5">
        <f>Transmission_raw!I5*inflator_2010</f>
        <v>0</v>
      </c>
      <c r="J5">
        <f>Transmission_raw!J5</f>
        <v>6.2137273664980683E-5</v>
      </c>
      <c r="K5">
        <f>Transmission_raw!K5*inflator_2017</f>
        <v>0</v>
      </c>
      <c r="L5" t="str">
        <f>Transmission_raw!L5</f>
        <v>NREL-ReEDS-2019</v>
      </c>
      <c r="M5">
        <v>2017</v>
      </c>
      <c r="N5">
        <f>Transmission_raw!N5</f>
        <v>1</v>
      </c>
    </row>
    <row r="6" spans="1:14">
      <c r="A6">
        <f>Transmission_raw!A6</f>
        <v>500</v>
      </c>
      <c r="B6">
        <f>Transmission_raw!B6*inflator_2010</f>
        <v>0.9408718970110328</v>
      </c>
      <c r="C6">
        <f>Transmission_raw!C6</f>
        <v>0</v>
      </c>
      <c r="D6">
        <f>Transmission_raw!D6</f>
        <v>50</v>
      </c>
      <c r="E6">
        <f>Transmission_raw!E6</f>
        <v>3.5999999999999997E-2</v>
      </c>
      <c r="F6">
        <f t="shared" si="0"/>
        <v>4.3405553590771057E-2</v>
      </c>
      <c r="H6">
        <f>Transmission_raw!H6*inflator_2010</f>
        <v>0</v>
      </c>
      <c r="I6">
        <f>Transmission_raw!I6*inflator_2010</f>
        <v>0</v>
      </c>
      <c r="J6">
        <f>Transmission_raw!J6</f>
        <v>6.2137273664980683E-5</v>
      </c>
      <c r="K6">
        <f>Transmission_raw!K6*inflator_2017</f>
        <v>0</v>
      </c>
      <c r="L6" t="str">
        <f>Transmission_raw!L6</f>
        <v>NREL-ReEDS-2019</v>
      </c>
      <c r="M6">
        <v>2017</v>
      </c>
      <c r="N6">
        <f>Transmission_raw!N6</f>
        <v>1</v>
      </c>
    </row>
    <row r="7" spans="1:14">
      <c r="A7">
        <f>Transmission_raw!A7</f>
        <v>765</v>
      </c>
      <c r="B7">
        <f>Transmission_raw!B7*inflator_2010</f>
        <v>0.97789209785853448</v>
      </c>
      <c r="C7">
        <f>Transmission_raw!C7</f>
        <v>0</v>
      </c>
      <c r="D7">
        <f>Transmission_raw!D7</f>
        <v>50</v>
      </c>
      <c r="E7">
        <f>Transmission_raw!E7</f>
        <v>3.5999999999999997E-2</v>
      </c>
      <c r="F7">
        <f t="shared" si="0"/>
        <v>4.3405553590771057E-2</v>
      </c>
      <c r="H7">
        <f>Transmission_raw!H7*inflator_2010</f>
        <v>0</v>
      </c>
      <c r="I7">
        <f>Transmission_raw!I7*inflator_2010</f>
        <v>0</v>
      </c>
      <c r="J7">
        <f>Transmission_raw!J7</f>
        <v>6.2137273664980683E-5</v>
      </c>
      <c r="K7">
        <f>Transmission_raw!K7*inflator_2017</f>
        <v>0</v>
      </c>
      <c r="L7" t="str">
        <f>Transmission_raw!L7</f>
        <v>NREL-ReEDS-2019</v>
      </c>
      <c r="M7">
        <v>2017</v>
      </c>
      <c r="N7">
        <f>Transmission_raw!N7</f>
        <v>1</v>
      </c>
    </row>
    <row r="8" spans="1:14">
      <c r="A8" t="str">
        <f>Transmission_raw!A8</f>
        <v>DC</v>
      </c>
      <c r="B8">
        <f>Transmission_raw!B8*inflator_2010</f>
        <v>0.97789209785853448</v>
      </c>
      <c r="C8">
        <f>Transmission_raw!C8</f>
        <v>232.76038427623266</v>
      </c>
      <c r="D8">
        <f>Transmission_raw!D8</f>
        <v>50</v>
      </c>
      <c r="E8">
        <f>Transmission_raw!E8</f>
        <v>3.5999999999999997E-2</v>
      </c>
      <c r="F8">
        <f t="shared" si="0"/>
        <v>4.3405553590771057E-2</v>
      </c>
      <c r="H8">
        <f>Transmission_raw!H8*inflator_2010</f>
        <v>0</v>
      </c>
      <c r="I8">
        <f>Transmission_raw!I8*inflator_2010</f>
        <v>0</v>
      </c>
      <c r="J8">
        <f>Transmission_raw!J8</f>
        <v>3.1068636832490341E-5</v>
      </c>
      <c r="K8">
        <f>Transmission_raw!K8*inflator_2017</f>
        <v>0</v>
      </c>
      <c r="L8" t="str">
        <f>Transmission_raw!L8</f>
        <v>NREL-ReEDS-2019</v>
      </c>
      <c r="M8">
        <v>2017</v>
      </c>
      <c r="N8">
        <f>Transmission_raw!N8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activeCell="P1" sqref="P1:P5"/>
    </sheetView>
  </sheetViews>
  <sheetFormatPr baseColWidth="10" defaultRowHeight="16"/>
  <cols>
    <col min="2" max="2" width="11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0.6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8.6640625" bestFit="1" customWidth="1"/>
    <col min="13" max="13" width="9.83203125" bestFit="1" customWidth="1"/>
    <col min="14" max="14" width="13.1640625" customWidth="1"/>
    <col min="15" max="15" width="9.5" bestFit="1" customWidth="1"/>
  </cols>
  <sheetData>
    <row r="1" spans="1:16">
      <c r="A1" t="s">
        <v>0</v>
      </c>
      <c r="B1" t="s">
        <v>47</v>
      </c>
      <c r="C1" t="s">
        <v>66</v>
      </c>
      <c r="D1" t="s">
        <v>32</v>
      </c>
      <c r="E1" t="s">
        <v>4</v>
      </c>
      <c r="F1" t="s">
        <v>61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60</v>
      </c>
      <c r="N1" t="s">
        <v>35</v>
      </c>
      <c r="O1" t="s">
        <v>121</v>
      </c>
      <c r="P1" t="s">
        <v>311</v>
      </c>
    </row>
    <row r="2" spans="1:16">
      <c r="A2" t="s">
        <v>0</v>
      </c>
      <c r="B2" t="s">
        <v>65</v>
      </c>
      <c r="C2" t="s">
        <v>33</v>
      </c>
      <c r="D2" t="s">
        <v>301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">
        <v>312</v>
      </c>
    </row>
    <row r="3" spans="1:16">
      <c r="B3" t="s">
        <v>43</v>
      </c>
      <c r="C3" t="s">
        <v>34</v>
      </c>
      <c r="D3" t="s">
        <v>5</v>
      </c>
      <c r="E3" t="s">
        <v>5</v>
      </c>
      <c r="F3" t="s">
        <v>44</v>
      </c>
      <c r="G3" t="s">
        <v>45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">
        <v>313</v>
      </c>
    </row>
    <row r="4" spans="1:16">
      <c r="A4" t="s">
        <v>234</v>
      </c>
      <c r="B4">
        <v>4700</v>
      </c>
      <c r="C4">
        <v>50</v>
      </c>
      <c r="D4">
        <v>1.9E-2</v>
      </c>
      <c r="E4">
        <f>((D4*(1+D4)^C4)/((1+D4)^C4-1))</f>
        <v>3.1157918907882748E-2</v>
      </c>
      <c r="F4">
        <f>B4*E4</f>
        <v>146.44221886704892</v>
      </c>
      <c r="G4">
        <v>35.22</v>
      </c>
      <c r="H4">
        <v>2.0000000000000002E-5</v>
      </c>
      <c r="I4">
        <v>0</v>
      </c>
      <c r="J4">
        <v>1</v>
      </c>
      <c r="K4">
        <v>1</v>
      </c>
      <c r="L4">
        <v>0.1</v>
      </c>
      <c r="M4" t="s">
        <v>42</v>
      </c>
      <c r="N4" t="s">
        <v>232</v>
      </c>
      <c r="O4">
        <v>2016</v>
      </c>
      <c r="P4">
        <v>1</v>
      </c>
    </row>
    <row r="5" spans="1:16">
      <c r="A5" t="s">
        <v>233</v>
      </c>
      <c r="B5">
        <v>4700</v>
      </c>
      <c r="C5">
        <v>50</v>
      </c>
      <c r="D5">
        <v>1.9E-2</v>
      </c>
      <c r="E5">
        <f>((D5*(1+D5)^C5)/((1+D5)^C5-1))</f>
        <v>3.1157918907882748E-2</v>
      </c>
      <c r="F5">
        <f>B5*E5</f>
        <v>146.44221886704892</v>
      </c>
      <c r="G5">
        <v>35.22</v>
      </c>
      <c r="H5">
        <v>0</v>
      </c>
      <c r="I5">
        <v>0</v>
      </c>
      <c r="J5">
        <v>1</v>
      </c>
      <c r="K5">
        <v>1</v>
      </c>
      <c r="L5">
        <v>1</v>
      </c>
      <c r="M5" t="s">
        <v>42</v>
      </c>
      <c r="N5" t="s">
        <v>232</v>
      </c>
      <c r="O5">
        <v>2016</v>
      </c>
      <c r="P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P1" sqref="P1:P5"/>
    </sheetView>
  </sheetViews>
  <sheetFormatPr baseColWidth="10" defaultRowHeight="16"/>
  <cols>
    <col min="2" max="2" width="11" bestFit="1" customWidth="1"/>
    <col min="3" max="3" width="8" bestFit="1" customWidth="1"/>
    <col min="4" max="4" width="8" customWidth="1"/>
    <col min="5" max="5" width="12.1640625" bestFit="1" customWidth="1"/>
    <col min="6" max="6" width="23.6640625" bestFit="1" customWidth="1"/>
    <col min="7" max="7" width="10.6640625" bestFit="1" customWidth="1"/>
    <col min="8" max="8" width="10.1640625" bestFit="1" customWidth="1"/>
    <col min="9" max="9" width="13.33203125" bestFit="1" customWidth="1"/>
    <col min="10" max="10" width="12.33203125" bestFit="1" customWidth="1"/>
    <col min="11" max="11" width="14.83203125" bestFit="1" customWidth="1"/>
    <col min="12" max="12" width="18.6640625" bestFit="1" customWidth="1"/>
    <col min="13" max="13" width="9.83203125" bestFit="1" customWidth="1"/>
    <col min="14" max="14" width="13.1640625" customWidth="1"/>
    <col min="15" max="15" width="9.5" bestFit="1" customWidth="1"/>
  </cols>
  <sheetData>
    <row r="1" spans="1:16">
      <c r="A1" t="s">
        <v>0</v>
      </c>
      <c r="B1" t="s">
        <v>47</v>
      </c>
      <c r="C1" t="s">
        <v>66</v>
      </c>
      <c r="D1" t="s">
        <v>32</v>
      </c>
      <c r="E1" t="s">
        <v>4</v>
      </c>
      <c r="F1" t="s">
        <v>61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60</v>
      </c>
      <c r="N1" t="s">
        <v>35</v>
      </c>
      <c r="O1" t="s">
        <v>121</v>
      </c>
      <c r="P1" t="str">
        <f>Hydro_rawUSD!P1</f>
        <v>reserves</v>
      </c>
    </row>
    <row r="2" spans="1:16">
      <c r="A2" t="s">
        <v>0</v>
      </c>
      <c r="B2" t="s">
        <v>65</v>
      </c>
      <c r="C2" t="s">
        <v>33</v>
      </c>
      <c r="D2" t="s">
        <v>301</v>
      </c>
      <c r="E2" t="s">
        <v>4</v>
      </c>
      <c r="F2" t="s">
        <v>3</v>
      </c>
      <c r="G2" t="s">
        <v>11</v>
      </c>
      <c r="H2" t="s">
        <v>12</v>
      </c>
      <c r="I2" t="s">
        <v>13</v>
      </c>
      <c r="J2" t="s">
        <v>18</v>
      </c>
      <c r="K2" t="s">
        <v>14</v>
      </c>
      <c r="L2" t="s">
        <v>19</v>
      </c>
      <c r="M2" t="s">
        <v>15</v>
      </c>
      <c r="P2" t="str">
        <f>Hydro_rawUSD!P2</f>
        <v>Provides reserves</v>
      </c>
    </row>
    <row r="3" spans="1:16">
      <c r="B3" t="s">
        <v>43</v>
      </c>
      <c r="C3" t="s">
        <v>34</v>
      </c>
      <c r="D3" t="s">
        <v>5</v>
      </c>
      <c r="E3" t="s">
        <v>5</v>
      </c>
      <c r="F3" t="s">
        <v>44</v>
      </c>
      <c r="G3" t="s">
        <v>45</v>
      </c>
      <c r="H3" t="s">
        <v>28</v>
      </c>
      <c r="I3" t="s">
        <v>29</v>
      </c>
      <c r="J3" t="s">
        <v>5</v>
      </c>
      <c r="K3" t="s">
        <v>5</v>
      </c>
      <c r="L3" t="s">
        <v>5</v>
      </c>
      <c r="M3" t="s">
        <v>27</v>
      </c>
      <c r="P3" t="str">
        <f>Hydro_rawUSD!P3</f>
        <v>[boolean]</v>
      </c>
    </row>
    <row r="4" spans="1:16">
      <c r="A4" t="str">
        <f>Hydro_rawUSD!A4</f>
        <v>Hydro_Res</v>
      </c>
      <c r="B4">
        <f>Hydro_rawUSD!B4*inflator_2016</f>
        <v>4800.1266629723214</v>
      </c>
      <c r="C4">
        <f>Hydro_rawUSD!C4</f>
        <v>50</v>
      </c>
      <c r="D4">
        <f>Hydro_rawUSD!D4</f>
        <v>1.9E-2</v>
      </c>
      <c r="E4">
        <f>((D4*(1+D4)^C4)/((1+D4)^C4-1))</f>
        <v>3.1157918907882748E-2</v>
      </c>
      <c r="F4">
        <f>B4*E4</f>
        <v>149.56195731245742</v>
      </c>
      <c r="G4">
        <f>Hydro_rawUSD!G4*inflator_2016</f>
        <v>35.970310865933016</v>
      </c>
      <c r="H4">
        <f>Hydro_rawUSD!H4*inflator_2016</f>
        <v>2.0426070906265201E-5</v>
      </c>
      <c r="I4">
        <f>Hydro_rawUSD!I4</f>
        <v>0</v>
      </c>
      <c r="J4">
        <f>Hydro_rawUSD!J4</f>
        <v>1</v>
      </c>
      <c r="K4">
        <f>Hydro_rawUSD!K4</f>
        <v>1</v>
      </c>
      <c r="L4">
        <f>Hydro_rawUSD!L4</f>
        <v>0.1</v>
      </c>
      <c r="M4" t="str">
        <f>Hydro_rawUSD!M4</f>
        <v>none</v>
      </c>
      <c r="N4" t="str">
        <f>Hydro_rawUSD!N4</f>
        <v>DOE2018-HydropowerMarketReport</v>
      </c>
      <c r="O4">
        <v>2017</v>
      </c>
      <c r="P4">
        <f>Hydro_rawUSD!P4</f>
        <v>1</v>
      </c>
    </row>
    <row r="5" spans="1:16">
      <c r="A5" t="str">
        <f>Hydro_rawUSD!A5</f>
        <v>Hydro_ROR</v>
      </c>
      <c r="B5">
        <f>Hydro_rawUSD!B5*inflator_2016</f>
        <v>4800.1266629723214</v>
      </c>
      <c r="C5">
        <f>Hydro_rawUSD!C5</f>
        <v>50</v>
      </c>
      <c r="D5">
        <f>Hydro_rawUSD!D5</f>
        <v>1.9E-2</v>
      </c>
      <c r="E5">
        <f t="shared" ref="E5" si="0">((wacc*(1+wacc)^C5)/((1+wacc)^C5-1))</f>
        <v>4.8155444953681646E-2</v>
      </c>
      <c r="F5">
        <f>B5*E5</f>
        <v>231.15223528946319</v>
      </c>
      <c r="G5">
        <f>Hydro_rawUSD!G5*inflator_2016</f>
        <v>35.970310865933016</v>
      </c>
      <c r="H5">
        <f>Hydro_rawUSD!H5*inflator_2016</f>
        <v>0</v>
      </c>
      <c r="I5">
        <f>Hydro_rawUSD!I5</f>
        <v>0</v>
      </c>
      <c r="J5">
        <f>Hydro_rawUSD!J5</f>
        <v>1</v>
      </c>
      <c r="K5">
        <f>Hydro_rawUSD!K5</f>
        <v>1</v>
      </c>
      <c r="L5">
        <f>Hydro_rawUSD!L5</f>
        <v>1</v>
      </c>
      <c r="M5" t="str">
        <f>Hydro_rawUSD!M5</f>
        <v>none</v>
      </c>
      <c r="N5" t="str">
        <f>Hydro_rawUSD!N5</f>
        <v>DOE2018-HydropowerMarketReport</v>
      </c>
      <c r="O5">
        <v>2017</v>
      </c>
      <c r="P5">
        <f>Hydro_rawUSD!P5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5"/>
  <sheetViews>
    <sheetView topLeftCell="A6" workbookViewId="0">
      <selection activeCell="C30" sqref="C30"/>
    </sheetView>
  </sheetViews>
  <sheetFormatPr baseColWidth="10" defaultRowHeight="16"/>
  <sheetData>
    <row r="1" spans="1:8">
      <c r="B1" t="s">
        <v>220</v>
      </c>
      <c r="C1" t="s">
        <v>220</v>
      </c>
      <c r="D1" t="s">
        <v>220</v>
      </c>
      <c r="E1" t="s">
        <v>221</v>
      </c>
      <c r="F1" t="s">
        <v>221</v>
      </c>
      <c r="G1" t="s">
        <v>221</v>
      </c>
    </row>
    <row r="2" spans="1:8">
      <c r="A2" t="s">
        <v>181</v>
      </c>
      <c r="B2" t="s">
        <v>182</v>
      </c>
      <c r="C2" t="s">
        <v>183</v>
      </c>
      <c r="D2" t="s">
        <v>184</v>
      </c>
      <c r="E2" t="s">
        <v>182</v>
      </c>
      <c r="F2" t="s">
        <v>183</v>
      </c>
      <c r="G2" t="s">
        <v>184</v>
      </c>
      <c r="H2" t="s">
        <v>35</v>
      </c>
    </row>
    <row r="3" spans="1:8">
      <c r="A3" t="s">
        <v>185</v>
      </c>
      <c r="B3" s="2">
        <v>1</v>
      </c>
      <c r="C3" s="2">
        <v>1</v>
      </c>
      <c r="D3" s="2">
        <v>1</v>
      </c>
      <c r="E3" s="3">
        <v>380</v>
      </c>
      <c r="F3" s="3">
        <v>380</v>
      </c>
      <c r="G3" s="3">
        <v>380</v>
      </c>
      <c r="H3" t="s">
        <v>219</v>
      </c>
    </row>
    <row r="4" spans="1:8">
      <c r="A4" t="s">
        <v>186</v>
      </c>
      <c r="B4" s="2">
        <v>0.89</v>
      </c>
      <c r="C4" s="2">
        <v>0.93</v>
      </c>
      <c r="D4" s="2">
        <v>0.97</v>
      </c>
      <c r="E4" s="3">
        <v>339</v>
      </c>
      <c r="F4" s="3">
        <v>355</v>
      </c>
      <c r="G4" s="3">
        <v>369</v>
      </c>
      <c r="H4" t="s">
        <v>219</v>
      </c>
    </row>
    <row r="5" spans="1:8">
      <c r="A5" t="s">
        <v>187</v>
      </c>
      <c r="B5" s="2">
        <v>0.78</v>
      </c>
      <c r="C5" s="2">
        <v>0.87</v>
      </c>
      <c r="D5" s="2">
        <v>0.94</v>
      </c>
      <c r="E5" s="3">
        <v>297</v>
      </c>
      <c r="F5" s="3">
        <v>330</v>
      </c>
      <c r="G5" s="3">
        <v>359</v>
      </c>
      <c r="H5" t="s">
        <v>219</v>
      </c>
    </row>
    <row r="6" spans="1:8">
      <c r="A6" t="s">
        <v>188</v>
      </c>
      <c r="B6" s="2">
        <v>0.72</v>
      </c>
      <c r="C6" s="2">
        <v>0.82</v>
      </c>
      <c r="D6" s="2">
        <v>0.93</v>
      </c>
      <c r="E6" s="3">
        <v>275</v>
      </c>
      <c r="F6" s="3">
        <v>313</v>
      </c>
      <c r="G6" s="3">
        <v>353</v>
      </c>
      <c r="H6" t="s">
        <v>219</v>
      </c>
    </row>
    <row r="7" spans="1:8">
      <c r="A7" t="s">
        <v>189</v>
      </c>
      <c r="B7" s="2">
        <v>0.66</v>
      </c>
      <c r="C7" s="2">
        <v>0.78</v>
      </c>
      <c r="D7" s="2">
        <v>0.91</v>
      </c>
      <c r="E7" s="3">
        <v>252</v>
      </c>
      <c r="F7" s="3">
        <v>297</v>
      </c>
      <c r="G7" s="3">
        <v>347</v>
      </c>
      <c r="H7" t="s">
        <v>219</v>
      </c>
    </row>
    <row r="8" spans="1:8">
      <c r="A8" t="s">
        <v>190</v>
      </c>
      <c r="B8" s="2">
        <v>0.6</v>
      </c>
      <c r="C8" s="2">
        <v>0.74</v>
      </c>
      <c r="D8" s="2">
        <v>0.9</v>
      </c>
      <c r="E8" s="3">
        <v>229</v>
      </c>
      <c r="F8" s="3">
        <v>280</v>
      </c>
      <c r="G8" s="3">
        <v>341</v>
      </c>
      <c r="H8" t="s">
        <v>219</v>
      </c>
    </row>
    <row r="9" spans="1:8">
      <c r="A9" t="s">
        <v>191</v>
      </c>
      <c r="B9" s="2">
        <v>0.54</v>
      </c>
      <c r="C9" s="2">
        <v>0.69</v>
      </c>
      <c r="D9" s="2">
        <v>0.88</v>
      </c>
      <c r="E9" s="3">
        <v>207</v>
      </c>
      <c r="F9" s="3">
        <v>264</v>
      </c>
      <c r="G9" s="3">
        <v>336</v>
      </c>
      <c r="H9" t="s">
        <v>219</v>
      </c>
    </row>
    <row r="10" spans="1:8">
      <c r="A10" t="s">
        <v>192</v>
      </c>
      <c r="B10" s="2">
        <v>0.48</v>
      </c>
      <c r="C10" s="2">
        <v>0.65</v>
      </c>
      <c r="D10" s="2">
        <v>0.87</v>
      </c>
      <c r="E10" s="3">
        <v>184</v>
      </c>
      <c r="F10" s="3">
        <v>248</v>
      </c>
      <c r="G10" s="3">
        <v>330</v>
      </c>
      <c r="H10" t="s">
        <v>219</v>
      </c>
    </row>
    <row r="11" spans="1:8">
      <c r="A11" t="s">
        <v>193</v>
      </c>
      <c r="B11" s="2">
        <v>0.45</v>
      </c>
      <c r="C11" s="2">
        <v>0.63</v>
      </c>
      <c r="D11" s="2">
        <v>0.85</v>
      </c>
      <c r="E11" s="3">
        <v>172</v>
      </c>
      <c r="F11" s="3">
        <v>240</v>
      </c>
      <c r="G11" s="3">
        <v>324</v>
      </c>
      <c r="H11" t="s">
        <v>219</v>
      </c>
    </row>
    <row r="12" spans="1:8">
      <c r="A12" t="s">
        <v>194</v>
      </c>
      <c r="B12" s="2">
        <v>0.42</v>
      </c>
      <c r="C12" s="2">
        <v>0.61</v>
      </c>
      <c r="D12" s="2">
        <v>0.84</v>
      </c>
      <c r="E12" s="3">
        <v>160</v>
      </c>
      <c r="F12" s="3">
        <v>232</v>
      </c>
      <c r="G12" s="3">
        <v>318</v>
      </c>
      <c r="H12" t="s">
        <v>219</v>
      </c>
    </row>
    <row r="13" spans="1:8">
      <c r="A13" t="s">
        <v>195</v>
      </c>
      <c r="B13" s="2">
        <v>0.39</v>
      </c>
      <c r="C13" s="2">
        <v>0.59</v>
      </c>
      <c r="D13" s="2">
        <v>0.82</v>
      </c>
      <c r="E13" s="3">
        <v>148</v>
      </c>
      <c r="F13" s="3">
        <v>224</v>
      </c>
      <c r="G13" s="3">
        <v>312</v>
      </c>
      <c r="H13" t="s">
        <v>219</v>
      </c>
    </row>
    <row r="14" spans="1:8">
      <c r="A14" t="s">
        <v>196</v>
      </c>
      <c r="B14" s="2">
        <v>0.36</v>
      </c>
      <c r="C14" s="2">
        <v>0.56999999999999995</v>
      </c>
      <c r="D14" s="2">
        <v>0.81</v>
      </c>
      <c r="E14" s="3">
        <v>136</v>
      </c>
      <c r="F14" s="3">
        <v>215</v>
      </c>
      <c r="G14" s="3">
        <v>307</v>
      </c>
      <c r="H14" t="s">
        <v>219</v>
      </c>
    </row>
    <row r="15" spans="1:8">
      <c r="A15" t="s">
        <v>197</v>
      </c>
      <c r="B15" s="2">
        <v>0.33</v>
      </c>
      <c r="C15" s="2">
        <v>0.55000000000000004</v>
      </c>
      <c r="D15" s="2">
        <v>0.79</v>
      </c>
      <c r="E15" s="3">
        <v>124</v>
      </c>
      <c r="F15" s="3">
        <v>207</v>
      </c>
      <c r="G15" s="3">
        <v>301</v>
      </c>
      <c r="H15" t="s">
        <v>219</v>
      </c>
    </row>
    <row r="16" spans="1:8">
      <c r="A16" t="s">
        <v>198</v>
      </c>
      <c r="B16" s="2">
        <v>0.32</v>
      </c>
      <c r="C16" s="2">
        <v>0.54</v>
      </c>
      <c r="D16" s="2">
        <v>0.79</v>
      </c>
      <c r="E16" s="3">
        <v>122</v>
      </c>
      <c r="F16" s="3">
        <v>205</v>
      </c>
      <c r="G16" s="3">
        <v>299</v>
      </c>
      <c r="H16" t="s">
        <v>219</v>
      </c>
    </row>
    <row r="17" spans="1:8">
      <c r="A17" t="s">
        <v>199</v>
      </c>
      <c r="B17" s="2">
        <v>0.31</v>
      </c>
      <c r="C17" s="2">
        <v>0.53</v>
      </c>
      <c r="D17" s="2">
        <v>0.78</v>
      </c>
      <c r="E17" s="3">
        <v>120</v>
      </c>
      <c r="F17" s="3">
        <v>202</v>
      </c>
      <c r="G17" s="3">
        <v>297</v>
      </c>
      <c r="H17" t="s">
        <v>219</v>
      </c>
    </row>
    <row r="18" spans="1:8">
      <c r="A18" t="s">
        <v>200</v>
      </c>
      <c r="B18" s="2">
        <v>0.31</v>
      </c>
      <c r="C18" s="2">
        <v>0.53</v>
      </c>
      <c r="D18" s="2">
        <v>0.78</v>
      </c>
      <c r="E18" s="3">
        <v>117</v>
      </c>
      <c r="F18" s="3">
        <v>200</v>
      </c>
      <c r="G18" s="3">
        <v>295</v>
      </c>
      <c r="H18" t="s">
        <v>219</v>
      </c>
    </row>
    <row r="19" spans="1:8">
      <c r="A19" t="s">
        <v>201</v>
      </c>
      <c r="B19" s="2">
        <v>0.3</v>
      </c>
      <c r="C19" s="2">
        <v>0.52</v>
      </c>
      <c r="D19" s="2">
        <v>0.77</v>
      </c>
      <c r="E19" s="3">
        <v>115</v>
      </c>
      <c r="F19" s="3">
        <v>197</v>
      </c>
      <c r="G19" s="3">
        <v>293</v>
      </c>
      <c r="H19" t="s">
        <v>219</v>
      </c>
    </row>
    <row r="20" spans="1:8">
      <c r="A20" t="s">
        <v>202</v>
      </c>
      <c r="B20" s="2">
        <v>0.3</v>
      </c>
      <c r="C20" s="2">
        <v>0.51</v>
      </c>
      <c r="D20" s="2">
        <v>0.77</v>
      </c>
      <c r="E20" s="3">
        <v>112</v>
      </c>
      <c r="F20" s="3">
        <v>194</v>
      </c>
      <c r="G20" s="3">
        <v>291</v>
      </c>
      <c r="H20" t="s">
        <v>219</v>
      </c>
    </row>
    <row r="21" spans="1:8">
      <c r="A21" t="s">
        <v>203</v>
      </c>
      <c r="B21" s="2">
        <v>0.28999999999999998</v>
      </c>
      <c r="C21" s="2">
        <v>0.5</v>
      </c>
      <c r="D21" s="2">
        <v>0.76</v>
      </c>
      <c r="E21" s="3">
        <v>110</v>
      </c>
      <c r="F21" s="3">
        <v>192</v>
      </c>
      <c r="G21" s="3">
        <v>290</v>
      </c>
      <c r="H21" t="s">
        <v>219</v>
      </c>
    </row>
    <row r="22" spans="1:8">
      <c r="A22" t="s">
        <v>204</v>
      </c>
      <c r="B22" s="2">
        <v>0.28000000000000003</v>
      </c>
      <c r="C22" s="2">
        <v>0.5</v>
      </c>
      <c r="D22" s="2">
        <v>0.76</v>
      </c>
      <c r="E22" s="3">
        <v>107</v>
      </c>
      <c r="F22" s="3">
        <v>189</v>
      </c>
      <c r="G22" s="3">
        <v>288</v>
      </c>
      <c r="H22" t="s">
        <v>219</v>
      </c>
    </row>
    <row r="23" spans="1:8">
      <c r="A23" t="s">
        <v>205</v>
      </c>
      <c r="B23" s="2">
        <v>0.28000000000000003</v>
      </c>
      <c r="C23" s="2">
        <v>0.49</v>
      </c>
      <c r="D23" s="2">
        <v>0.75</v>
      </c>
      <c r="E23" s="3">
        <v>105</v>
      </c>
      <c r="F23" s="3">
        <v>187</v>
      </c>
      <c r="G23" s="3">
        <v>286</v>
      </c>
      <c r="H23" t="s">
        <v>219</v>
      </c>
    </row>
    <row r="24" spans="1:8">
      <c r="A24" t="s">
        <v>206</v>
      </c>
      <c r="B24" s="2">
        <v>0.27</v>
      </c>
      <c r="C24" s="2">
        <v>0.48</v>
      </c>
      <c r="D24" s="2">
        <v>0.75</v>
      </c>
      <c r="E24" s="3">
        <v>102</v>
      </c>
      <c r="F24" s="3">
        <v>184</v>
      </c>
      <c r="G24" s="3">
        <v>284</v>
      </c>
      <c r="H24" t="s">
        <v>219</v>
      </c>
    </row>
    <row r="25" spans="1:8">
      <c r="A25" t="s">
        <v>207</v>
      </c>
      <c r="B25" s="2">
        <v>0.26</v>
      </c>
      <c r="C25" s="2">
        <v>0.48</v>
      </c>
      <c r="D25" s="2">
        <v>0.74</v>
      </c>
      <c r="E25" s="3">
        <v>100</v>
      </c>
      <c r="F25" s="3">
        <v>182</v>
      </c>
      <c r="G25" s="3">
        <v>282</v>
      </c>
      <c r="H25" t="s">
        <v>219</v>
      </c>
    </row>
    <row r="26" spans="1:8">
      <c r="A26" t="s">
        <v>208</v>
      </c>
      <c r="B26" s="2">
        <v>0.26</v>
      </c>
      <c r="C26" s="2">
        <v>0.47</v>
      </c>
      <c r="D26" s="2">
        <v>0.74</v>
      </c>
      <c r="E26" s="3">
        <v>98</v>
      </c>
      <c r="F26" s="3">
        <v>179</v>
      </c>
      <c r="G26" s="3">
        <v>280</v>
      </c>
      <c r="H26" t="s">
        <v>219</v>
      </c>
    </row>
    <row r="27" spans="1:8">
      <c r="A27" t="s">
        <v>209</v>
      </c>
      <c r="B27" s="2">
        <v>0.25</v>
      </c>
      <c r="C27" s="2">
        <v>0.46</v>
      </c>
      <c r="D27" s="2">
        <v>0.73</v>
      </c>
      <c r="E27" s="3">
        <v>95</v>
      </c>
      <c r="F27" s="3">
        <v>176</v>
      </c>
      <c r="G27" s="3">
        <v>278</v>
      </c>
      <c r="H27" t="s">
        <v>219</v>
      </c>
    </row>
    <row r="28" spans="1:8">
      <c r="A28" t="s">
        <v>210</v>
      </c>
      <c r="B28" s="2">
        <v>0.24</v>
      </c>
      <c r="C28" s="2">
        <v>0.46</v>
      </c>
      <c r="D28" s="2">
        <v>0.73</v>
      </c>
      <c r="E28" s="3">
        <v>93</v>
      </c>
      <c r="F28" s="3">
        <v>174</v>
      </c>
      <c r="G28" s="3">
        <v>276</v>
      </c>
      <c r="H28" t="s">
        <v>219</v>
      </c>
    </row>
    <row r="29" spans="1:8">
      <c r="A29" t="s">
        <v>211</v>
      </c>
      <c r="B29" s="2">
        <v>0.24</v>
      </c>
      <c r="C29" s="2">
        <v>0.45</v>
      </c>
      <c r="D29" s="2">
        <v>0.72</v>
      </c>
      <c r="E29" s="3">
        <v>90</v>
      </c>
      <c r="F29" s="3">
        <v>171</v>
      </c>
      <c r="G29" s="3">
        <v>274</v>
      </c>
      <c r="H29" t="s">
        <v>219</v>
      </c>
    </row>
    <row r="30" spans="1:8">
      <c r="A30" t="s">
        <v>212</v>
      </c>
      <c r="B30" s="2">
        <v>0.23</v>
      </c>
      <c r="C30" s="2">
        <v>0.44</v>
      </c>
      <c r="D30" s="2">
        <v>0.72</v>
      </c>
      <c r="E30" s="3">
        <v>88</v>
      </c>
      <c r="F30" s="3">
        <v>169</v>
      </c>
      <c r="G30" s="3">
        <v>273</v>
      </c>
      <c r="H30" t="s">
        <v>219</v>
      </c>
    </row>
    <row r="31" spans="1:8">
      <c r="A31" t="s">
        <v>213</v>
      </c>
      <c r="B31" s="2">
        <v>0.22</v>
      </c>
      <c r="C31" s="2">
        <v>0.44</v>
      </c>
      <c r="D31" s="2">
        <v>0.71</v>
      </c>
      <c r="E31" s="3">
        <v>85</v>
      </c>
      <c r="F31" s="3">
        <v>166</v>
      </c>
      <c r="G31" s="3">
        <v>271</v>
      </c>
      <c r="H31" t="s">
        <v>219</v>
      </c>
    </row>
    <row r="32" spans="1:8">
      <c r="A32" t="s">
        <v>214</v>
      </c>
      <c r="B32" s="2">
        <v>0.22</v>
      </c>
      <c r="C32" s="2">
        <v>0.43</v>
      </c>
      <c r="D32" s="2">
        <v>0.71</v>
      </c>
      <c r="E32" s="3">
        <v>83</v>
      </c>
      <c r="F32" s="3">
        <v>163</v>
      </c>
      <c r="G32" s="3">
        <v>269</v>
      </c>
      <c r="H32" t="s">
        <v>219</v>
      </c>
    </row>
    <row r="33" spans="1:8">
      <c r="A33" t="s">
        <v>215</v>
      </c>
      <c r="B33" s="2">
        <v>0.21</v>
      </c>
      <c r="C33" s="2">
        <v>0.42</v>
      </c>
      <c r="D33" s="2">
        <v>0.7</v>
      </c>
      <c r="E33" s="3">
        <v>81</v>
      </c>
      <c r="F33" s="3">
        <v>161</v>
      </c>
      <c r="G33" s="3">
        <v>267</v>
      </c>
      <c r="H33" t="s">
        <v>219</v>
      </c>
    </row>
    <row r="34" spans="1:8">
      <c r="A34" t="s">
        <v>216</v>
      </c>
      <c r="B34" s="2">
        <v>0.21</v>
      </c>
      <c r="C34" s="2">
        <v>0.42</v>
      </c>
      <c r="D34" s="2">
        <v>0.7</v>
      </c>
      <c r="E34" s="3">
        <v>78</v>
      </c>
      <c r="F34" s="3">
        <v>158</v>
      </c>
      <c r="G34" s="3">
        <v>265</v>
      </c>
      <c r="H34" t="s">
        <v>219</v>
      </c>
    </row>
    <row r="35" spans="1:8">
      <c r="A35" t="s">
        <v>222</v>
      </c>
      <c r="B35" s="2">
        <v>0.2</v>
      </c>
      <c r="C35" s="2">
        <v>0.41</v>
      </c>
      <c r="D35" s="2">
        <v>0.69</v>
      </c>
      <c r="E35" s="3">
        <v>76</v>
      </c>
      <c r="F35" s="3">
        <v>156</v>
      </c>
      <c r="G35" s="3">
        <v>263</v>
      </c>
      <c r="H35" t="s">
        <v>219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workbookViewId="0">
      <selection activeCell="D21" sqref="D21"/>
    </sheetView>
  </sheetViews>
  <sheetFormatPr baseColWidth="10" defaultRowHeight="16"/>
  <cols>
    <col min="1" max="1" width="11.6640625" bestFit="1" customWidth="1"/>
    <col min="2" max="2" width="17.33203125" bestFit="1" customWidth="1"/>
    <col min="3" max="3" width="17" bestFit="1" customWidth="1"/>
    <col min="4" max="4" width="8" bestFit="1" customWidth="1"/>
    <col min="5" max="5" width="8" customWidth="1"/>
    <col min="6" max="6" width="12.1640625" bestFit="1" customWidth="1"/>
    <col min="7" max="7" width="19.83203125" bestFit="1" customWidth="1"/>
    <col min="8" max="8" width="21" bestFit="1" customWidth="1"/>
    <col min="9" max="9" width="11.6640625" bestFit="1" customWidth="1"/>
    <col min="10" max="10" width="10.83203125" bestFit="1" customWidth="1"/>
    <col min="11" max="11" width="10.1640625" bestFit="1" customWidth="1"/>
    <col min="12" max="12" width="13.33203125" bestFit="1" customWidth="1"/>
    <col min="13" max="13" width="12.33203125" bestFit="1" customWidth="1"/>
    <col min="14" max="14" width="14.83203125" bestFit="1" customWidth="1"/>
    <col min="15" max="15" width="18.6640625" bestFit="1" customWidth="1"/>
    <col min="16" max="16" width="15.5" bestFit="1" customWidth="1"/>
    <col min="17" max="17" width="18" bestFit="1" customWidth="1"/>
    <col min="18" max="18" width="20.1640625" bestFit="1" customWidth="1"/>
    <col min="19" max="19" width="34" bestFit="1" customWidth="1"/>
    <col min="20" max="20" width="9.5" bestFit="1" customWidth="1"/>
  </cols>
  <sheetData>
    <row r="1" spans="1:21">
      <c r="A1" t="s">
        <v>0</v>
      </c>
      <c r="B1" t="s">
        <v>62</v>
      </c>
      <c r="C1" t="s">
        <v>68</v>
      </c>
      <c r="D1" t="s">
        <v>66</v>
      </c>
      <c r="E1" t="s">
        <v>32</v>
      </c>
      <c r="F1" t="s">
        <v>4</v>
      </c>
      <c r="G1" t="s">
        <v>81</v>
      </c>
      <c r="H1" t="s">
        <v>82</v>
      </c>
      <c r="I1" t="s">
        <v>177</v>
      </c>
      <c r="J1" t="s">
        <v>176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35</v>
      </c>
      <c r="T1" t="s">
        <v>121</v>
      </c>
      <c r="U1" s="1" t="s">
        <v>311</v>
      </c>
    </row>
    <row r="2" spans="1:21">
      <c r="A2" t="s">
        <v>0</v>
      </c>
      <c r="B2" t="s">
        <v>64</v>
      </c>
      <c r="C2" t="s">
        <v>63</v>
      </c>
      <c r="D2" t="s">
        <v>33</v>
      </c>
      <c r="E2" t="s">
        <v>301</v>
      </c>
      <c r="F2" t="s">
        <v>4</v>
      </c>
      <c r="G2" t="s">
        <v>83</v>
      </c>
      <c r="H2" t="s">
        <v>84</v>
      </c>
      <c r="I2" t="s">
        <v>179</v>
      </c>
      <c r="J2" t="s">
        <v>178</v>
      </c>
      <c r="K2" t="s">
        <v>12</v>
      </c>
      <c r="L2" t="s">
        <v>13</v>
      </c>
      <c r="M2" t="s">
        <v>18</v>
      </c>
      <c r="N2" t="s">
        <v>14</v>
      </c>
      <c r="O2" t="s">
        <v>19</v>
      </c>
      <c r="P2" t="s">
        <v>22</v>
      </c>
      <c r="Q2" t="s">
        <v>23</v>
      </c>
      <c r="R2" t="s">
        <v>24</v>
      </c>
      <c r="U2" s="1" t="s">
        <v>312</v>
      </c>
    </row>
    <row r="3" spans="1:21">
      <c r="B3" t="s">
        <v>28</v>
      </c>
      <c r="C3" t="s">
        <v>46</v>
      </c>
      <c r="D3" t="s">
        <v>34</v>
      </c>
      <c r="E3" t="s">
        <v>5</v>
      </c>
      <c r="F3" t="s">
        <v>6</v>
      </c>
      <c r="G3" t="s">
        <v>85</v>
      </c>
      <c r="H3" t="s">
        <v>44</v>
      </c>
      <c r="I3" t="s">
        <v>180</v>
      </c>
      <c r="J3" t="s">
        <v>45</v>
      </c>
      <c r="K3" t="s">
        <v>28</v>
      </c>
      <c r="L3" t="s">
        <v>29</v>
      </c>
      <c r="M3" t="s">
        <v>5</v>
      </c>
      <c r="N3" t="s">
        <v>5</v>
      </c>
      <c r="O3" t="s">
        <v>5</v>
      </c>
      <c r="P3" t="s">
        <v>5</v>
      </c>
      <c r="Q3" t="s">
        <v>5</v>
      </c>
      <c r="R3" t="s">
        <v>5</v>
      </c>
      <c r="U3" s="1" t="s">
        <v>313</v>
      </c>
    </row>
    <row r="4" spans="1:21">
      <c r="A4" t="s">
        <v>89</v>
      </c>
      <c r="B4">
        <v>307</v>
      </c>
      <c r="C4">
        <v>294</v>
      </c>
      <c r="D4">
        <v>15</v>
      </c>
      <c r="E4">
        <v>4.2000000000000003E-2</v>
      </c>
      <c r="F4">
        <f>((E4*(1+E4)^D4)/((1+E4)^D4-1))</f>
        <v>9.1203432087674882E-2</v>
      </c>
      <c r="G4">
        <f>B4*F4</f>
        <v>27.999453650916188</v>
      </c>
      <c r="H4">
        <f>C4*F4</f>
        <v>26.813809033776415</v>
      </c>
      <c r="I4">
        <v>7.5</v>
      </c>
      <c r="J4">
        <v>6</v>
      </c>
      <c r="K4">
        <v>1.0000000000000001E-5</v>
      </c>
      <c r="L4">
        <v>0</v>
      </c>
      <c r="M4">
        <v>1</v>
      </c>
      <c r="N4">
        <v>1</v>
      </c>
      <c r="O4">
        <v>0</v>
      </c>
      <c r="P4">
        <f t="shared" ref="P4:Q14" si="0">SQRT(0.85)</f>
        <v>0.92195444572928875</v>
      </c>
      <c r="Q4">
        <f t="shared" si="0"/>
        <v>0.92195444572928875</v>
      </c>
      <c r="R4">
        <v>4.1686600000000002E-5</v>
      </c>
      <c r="S4" t="s">
        <v>223</v>
      </c>
      <c r="T4">
        <v>2018</v>
      </c>
      <c r="U4" s="1">
        <v>1</v>
      </c>
    </row>
    <row r="5" spans="1:21">
      <c r="A5" t="s">
        <v>69</v>
      </c>
      <c r="B5">
        <f>B$4*Storage_scaler!$C5</f>
        <v>267.08999999999997</v>
      </c>
      <c r="C5">
        <f>C$4*Storage_scaler!$C5</f>
        <v>255.78</v>
      </c>
      <c r="D5">
        <v>15</v>
      </c>
      <c r="E5">
        <v>4.2000000000000003E-2</v>
      </c>
      <c r="F5">
        <f t="shared" ref="F5:F17" si="1">((E5*(1+E5)^D5)/((1+E5)^D5-1))</f>
        <v>9.1203432087674882E-2</v>
      </c>
      <c r="G5">
        <f t="shared" ref="G5:G15" si="2">B5*F5</f>
        <v>24.359524676297081</v>
      </c>
      <c r="H5">
        <f t="shared" ref="H5:H15" si="3">C5*F5</f>
        <v>23.328013859385482</v>
      </c>
      <c r="I5">
        <f>I$4/B$4*B5</f>
        <v>6.5249999999999995</v>
      </c>
      <c r="J5">
        <f>J$4/C$4*C5</f>
        <v>5.22</v>
      </c>
      <c r="K5">
        <v>1.0000000000000001E-5</v>
      </c>
      <c r="L5">
        <v>0</v>
      </c>
      <c r="M5">
        <v>1</v>
      </c>
      <c r="N5">
        <v>1</v>
      </c>
      <c r="O5">
        <v>0</v>
      </c>
      <c r="P5">
        <f t="shared" si="0"/>
        <v>0.92195444572928875</v>
      </c>
      <c r="Q5">
        <f t="shared" si="0"/>
        <v>0.92195444572928875</v>
      </c>
      <c r="R5">
        <v>4.1686600000000002E-5</v>
      </c>
      <c r="S5" t="s">
        <v>223</v>
      </c>
      <c r="T5">
        <v>2018</v>
      </c>
      <c r="U5" s="1">
        <v>1</v>
      </c>
    </row>
    <row r="6" spans="1:21">
      <c r="A6" t="s">
        <v>70</v>
      </c>
      <c r="B6">
        <f>B$4*Storage_scaler!$C10</f>
        <v>199.55</v>
      </c>
      <c r="C6">
        <f>C$4*Storage_scaler!$C10</f>
        <v>191.1</v>
      </c>
      <c r="D6">
        <v>15</v>
      </c>
      <c r="E6">
        <v>4.2000000000000003E-2</v>
      </c>
      <c r="F6">
        <f t="shared" si="1"/>
        <v>9.1203432087674882E-2</v>
      </c>
      <c r="G6">
        <f t="shared" si="2"/>
        <v>18.199644873095522</v>
      </c>
      <c r="H6">
        <f t="shared" si="3"/>
        <v>17.42897587195467</v>
      </c>
      <c r="I6">
        <f t="shared" ref="I6:I14" si="4">I$4/B$4*B6</f>
        <v>4.875</v>
      </c>
      <c r="J6">
        <f t="shared" ref="J6:J14" si="5">J$4/C$4*C6</f>
        <v>3.8999999999999995</v>
      </c>
      <c r="K6">
        <v>1.0000000000000001E-5</v>
      </c>
      <c r="L6">
        <v>0</v>
      </c>
      <c r="M6">
        <v>1</v>
      </c>
      <c r="N6">
        <v>1</v>
      </c>
      <c r="O6">
        <v>0</v>
      </c>
      <c r="P6">
        <f t="shared" si="0"/>
        <v>0.92195444572928875</v>
      </c>
      <c r="Q6">
        <f t="shared" si="0"/>
        <v>0.92195444572928875</v>
      </c>
      <c r="R6">
        <v>4.1686600000000002E-5</v>
      </c>
      <c r="S6" t="s">
        <v>223</v>
      </c>
      <c r="T6">
        <v>2018</v>
      </c>
      <c r="U6" s="1">
        <v>1</v>
      </c>
    </row>
    <row r="7" spans="1:21">
      <c r="A7" t="s">
        <v>71</v>
      </c>
      <c r="B7">
        <f>B$4*Storage_scaler!$C15</f>
        <v>168.85000000000002</v>
      </c>
      <c r="C7">
        <f>C$4*Storage_scaler!$C15</f>
        <v>161.70000000000002</v>
      </c>
      <c r="D7">
        <v>15</v>
      </c>
      <c r="E7">
        <v>4.2000000000000003E-2</v>
      </c>
      <c r="F7">
        <f t="shared" si="1"/>
        <v>9.1203432087674882E-2</v>
      </c>
      <c r="G7">
        <f t="shared" si="2"/>
        <v>15.399699508003906</v>
      </c>
      <c r="H7">
        <f t="shared" si="3"/>
        <v>14.74759496857703</v>
      </c>
      <c r="I7">
        <f t="shared" si="4"/>
        <v>4.1250000000000009</v>
      </c>
      <c r="J7">
        <f t="shared" si="5"/>
        <v>3.3000000000000003</v>
      </c>
      <c r="K7">
        <v>1.0000000000000001E-5</v>
      </c>
      <c r="L7">
        <v>0</v>
      </c>
      <c r="M7">
        <v>1</v>
      </c>
      <c r="N7">
        <v>1</v>
      </c>
      <c r="O7">
        <v>0</v>
      </c>
      <c r="P7">
        <f t="shared" si="0"/>
        <v>0.92195444572928875</v>
      </c>
      <c r="Q7">
        <f t="shared" si="0"/>
        <v>0.92195444572928875</v>
      </c>
      <c r="R7">
        <v>4.1686600000000002E-5</v>
      </c>
      <c r="S7" t="s">
        <v>223</v>
      </c>
      <c r="T7">
        <v>2018</v>
      </c>
      <c r="U7" s="1">
        <v>1</v>
      </c>
    </row>
    <row r="8" spans="1:21">
      <c r="A8" t="s">
        <v>217</v>
      </c>
      <c r="B8">
        <f>B$4*Storage_scaler!$C25</f>
        <v>147.35999999999999</v>
      </c>
      <c r="C8">
        <f>C$4*Storage_scaler!$C25</f>
        <v>141.12</v>
      </c>
      <c r="D8">
        <v>15</v>
      </c>
      <c r="E8">
        <v>4.2000000000000003E-2</v>
      </c>
      <c r="F8">
        <f t="shared" si="1"/>
        <v>9.1203432087674882E-2</v>
      </c>
      <c r="G8">
        <f t="shared" si="2"/>
        <v>13.43973775243977</v>
      </c>
      <c r="H8">
        <f t="shared" si="3"/>
        <v>12.870628336212679</v>
      </c>
      <c r="I8">
        <f t="shared" si="4"/>
        <v>3.5999999999999996</v>
      </c>
      <c r="J8">
        <f t="shared" si="5"/>
        <v>2.88</v>
      </c>
      <c r="K8">
        <v>1.0000000000000001E-5</v>
      </c>
      <c r="L8">
        <v>0</v>
      </c>
      <c r="M8">
        <v>1</v>
      </c>
      <c r="N8">
        <v>1</v>
      </c>
      <c r="O8">
        <v>0</v>
      </c>
      <c r="P8">
        <f t="shared" si="0"/>
        <v>0.92195444572928875</v>
      </c>
      <c r="Q8">
        <f t="shared" si="0"/>
        <v>0.92195444572928875</v>
      </c>
      <c r="R8">
        <v>4.1686600000000002E-5</v>
      </c>
      <c r="S8" t="s">
        <v>223</v>
      </c>
      <c r="T8">
        <v>2018</v>
      </c>
      <c r="U8" s="1">
        <v>1</v>
      </c>
    </row>
    <row r="9" spans="1:21">
      <c r="A9" t="s">
        <v>72</v>
      </c>
      <c r="B9">
        <f>B$4*Storage_scaler!$C35</f>
        <v>125.86999999999999</v>
      </c>
      <c r="C9">
        <f>C$4*Storage_scaler!$C35</f>
        <v>120.53999999999999</v>
      </c>
      <c r="D9">
        <v>15</v>
      </c>
      <c r="E9">
        <v>4.2000000000000003E-2</v>
      </c>
      <c r="F9">
        <f t="shared" si="1"/>
        <v>9.1203432087674882E-2</v>
      </c>
      <c r="G9">
        <f t="shared" si="2"/>
        <v>11.479775996875636</v>
      </c>
      <c r="H9">
        <f t="shared" si="3"/>
        <v>10.99366170384833</v>
      </c>
      <c r="I9">
        <f t="shared" si="4"/>
        <v>3.0749999999999997</v>
      </c>
      <c r="J9">
        <f t="shared" si="5"/>
        <v>2.4599999999999995</v>
      </c>
      <c r="K9">
        <v>1.0000000000000001E-5</v>
      </c>
      <c r="L9">
        <v>0</v>
      </c>
      <c r="M9">
        <v>1</v>
      </c>
      <c r="N9">
        <v>1</v>
      </c>
      <c r="O9">
        <v>0</v>
      </c>
      <c r="P9">
        <f t="shared" si="0"/>
        <v>0.92195444572928875</v>
      </c>
      <c r="Q9">
        <f t="shared" si="0"/>
        <v>0.92195444572928875</v>
      </c>
      <c r="R9">
        <v>4.1686600000000002E-5</v>
      </c>
      <c r="S9" t="s">
        <v>223</v>
      </c>
      <c r="T9">
        <v>2018</v>
      </c>
      <c r="U9" s="1">
        <v>1</v>
      </c>
    </row>
    <row r="10" spans="1:21">
      <c r="A10" t="s">
        <v>73</v>
      </c>
      <c r="B10">
        <f>B$4*Storage_scaler!$B5</f>
        <v>239.46</v>
      </c>
      <c r="C10">
        <f>C$4*Storage_scaler!$B5</f>
        <v>229.32000000000002</v>
      </c>
      <c r="D10">
        <v>15</v>
      </c>
      <c r="E10">
        <v>4.2000000000000003E-2</v>
      </c>
      <c r="F10">
        <f t="shared" si="1"/>
        <v>9.1203432087674882E-2</v>
      </c>
      <c r="G10">
        <f t="shared" si="2"/>
        <v>21.839573847714629</v>
      </c>
      <c r="H10">
        <f t="shared" si="3"/>
        <v>20.914771046345606</v>
      </c>
      <c r="I10">
        <f t="shared" si="4"/>
        <v>5.8500000000000005</v>
      </c>
      <c r="J10">
        <f t="shared" si="5"/>
        <v>4.68</v>
      </c>
      <c r="K10">
        <v>1.0000000000000001E-5</v>
      </c>
      <c r="L10">
        <v>0</v>
      </c>
      <c r="M10">
        <v>1</v>
      </c>
      <c r="N10">
        <v>1</v>
      </c>
      <c r="O10">
        <v>0</v>
      </c>
      <c r="P10">
        <f t="shared" si="0"/>
        <v>0.92195444572928875</v>
      </c>
      <c r="Q10">
        <f t="shared" si="0"/>
        <v>0.92195444572928875</v>
      </c>
      <c r="R10">
        <v>4.1686600000000002E-5</v>
      </c>
      <c r="S10" t="s">
        <v>223</v>
      </c>
      <c r="T10">
        <v>2018</v>
      </c>
      <c r="U10" s="1">
        <v>1</v>
      </c>
    </row>
    <row r="11" spans="1:21">
      <c r="A11" t="s">
        <v>74</v>
      </c>
      <c r="B11">
        <f>B$4*Storage_scaler!$B10</f>
        <v>147.35999999999999</v>
      </c>
      <c r="C11">
        <f>C$4*Storage_scaler!$B10</f>
        <v>141.12</v>
      </c>
      <c r="D11">
        <v>15</v>
      </c>
      <c r="E11">
        <v>4.2000000000000003E-2</v>
      </c>
      <c r="F11">
        <f t="shared" si="1"/>
        <v>9.1203432087674882E-2</v>
      </c>
      <c r="G11">
        <f t="shared" si="2"/>
        <v>13.43973775243977</v>
      </c>
      <c r="H11">
        <f t="shared" si="3"/>
        <v>12.870628336212679</v>
      </c>
      <c r="I11">
        <f t="shared" si="4"/>
        <v>3.5999999999999996</v>
      </c>
      <c r="J11">
        <f t="shared" si="5"/>
        <v>2.88</v>
      </c>
      <c r="K11">
        <v>1.0000000000000001E-5</v>
      </c>
      <c r="L11">
        <v>0</v>
      </c>
      <c r="M11">
        <v>1</v>
      </c>
      <c r="N11">
        <v>1</v>
      </c>
      <c r="O11">
        <v>0</v>
      </c>
      <c r="P11">
        <f t="shared" si="0"/>
        <v>0.92195444572928875</v>
      </c>
      <c r="Q11">
        <f t="shared" si="0"/>
        <v>0.92195444572928875</v>
      </c>
      <c r="R11">
        <v>4.1686600000000002E-5</v>
      </c>
      <c r="S11" t="s">
        <v>223</v>
      </c>
      <c r="T11">
        <v>2018</v>
      </c>
      <c r="U11" s="1">
        <v>1</v>
      </c>
    </row>
    <row r="12" spans="1:21">
      <c r="A12" t="s">
        <v>75</v>
      </c>
      <c r="B12">
        <f>B$4*Storage_scaler!$B15</f>
        <v>101.31</v>
      </c>
      <c r="C12">
        <f>C$4*Storage_scaler!$B15</f>
        <v>97.02000000000001</v>
      </c>
      <c r="D12">
        <v>15</v>
      </c>
      <c r="E12">
        <v>4.2000000000000003E-2</v>
      </c>
      <c r="F12">
        <f t="shared" si="1"/>
        <v>9.1203432087674882E-2</v>
      </c>
      <c r="G12">
        <f t="shared" si="2"/>
        <v>9.2398197048023434</v>
      </c>
      <c r="H12">
        <f t="shared" si="3"/>
        <v>8.8485569811462188</v>
      </c>
      <c r="I12">
        <f t="shared" si="4"/>
        <v>2.4750000000000001</v>
      </c>
      <c r="J12">
        <f t="shared" si="5"/>
        <v>1.98</v>
      </c>
      <c r="K12">
        <v>1.0000000000000001E-5</v>
      </c>
      <c r="L12">
        <v>0</v>
      </c>
      <c r="M12">
        <v>1</v>
      </c>
      <c r="N12">
        <v>1</v>
      </c>
      <c r="O12">
        <v>0</v>
      </c>
      <c r="P12">
        <f t="shared" si="0"/>
        <v>0.92195444572928875</v>
      </c>
      <c r="Q12">
        <f t="shared" si="0"/>
        <v>0.92195444572928875</v>
      </c>
      <c r="R12">
        <v>4.1686600000000002E-5</v>
      </c>
      <c r="S12" t="s">
        <v>223</v>
      </c>
      <c r="T12">
        <v>2018</v>
      </c>
      <c r="U12" s="1">
        <v>1</v>
      </c>
    </row>
    <row r="13" spans="1:21">
      <c r="A13" t="s">
        <v>218</v>
      </c>
      <c r="B13">
        <f>B$4*Storage_scaler!$B25</f>
        <v>79.820000000000007</v>
      </c>
      <c r="C13">
        <f>C$4*Storage_scaler!$B25</f>
        <v>76.44</v>
      </c>
      <c r="D13">
        <v>15</v>
      </c>
      <c r="E13">
        <v>4.2000000000000003E-2</v>
      </c>
      <c r="F13">
        <f t="shared" si="1"/>
        <v>9.1203432087674882E-2</v>
      </c>
      <c r="G13">
        <f t="shared" si="2"/>
        <v>7.2798579492382096</v>
      </c>
      <c r="H13">
        <f t="shared" si="3"/>
        <v>6.9715903487818682</v>
      </c>
      <c r="I13">
        <f t="shared" si="4"/>
        <v>1.9500000000000002</v>
      </c>
      <c r="J13">
        <f t="shared" si="5"/>
        <v>1.5599999999999998</v>
      </c>
      <c r="K13">
        <v>1.0000000000000001E-5</v>
      </c>
      <c r="L13">
        <v>0</v>
      </c>
      <c r="M13">
        <v>1</v>
      </c>
      <c r="N13">
        <v>1</v>
      </c>
      <c r="O13">
        <v>0</v>
      </c>
      <c r="P13">
        <f t="shared" si="0"/>
        <v>0.92195444572928875</v>
      </c>
      <c r="Q13">
        <f t="shared" si="0"/>
        <v>0.92195444572928875</v>
      </c>
      <c r="R13">
        <v>4.1686600000000002E-5</v>
      </c>
      <c r="S13" t="s">
        <v>223</v>
      </c>
      <c r="T13">
        <v>2018</v>
      </c>
      <c r="U13" s="1">
        <v>1</v>
      </c>
    </row>
    <row r="14" spans="1:21">
      <c r="A14" t="s">
        <v>76</v>
      </c>
      <c r="B14">
        <f>B$4*Storage_scaler!$B35</f>
        <v>61.400000000000006</v>
      </c>
      <c r="C14">
        <f>C$4*Storage_scaler!$B35</f>
        <v>58.800000000000004</v>
      </c>
      <c r="D14">
        <v>15</v>
      </c>
      <c r="E14">
        <v>4.2000000000000003E-2</v>
      </c>
      <c r="F14">
        <f t="shared" si="1"/>
        <v>9.1203432087674882E-2</v>
      </c>
      <c r="G14">
        <f t="shared" si="2"/>
        <v>5.5998907301832386</v>
      </c>
      <c r="H14">
        <f t="shared" si="3"/>
        <v>5.3627618067552838</v>
      </c>
      <c r="I14">
        <f t="shared" si="4"/>
        <v>1.5000000000000002</v>
      </c>
      <c r="J14">
        <f t="shared" si="5"/>
        <v>1.2</v>
      </c>
      <c r="K14">
        <v>1.0000000000000001E-5</v>
      </c>
      <c r="L14">
        <v>0</v>
      </c>
      <c r="M14">
        <v>1</v>
      </c>
      <c r="N14">
        <v>1</v>
      </c>
      <c r="O14">
        <v>0</v>
      </c>
      <c r="P14">
        <f t="shared" si="0"/>
        <v>0.92195444572928875</v>
      </c>
      <c r="Q14">
        <f t="shared" si="0"/>
        <v>0.92195444572928875</v>
      </c>
      <c r="R14">
        <v>4.1686600000000002E-5</v>
      </c>
      <c r="S14" t="s">
        <v>223</v>
      </c>
      <c r="T14">
        <v>2018</v>
      </c>
      <c r="U14" s="1">
        <v>1</v>
      </c>
    </row>
    <row r="15" spans="1:21">
      <c r="A15" t="s">
        <v>224</v>
      </c>
      <c r="B15">
        <v>52.5</v>
      </c>
      <c r="C15">
        <v>1800</v>
      </c>
      <c r="D15">
        <v>40</v>
      </c>
      <c r="E15">
        <v>4.2000000000000003E-2</v>
      </c>
      <c r="F15">
        <f t="shared" si="1"/>
        <v>5.2036987638282725E-2</v>
      </c>
      <c r="G15">
        <f t="shared" si="2"/>
        <v>2.731941851009843</v>
      </c>
      <c r="H15">
        <f t="shared" si="3"/>
        <v>93.666577748908907</v>
      </c>
      <c r="I15">
        <v>0</v>
      </c>
      <c r="J15">
        <v>15.9</v>
      </c>
      <c r="K15">
        <v>1.0000000000000001E-5</v>
      </c>
      <c r="L15">
        <v>0</v>
      </c>
      <c r="M15">
        <v>1</v>
      </c>
      <c r="N15">
        <v>1</v>
      </c>
      <c r="O15">
        <v>0</v>
      </c>
      <c r="P15">
        <f>SQRT(0.8)</f>
        <v>0.89442719099991586</v>
      </c>
      <c r="Q15">
        <f>SQRT(0.8)</f>
        <v>0.89442719099991586</v>
      </c>
      <c r="R15">
        <v>0</v>
      </c>
      <c r="S15" t="s">
        <v>225</v>
      </c>
      <c r="T15">
        <v>2018</v>
      </c>
      <c r="U15" s="1">
        <v>1</v>
      </c>
    </row>
    <row r="16" spans="1:21">
      <c r="A16" t="s">
        <v>226</v>
      </c>
      <c r="B16">
        <v>5</v>
      </c>
      <c r="C16">
        <v>1800</v>
      </c>
      <c r="D16">
        <v>40</v>
      </c>
      <c r="E16">
        <v>4.2000000000000003E-2</v>
      </c>
      <c r="F16">
        <f t="shared" si="1"/>
        <v>5.2036987638282725E-2</v>
      </c>
      <c r="G16">
        <f t="shared" ref="G16" si="6">B16*F16</f>
        <v>0.26018493819141364</v>
      </c>
      <c r="H16">
        <f t="shared" ref="H16" si="7">C16*F16</f>
        <v>93.666577748908907</v>
      </c>
      <c r="I16">
        <v>0</v>
      </c>
      <c r="J16">
        <v>15.9</v>
      </c>
      <c r="K16">
        <v>1.0000000000000001E-5</v>
      </c>
      <c r="L16">
        <v>0</v>
      </c>
      <c r="M16">
        <v>1</v>
      </c>
      <c r="N16">
        <v>1</v>
      </c>
      <c r="O16">
        <v>0</v>
      </c>
      <c r="P16">
        <f>SQRT(0.8)</f>
        <v>0.89442719099991586</v>
      </c>
      <c r="Q16">
        <f>SQRT(0.8)</f>
        <v>0.89442719099991586</v>
      </c>
      <c r="R16">
        <v>0</v>
      </c>
      <c r="S16" t="s">
        <v>227</v>
      </c>
      <c r="T16">
        <v>2018</v>
      </c>
      <c r="U16" s="1">
        <v>1</v>
      </c>
    </row>
    <row r="17" spans="1:21">
      <c r="A17" t="s">
        <v>300</v>
      </c>
      <c r="B17">
        <f>B4*5</f>
        <v>1535</v>
      </c>
      <c r="C17">
        <f>C4*5</f>
        <v>1470</v>
      </c>
      <c r="D17">
        <v>15</v>
      </c>
      <c r="E17">
        <v>4.2000000000000003E-2</v>
      </c>
      <c r="F17">
        <f t="shared" si="1"/>
        <v>9.1203432087674882E-2</v>
      </c>
      <c r="G17">
        <f>B17*F17</f>
        <v>139.99726825458094</v>
      </c>
      <c r="H17">
        <f>C17*F17</f>
        <v>134.06904516888207</v>
      </c>
      <c r="I17">
        <v>7.5</v>
      </c>
      <c r="J17">
        <v>6</v>
      </c>
      <c r="K17">
        <v>1.0000000000000001E-5</v>
      </c>
      <c r="L17">
        <v>0</v>
      </c>
      <c r="M17">
        <v>1</v>
      </c>
      <c r="N17">
        <v>1</v>
      </c>
      <c r="O17">
        <v>0</v>
      </c>
      <c r="P17">
        <f t="shared" ref="P17:Q18" si="8">SQRT(0.85)</f>
        <v>0.92195444572928875</v>
      </c>
      <c r="Q17">
        <f t="shared" si="8"/>
        <v>0.92195444572928875</v>
      </c>
      <c r="R17">
        <v>4.1686600000000002E-5</v>
      </c>
      <c r="S17" t="s">
        <v>223</v>
      </c>
      <c r="T17">
        <v>2018</v>
      </c>
      <c r="U17" s="1">
        <v>1</v>
      </c>
    </row>
    <row r="18" spans="1:21">
      <c r="A18" t="s">
        <v>304</v>
      </c>
      <c r="B18">
        <f>B$4*Storage_scaler!$C30</f>
        <v>135.08000000000001</v>
      </c>
      <c r="C18">
        <f>C$4*Storage_scaler!$C30</f>
        <v>129.36000000000001</v>
      </c>
      <c r="D18">
        <v>15</v>
      </c>
      <c r="E18">
        <v>7.0000000000000007E-2</v>
      </c>
      <c r="F18">
        <f t="shared" ref="F18:F19" si="9">((E18*(1+E18)^D18)/((1+E18)^D18-1))</f>
        <v>0.10979462470100652</v>
      </c>
      <c r="G18">
        <f t="shared" ref="G18:G19" si="10">B18*F18</f>
        <v>14.831057904611963</v>
      </c>
      <c r="H18">
        <f t="shared" ref="H18:H19" si="11">C18*F18</f>
        <v>14.203032651322205</v>
      </c>
      <c r="I18">
        <f t="shared" ref="I18" si="12">I$4/B$4*B18</f>
        <v>3.3000000000000003</v>
      </c>
      <c r="J18">
        <f t="shared" ref="J18" si="13">J$4/C$4*C18</f>
        <v>2.64</v>
      </c>
      <c r="K18">
        <v>1.0000000000000001E-5</v>
      </c>
      <c r="L18">
        <v>0</v>
      </c>
      <c r="M18">
        <v>1</v>
      </c>
      <c r="N18">
        <v>1</v>
      </c>
      <c r="O18">
        <v>0</v>
      </c>
      <c r="P18">
        <f t="shared" si="8"/>
        <v>0.92195444572928875</v>
      </c>
      <c r="Q18">
        <f t="shared" si="8"/>
        <v>0.92195444572928875</v>
      </c>
      <c r="R18">
        <v>4.1686600000000002E-5</v>
      </c>
      <c r="S18" t="s">
        <v>223</v>
      </c>
      <c r="T18">
        <v>2018</v>
      </c>
      <c r="U18" s="1">
        <v>1</v>
      </c>
    </row>
    <row r="19" spans="1:21">
      <c r="A19" t="s">
        <v>308</v>
      </c>
      <c r="B19">
        <f>20/inflator_2018</f>
        <v>20.488495430809412</v>
      </c>
      <c r="C19">
        <v>1800</v>
      </c>
      <c r="D19">
        <v>40</v>
      </c>
      <c r="E19">
        <v>4.2000000000000003E-2</v>
      </c>
      <c r="F19">
        <f t="shared" si="9"/>
        <v>5.2036987638282725E-2</v>
      </c>
      <c r="G19">
        <f t="shared" si="10"/>
        <v>1.0661595834600415</v>
      </c>
      <c r="H19">
        <f t="shared" si="11"/>
        <v>93.666577748908907</v>
      </c>
      <c r="I19">
        <v>0</v>
      </c>
      <c r="J19">
        <v>15.9</v>
      </c>
      <c r="K19">
        <v>1.0000000000000001E-5</v>
      </c>
      <c r="L19">
        <v>0</v>
      </c>
      <c r="M19">
        <v>1</v>
      </c>
      <c r="N19">
        <v>1</v>
      </c>
      <c r="O19">
        <v>0</v>
      </c>
      <c r="P19">
        <f>SQRT(0.8)</f>
        <v>0.89442719099991586</v>
      </c>
      <c r="Q19">
        <f>SQRT(0.8)</f>
        <v>0.89442719099991586</v>
      </c>
      <c r="R19">
        <v>0</v>
      </c>
      <c r="S19" t="s">
        <v>309</v>
      </c>
      <c r="T19">
        <v>2018</v>
      </c>
      <c r="U19" s="1">
        <v>1</v>
      </c>
    </row>
    <row r="20" spans="1:21">
      <c r="A20" t="s">
        <v>310</v>
      </c>
      <c r="B20">
        <f>10/inflator_2018</f>
        <v>10.244247715404706</v>
      </c>
      <c r="C20">
        <v>1800</v>
      </c>
      <c r="D20">
        <v>40</v>
      </c>
      <c r="E20">
        <v>4.2000000000000003E-2</v>
      </c>
      <c r="F20">
        <f t="shared" ref="F20:F21" si="14">((E20*(1+E20)^D20)/((1+E20)^D20-1))</f>
        <v>5.2036987638282725E-2</v>
      </c>
      <c r="G20">
        <f t="shared" ref="G20:G21" si="15">B20*F20</f>
        <v>0.53307979173002074</v>
      </c>
      <c r="H20">
        <f t="shared" ref="H20:H21" si="16">C20*F20</f>
        <v>93.666577748908907</v>
      </c>
      <c r="I20">
        <v>0</v>
      </c>
      <c r="J20">
        <v>15.9</v>
      </c>
      <c r="K20">
        <v>1.0000000000000001E-5</v>
      </c>
      <c r="L20">
        <v>0</v>
      </c>
      <c r="M20">
        <v>1</v>
      </c>
      <c r="N20">
        <v>1</v>
      </c>
      <c r="O20">
        <v>0</v>
      </c>
      <c r="P20">
        <f>SQRT(0.8)</f>
        <v>0.89442719099991586</v>
      </c>
      <c r="Q20">
        <f>SQRT(0.8)</f>
        <v>0.89442719099991586</v>
      </c>
      <c r="R20">
        <v>0</v>
      </c>
      <c r="S20" t="s">
        <v>309</v>
      </c>
      <c r="T20">
        <v>2018</v>
      </c>
      <c r="U20" s="1">
        <v>1</v>
      </c>
    </row>
    <row r="21" spans="1:21">
      <c r="A21" t="s">
        <v>323</v>
      </c>
      <c r="B21">
        <v>0</v>
      </c>
      <c r="C21">
        <v>1800</v>
      </c>
      <c r="D21">
        <v>40</v>
      </c>
      <c r="E21">
        <v>4.2000000000000003E-2</v>
      </c>
      <c r="F21">
        <f t="shared" si="14"/>
        <v>5.2036987638282725E-2</v>
      </c>
      <c r="G21">
        <f t="shared" si="15"/>
        <v>0</v>
      </c>
      <c r="H21">
        <f t="shared" si="16"/>
        <v>93.666577748908907</v>
      </c>
      <c r="I21">
        <v>0</v>
      </c>
      <c r="J21">
        <v>15.9</v>
      </c>
      <c r="K21">
        <v>1.0000000000000001E-5</v>
      </c>
      <c r="L21">
        <v>0</v>
      </c>
      <c r="M21">
        <v>1</v>
      </c>
      <c r="N21">
        <v>1</v>
      </c>
      <c r="O21">
        <v>0</v>
      </c>
      <c r="P21">
        <f>SQRT(0.8)</f>
        <v>0.89442719099991586</v>
      </c>
      <c r="Q21">
        <f>SQRT(0.8)</f>
        <v>0.89442719099991586</v>
      </c>
      <c r="R21">
        <v>0</v>
      </c>
      <c r="S21" t="s">
        <v>309</v>
      </c>
      <c r="T21">
        <v>2018</v>
      </c>
      <c r="U21" s="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1"/>
  <sheetViews>
    <sheetView tabSelected="1" workbookViewId="0">
      <selection activeCell="D18" sqref="D18"/>
    </sheetView>
  </sheetViews>
  <sheetFormatPr baseColWidth="10" defaultRowHeight="16"/>
  <cols>
    <col min="1" max="1" width="11.6640625" bestFit="1" customWidth="1"/>
    <col min="2" max="2" width="17.33203125" bestFit="1" customWidth="1"/>
    <col min="3" max="3" width="17" bestFit="1" customWidth="1"/>
    <col min="4" max="4" width="8" bestFit="1" customWidth="1"/>
    <col min="5" max="5" width="8" customWidth="1"/>
    <col min="6" max="6" width="12.1640625" bestFit="1" customWidth="1"/>
    <col min="7" max="7" width="19.83203125" bestFit="1" customWidth="1"/>
    <col min="8" max="8" width="21" bestFit="1" customWidth="1"/>
    <col min="9" max="9" width="11.6640625" bestFit="1" customWidth="1"/>
    <col min="10" max="10" width="10.83203125" bestFit="1" customWidth="1"/>
    <col min="11" max="11" width="12.1640625" bestFit="1" customWidth="1"/>
    <col min="12" max="12" width="13.33203125" bestFit="1" customWidth="1"/>
    <col min="13" max="13" width="12.33203125" bestFit="1" customWidth="1"/>
    <col min="14" max="14" width="14.83203125" bestFit="1" customWidth="1"/>
    <col min="15" max="15" width="18.6640625" bestFit="1" customWidth="1"/>
    <col min="16" max="16" width="15.5" bestFit="1" customWidth="1"/>
    <col min="17" max="17" width="18" bestFit="1" customWidth="1"/>
    <col min="18" max="18" width="20.1640625" bestFit="1" customWidth="1"/>
    <col min="19" max="19" width="34" bestFit="1" customWidth="1"/>
    <col min="20" max="20" width="9.5" bestFit="1" customWidth="1"/>
  </cols>
  <sheetData>
    <row r="1" spans="1:21">
      <c r="A1" t="str">
        <f>Storage_variable_rawUSD!A1</f>
        <v>Technology</v>
      </c>
      <c r="B1" t="str">
        <f>Storage_variable_rawUSD!B1</f>
        <v>cost_capex_E</v>
      </c>
      <c r="C1" t="str">
        <f>Storage_variable_rawUSD!C1</f>
        <v>cost_capex_P</v>
      </c>
      <c r="D1" t="str">
        <f>Storage_variable_rawUSD!D1</f>
        <v>lifetime</v>
      </c>
      <c r="E1" t="s">
        <v>32</v>
      </c>
      <c r="F1" t="str">
        <f>Storage_variable_rawUSD!F1</f>
        <v>CRF</v>
      </c>
      <c r="G1" t="str">
        <f>Storage_variable_rawUSD!G1</f>
        <v>cost_annual_E</v>
      </c>
      <c r="H1" t="str">
        <f>Storage_variable_rawUSD!H1</f>
        <v>cost_annual_P</v>
      </c>
      <c r="I1" t="str">
        <f>Storage_variable_rawUSD!I1</f>
        <v>cost_fom_E</v>
      </c>
      <c r="J1" t="str">
        <f>Storage_variable_rawUSD!J1</f>
        <v>cost_fom_P</v>
      </c>
      <c r="K1" t="str">
        <f>Storage_variable_rawUSD!K1</f>
        <v>cost_vom</v>
      </c>
      <c r="L1" t="str">
        <f>Storage_variable_rawUSD!L1</f>
        <v>heatrate</v>
      </c>
      <c r="M1" t="str">
        <f>Storage_variable_rawUSD!M1</f>
        <v>ramp_up</v>
      </c>
      <c r="N1" t="str">
        <f>Storage_variable_rawUSD!N1</f>
        <v>ramp_down</v>
      </c>
      <c r="O1" t="str">
        <f>Storage_variable_rawUSD!O1</f>
        <v>gen_min</v>
      </c>
      <c r="P1" t="str">
        <f>Storage_variable_rawUSD!P1</f>
        <v>efficiency_charge</v>
      </c>
      <c r="Q1" t="str">
        <f>Storage_variable_rawUSD!Q1</f>
        <v>efficiency_discharge</v>
      </c>
      <c r="R1" t="str">
        <f>Storage_variable_rawUSD!R1</f>
        <v>leakage_rate</v>
      </c>
      <c r="S1" t="str">
        <f>Storage_variable_rawUSD!S1</f>
        <v>Source</v>
      </c>
      <c r="T1" t="s">
        <v>121</v>
      </c>
      <c r="U1" t="str">
        <f>Storage_variable_rawUSD!U1</f>
        <v>reserves</v>
      </c>
    </row>
    <row r="2" spans="1:21">
      <c r="A2" t="str">
        <f>Storage_variable_rawUSD!A2</f>
        <v>Technology</v>
      </c>
      <c r="B2" t="str">
        <f>Storage_variable_rawUSD!B2</f>
        <v>Capex cost (energy)</v>
      </c>
      <c r="C2" t="str">
        <f>Storage_variable_rawUSD!C2</f>
        <v>Capex cost (power)</v>
      </c>
      <c r="D2" t="str">
        <f>Storage_variable_rawUSD!D2</f>
        <v>Lifetime</v>
      </c>
      <c r="E2" t="s">
        <v>301</v>
      </c>
      <c r="F2" t="str">
        <f>Storage_variable_rawUSD!F2</f>
        <v>CRF</v>
      </c>
      <c r="G2" t="str">
        <f>Storage_variable_rawUSD!G2</f>
        <v>Annuitized energy cost</v>
      </c>
      <c r="H2" t="str">
        <f>Storage_variable_rawUSD!H2</f>
        <v>Annuitized capacity cost</v>
      </c>
      <c r="I2" t="str">
        <f>Storage_variable_rawUSD!I2</f>
        <v>FOM_E</v>
      </c>
      <c r="J2" t="str">
        <f>Storage_variable_rawUSD!J2</f>
        <v>FOM_P</v>
      </c>
      <c r="K2" t="str">
        <f>Storage_variable_rawUSD!K2</f>
        <v>VOM</v>
      </c>
      <c r="L2" t="str">
        <f>Storage_variable_rawUSD!L2</f>
        <v>Heat rate</v>
      </c>
      <c r="M2" t="str">
        <f>Storage_variable_rawUSD!M2</f>
        <v>Ramp rate up</v>
      </c>
      <c r="N2" t="str">
        <f>Storage_variable_rawUSD!N2</f>
        <v>Ramp rate down</v>
      </c>
      <c r="O2" t="str">
        <f>Storage_variable_rawUSD!O2</f>
        <v>Minimum generation</v>
      </c>
      <c r="P2" t="str">
        <f>Storage_variable_rawUSD!P2</f>
        <v>Charge efficiency</v>
      </c>
      <c r="Q2" t="str">
        <f>Storage_variable_rawUSD!Q2</f>
        <v>Discharge efficiency</v>
      </c>
      <c r="R2" t="str">
        <f>Storage_variable_rawUSD!R2</f>
        <v>Self discharge per hour</v>
      </c>
      <c r="U2" t="str">
        <f>Storage_variable_rawUSD!U2</f>
        <v>Provides reserves</v>
      </c>
    </row>
    <row r="3" spans="1:21">
      <c r="A3">
        <f>Storage_variable_rawUSD!A3</f>
        <v>0</v>
      </c>
      <c r="B3" t="str">
        <f>Storage_variable_rawUSD!B3</f>
        <v>[M$/GWh]</v>
      </c>
      <c r="C3" t="str">
        <f>Storage_variable_rawUSD!C3</f>
        <v>[M$/GW]</v>
      </c>
      <c r="D3" t="str">
        <f>Storage_variable_rawUSD!D3</f>
        <v>[years]</v>
      </c>
      <c r="E3" t="s">
        <v>5</v>
      </c>
      <c r="F3" t="str">
        <f>Storage_variable_rawUSD!F3</f>
        <v>[percent]</v>
      </c>
      <c r="G3" t="str">
        <f>Storage_variable_rawUSD!G3</f>
        <v>[M$/GWh-yr]</v>
      </c>
      <c r="H3" t="str">
        <f>Storage_variable_rawUSD!H3</f>
        <v>[M$/GW-yr]</v>
      </c>
      <c r="I3" t="str">
        <f>Storage_variable_rawUSD!I3</f>
        <v>[M$/GWhyr]</v>
      </c>
      <c r="J3" t="str">
        <f>Storage_variable_rawUSD!J3</f>
        <v>[M$/GWyr]</v>
      </c>
      <c r="K3" t="str">
        <f>Storage_variable_rawUSD!K3</f>
        <v>[M$/GWh]</v>
      </c>
      <c r="L3" t="str">
        <f>Storage_variable_rawUSD!L3</f>
        <v>[GMBtu/GWh]</v>
      </c>
      <c r="M3" t="str">
        <f>Storage_variable_rawUSD!M3</f>
        <v>[fraction]</v>
      </c>
      <c r="N3" t="str">
        <f>Storage_variable_rawUSD!N3</f>
        <v>[fraction]</v>
      </c>
      <c r="O3" t="str">
        <f>Storage_variable_rawUSD!O3</f>
        <v>[fraction]</v>
      </c>
      <c r="P3" t="str">
        <f>Storage_variable_rawUSD!P3</f>
        <v>[fraction]</v>
      </c>
      <c r="Q3" t="str">
        <f>Storage_variable_rawUSD!Q3</f>
        <v>[fraction]</v>
      </c>
      <c r="R3" t="str">
        <f>Storage_variable_rawUSD!R3</f>
        <v>[fraction]</v>
      </c>
      <c r="U3" t="str">
        <f>Storage_variable_rawUSD!U3</f>
        <v>[boolean]</v>
      </c>
    </row>
    <row r="4" spans="1:21">
      <c r="A4" t="str">
        <f>Storage_variable_rawUSD!A4</f>
        <v>Li_2018</v>
      </c>
      <c r="B4">
        <f>Storage_variable_rawUSD!B4*inflator_2018</f>
        <v>299.68037529817951</v>
      </c>
      <c r="C4">
        <f>Storage_variable_rawUSD!C4*inflator_2018</f>
        <v>286.99032683278426</v>
      </c>
      <c r="D4">
        <f>Storage_variable_rawUSD!D4</f>
        <v>15</v>
      </c>
      <c r="E4">
        <f>Storage_variable_rawUSD!E4</f>
        <v>4.2000000000000003E-2</v>
      </c>
      <c r="F4">
        <f>((E4*(1+E4)^D4)/((1+E4)^D4-1))</f>
        <v>9.1203432087674882E-2</v>
      </c>
      <c r="G4">
        <f>B4*F4</f>
        <v>27.331878756516435</v>
      </c>
      <c r="H4">
        <f>C4*F4</f>
        <v>26.174502783113457</v>
      </c>
      <c r="I4">
        <f>Storage_variable_rawUSD!I4*inflator_2018</f>
        <v>7.3211818069587826</v>
      </c>
      <c r="J4">
        <f>Storage_variable_rawUSD!J4*inflator_2018</f>
        <v>5.8569454455670265</v>
      </c>
      <c r="K4">
        <f>Storage_variable_rawUSD!K4*inflator_2018</f>
        <v>9.7615757426117113E-6</v>
      </c>
      <c r="L4">
        <f>Storage_variable_rawUSD!L4</f>
        <v>0</v>
      </c>
      <c r="M4">
        <f>Storage_variable_rawUSD!M4</f>
        <v>1</v>
      </c>
      <c r="N4">
        <f>Storage_variable_rawUSD!N4</f>
        <v>1</v>
      </c>
      <c r="O4">
        <f>Storage_variable_rawUSD!O4</f>
        <v>0</v>
      </c>
      <c r="P4">
        <f>Storage_variable_rawUSD!P4</f>
        <v>0.92195444572928875</v>
      </c>
      <c r="Q4">
        <f>Storage_variable_rawUSD!Q4</f>
        <v>0.92195444572928875</v>
      </c>
      <c r="R4">
        <f>Storage_variable_rawUSD!R4</f>
        <v>4.1686600000000002E-5</v>
      </c>
      <c r="S4" t="str">
        <f>Storage_variable_rawUSD!S4</f>
        <v>Fu 2018, Denholm 2017, Cole2019 ratio</v>
      </c>
      <c r="T4">
        <v>2017</v>
      </c>
      <c r="U4">
        <f>Storage_variable_rawUSD!U4</f>
        <v>1</v>
      </c>
    </row>
    <row r="5" spans="1:21">
      <c r="A5" t="str">
        <f>Storage_variable_rawUSD!A5</f>
        <v>Li_2020_mid</v>
      </c>
      <c r="B5">
        <f>Storage_variable_rawUSD!B5*inflator_2018</f>
        <v>260.72192650941616</v>
      </c>
      <c r="C5">
        <f>Storage_variable_rawUSD!C5*inflator_2018</f>
        <v>249.68158434452232</v>
      </c>
      <c r="D5">
        <f>Storage_variable_rawUSD!D5</f>
        <v>15</v>
      </c>
      <c r="E5">
        <f>Storage_variable_rawUSD!E5</f>
        <v>4.2000000000000003E-2</v>
      </c>
      <c r="F5">
        <f t="shared" ref="F5:F17" si="0">((E5*(1+E5)^D5)/((1+E5)^D5-1))</f>
        <v>9.1203432087674882E-2</v>
      </c>
      <c r="G5">
        <f t="shared" ref="G5:G14" si="1">B5*F5</f>
        <v>23.778734518169298</v>
      </c>
      <c r="H5">
        <f t="shared" ref="H5:H14" si="2">C5*F5</f>
        <v>22.771817421308711</v>
      </c>
      <c r="I5">
        <f>I$4/B$4*B5</f>
        <v>6.3694281720541408</v>
      </c>
      <c r="J5">
        <f>J$4/C$4*C5</f>
        <v>5.095542537643313</v>
      </c>
      <c r="K5">
        <f>Storage_variable_rawUSD!K5*inflator_2018</f>
        <v>9.7615757426117113E-6</v>
      </c>
      <c r="L5">
        <f>Storage_variable_rawUSD!L5</f>
        <v>0</v>
      </c>
      <c r="M5">
        <f>Storage_variable_rawUSD!M5</f>
        <v>1</v>
      </c>
      <c r="N5">
        <f>Storage_variable_rawUSD!N5</f>
        <v>1</v>
      </c>
      <c r="O5">
        <f>Storage_variable_rawUSD!O5</f>
        <v>0</v>
      </c>
      <c r="P5">
        <f>Storage_variable_rawUSD!P5</f>
        <v>0.92195444572928875</v>
      </c>
      <c r="Q5">
        <f>Storage_variable_rawUSD!Q5</f>
        <v>0.92195444572928875</v>
      </c>
      <c r="R5">
        <f>Storage_variable_rawUSD!R5</f>
        <v>4.1686600000000002E-5</v>
      </c>
      <c r="S5" t="str">
        <f>Storage_variable_rawUSD!S5</f>
        <v>Fu 2018, Denholm 2017, Cole2019 ratio</v>
      </c>
      <c r="T5">
        <v>2017</v>
      </c>
      <c r="U5">
        <f>Storage_variable_rawUSD!U5</f>
        <v>1</v>
      </c>
    </row>
    <row r="6" spans="1:21">
      <c r="A6" t="str">
        <f>Storage_variable_rawUSD!A6</f>
        <v>Li_2025_mid</v>
      </c>
      <c r="B6">
        <f>Storage_variable_rawUSD!B6*inflator_2018</f>
        <v>194.79224394381669</v>
      </c>
      <c r="C6">
        <f>Storage_variable_rawUSD!C6*inflator_2018</f>
        <v>186.54371244130976</v>
      </c>
      <c r="D6">
        <f>Storage_variable_rawUSD!D6</f>
        <v>15</v>
      </c>
      <c r="E6">
        <f>Storage_variable_rawUSD!E6</f>
        <v>4.2000000000000003E-2</v>
      </c>
      <c r="F6">
        <f t="shared" si="0"/>
        <v>9.1203432087674882E-2</v>
      </c>
      <c r="G6">
        <f t="shared" si="1"/>
        <v>17.765721191735683</v>
      </c>
      <c r="H6">
        <f t="shared" si="2"/>
        <v>17.013426809023748</v>
      </c>
      <c r="I6">
        <f t="shared" ref="I6:I14" si="3">I$4/B$4*B6</f>
        <v>4.7587681745232091</v>
      </c>
      <c r="J6">
        <f t="shared" ref="J6:J14" si="4">J$4/C$4*C6</f>
        <v>3.8070145396185668</v>
      </c>
      <c r="K6">
        <f>Storage_variable_rawUSD!K6*inflator_2018</f>
        <v>9.7615757426117113E-6</v>
      </c>
      <c r="L6">
        <f>Storage_variable_rawUSD!L6</f>
        <v>0</v>
      </c>
      <c r="M6">
        <f>Storage_variable_rawUSD!M6</f>
        <v>1</v>
      </c>
      <c r="N6">
        <f>Storage_variable_rawUSD!N6</f>
        <v>1</v>
      </c>
      <c r="O6">
        <f>Storage_variable_rawUSD!O6</f>
        <v>0</v>
      </c>
      <c r="P6">
        <f>Storage_variable_rawUSD!P6</f>
        <v>0.92195444572928875</v>
      </c>
      <c r="Q6">
        <f>Storage_variable_rawUSD!Q6</f>
        <v>0.92195444572928875</v>
      </c>
      <c r="R6">
        <f>Storage_variable_rawUSD!R6</f>
        <v>4.1686600000000002E-5</v>
      </c>
      <c r="S6" t="str">
        <f>Storage_variable_rawUSD!S6</f>
        <v>Fu 2018, Denholm 2017, Cole2019 ratio</v>
      </c>
      <c r="T6">
        <v>2017</v>
      </c>
      <c r="U6">
        <f>Storage_variable_rawUSD!U6</f>
        <v>1</v>
      </c>
    </row>
    <row r="7" spans="1:21">
      <c r="A7" t="str">
        <f>Storage_variable_rawUSD!A7</f>
        <v>Li_2030_mid</v>
      </c>
      <c r="B7">
        <f>Storage_variable_rawUSD!B7*inflator_2018</f>
        <v>164.82420641399875</v>
      </c>
      <c r="C7">
        <f>Storage_variable_rawUSD!C7*inflator_2018</f>
        <v>157.84467975803136</v>
      </c>
      <c r="D7">
        <f>Storage_variable_rawUSD!D7</f>
        <v>15</v>
      </c>
      <c r="E7">
        <f>Storage_variable_rawUSD!E7</f>
        <v>4.2000000000000003E-2</v>
      </c>
      <c r="F7">
        <f t="shared" si="0"/>
        <v>9.1203432087674882E-2</v>
      </c>
      <c r="G7">
        <f t="shared" si="1"/>
        <v>15.032533316084042</v>
      </c>
      <c r="H7">
        <f t="shared" si="2"/>
        <v>14.395976530712403</v>
      </c>
      <c r="I7">
        <f t="shared" si="3"/>
        <v>4.0266499938273315</v>
      </c>
      <c r="J7">
        <f t="shared" si="4"/>
        <v>3.2213199950618647</v>
      </c>
      <c r="K7">
        <f>Storage_variable_rawUSD!K7*inflator_2018</f>
        <v>9.7615757426117113E-6</v>
      </c>
      <c r="L7">
        <f>Storage_variable_rawUSD!L7</f>
        <v>0</v>
      </c>
      <c r="M7">
        <f>Storage_variable_rawUSD!M7</f>
        <v>1</v>
      </c>
      <c r="N7">
        <f>Storage_variable_rawUSD!N7</f>
        <v>1</v>
      </c>
      <c r="O7">
        <f>Storage_variable_rawUSD!O7</f>
        <v>0</v>
      </c>
      <c r="P7">
        <f>Storage_variable_rawUSD!P7</f>
        <v>0.92195444572928875</v>
      </c>
      <c r="Q7">
        <f>Storage_variable_rawUSD!Q7</f>
        <v>0.92195444572928875</v>
      </c>
      <c r="R7">
        <f>Storage_variable_rawUSD!R7</f>
        <v>4.1686600000000002E-5</v>
      </c>
      <c r="S7" t="str">
        <f>Storage_variable_rawUSD!S7</f>
        <v>Fu 2018, Denholm 2017, Cole2019 ratio</v>
      </c>
      <c r="T7">
        <v>2017</v>
      </c>
      <c r="U7">
        <f>Storage_variable_rawUSD!U7</f>
        <v>1</v>
      </c>
    </row>
    <row r="8" spans="1:21">
      <c r="A8" t="str">
        <f>Storage_variable_rawUSD!A8</f>
        <v>Li_2040_mid</v>
      </c>
      <c r="B8">
        <f>Storage_variable_rawUSD!B8*inflator_2018</f>
        <v>143.84658014312615</v>
      </c>
      <c r="C8">
        <f>Storage_variable_rawUSD!C8*inflator_2018</f>
        <v>137.75535687973647</v>
      </c>
      <c r="D8">
        <f>Storage_variable_rawUSD!D8</f>
        <v>15</v>
      </c>
      <c r="E8">
        <f>Storage_variable_rawUSD!E8</f>
        <v>4.2000000000000003E-2</v>
      </c>
      <c r="F8">
        <f t="shared" si="0"/>
        <v>9.1203432087674882E-2</v>
      </c>
      <c r="G8">
        <f t="shared" si="1"/>
        <v>13.119301803127888</v>
      </c>
      <c r="H8">
        <f t="shared" si="2"/>
        <v>12.563761335894462</v>
      </c>
      <c r="I8">
        <f t="shared" si="3"/>
        <v>3.5141672673402153</v>
      </c>
      <c r="J8">
        <f t="shared" si="4"/>
        <v>2.8113338138721731</v>
      </c>
      <c r="K8">
        <f>Storage_variable_rawUSD!K8*inflator_2018</f>
        <v>9.7615757426117113E-6</v>
      </c>
      <c r="L8">
        <f>Storage_variable_rawUSD!L8</f>
        <v>0</v>
      </c>
      <c r="M8">
        <f>Storage_variable_rawUSD!M8</f>
        <v>1</v>
      </c>
      <c r="N8">
        <f>Storage_variable_rawUSD!N8</f>
        <v>1</v>
      </c>
      <c r="O8">
        <f>Storage_variable_rawUSD!O8</f>
        <v>0</v>
      </c>
      <c r="P8">
        <f>Storage_variable_rawUSD!P8</f>
        <v>0.92195444572928875</v>
      </c>
      <c r="Q8">
        <f>Storage_variable_rawUSD!Q8</f>
        <v>0.92195444572928875</v>
      </c>
      <c r="R8">
        <f>Storage_variable_rawUSD!R8</f>
        <v>4.1686600000000002E-5</v>
      </c>
      <c r="S8" t="str">
        <f>Storage_variable_rawUSD!S8</f>
        <v>Fu 2018, Denholm 2017, Cole2019 ratio</v>
      </c>
      <c r="T8">
        <v>2017</v>
      </c>
      <c r="U8">
        <f>Storage_variable_rawUSD!U8</f>
        <v>1</v>
      </c>
    </row>
    <row r="9" spans="1:21">
      <c r="A9" t="str">
        <f>Storage_variable_rawUSD!A9</f>
        <v>Li_2050_mid</v>
      </c>
      <c r="B9">
        <f>Storage_variable_rawUSD!B9*inflator_2018</f>
        <v>122.86895387225358</v>
      </c>
      <c r="C9">
        <f>Storage_variable_rawUSD!C9*inflator_2018</f>
        <v>117.66603400144155</v>
      </c>
      <c r="D9">
        <f>Storage_variable_rawUSD!D9</f>
        <v>15</v>
      </c>
      <c r="E9">
        <f>Storage_variable_rawUSD!E9</f>
        <v>4.2000000000000003E-2</v>
      </c>
      <c r="F9">
        <f t="shared" si="0"/>
        <v>9.1203432087674882E-2</v>
      </c>
      <c r="G9">
        <f t="shared" si="1"/>
        <v>11.206070290171738</v>
      </c>
      <c r="H9">
        <f t="shared" si="2"/>
        <v>10.731546141076517</v>
      </c>
      <c r="I9">
        <f t="shared" si="3"/>
        <v>3.0016845408531005</v>
      </c>
      <c r="J9">
        <f t="shared" si="4"/>
        <v>2.4013476326824805</v>
      </c>
      <c r="K9">
        <f>Storage_variable_rawUSD!K9*inflator_2018</f>
        <v>9.7615757426117113E-6</v>
      </c>
      <c r="L9">
        <f>Storage_variable_rawUSD!L9</f>
        <v>0</v>
      </c>
      <c r="M9">
        <f>Storage_variable_rawUSD!M9</f>
        <v>1</v>
      </c>
      <c r="N9">
        <f>Storage_variable_rawUSD!N9</f>
        <v>1</v>
      </c>
      <c r="O9">
        <f>Storage_variable_rawUSD!O9</f>
        <v>0</v>
      </c>
      <c r="P9">
        <f>Storage_variable_rawUSD!P9</f>
        <v>0.92195444572928875</v>
      </c>
      <c r="Q9">
        <f>Storage_variable_rawUSD!Q9</f>
        <v>0.92195444572928875</v>
      </c>
      <c r="R9">
        <f>Storage_variable_rawUSD!R9</f>
        <v>4.1686600000000002E-5</v>
      </c>
      <c r="S9" t="str">
        <f>Storage_variable_rawUSD!S9</f>
        <v>Fu 2018, Denholm 2017, Cole2019 ratio</v>
      </c>
      <c r="T9">
        <v>2017</v>
      </c>
      <c r="U9">
        <f>Storage_variable_rawUSD!U9</f>
        <v>1</v>
      </c>
    </row>
    <row r="10" spans="1:21">
      <c r="A10" t="str">
        <f>Storage_variable_rawUSD!A10</f>
        <v>Li_2020_low</v>
      </c>
      <c r="B10">
        <f>Storage_variable_rawUSD!B10*inflator_2018</f>
        <v>233.75069273258001</v>
      </c>
      <c r="C10">
        <f>Storage_variable_rawUSD!C10*inflator_2018</f>
        <v>223.85245492957176</v>
      </c>
      <c r="D10">
        <f>Storage_variable_rawUSD!D10</f>
        <v>15</v>
      </c>
      <c r="E10">
        <f>Storage_variable_rawUSD!E10</f>
        <v>4.2000000000000003E-2</v>
      </c>
      <c r="F10">
        <f t="shared" si="0"/>
        <v>9.1203432087674882E-2</v>
      </c>
      <c r="G10">
        <f t="shared" si="1"/>
        <v>21.31886543008282</v>
      </c>
      <c r="H10">
        <f t="shared" si="2"/>
        <v>20.416112170828502</v>
      </c>
      <c r="I10">
        <f t="shared" si="3"/>
        <v>5.71052180942785</v>
      </c>
      <c r="J10">
        <f t="shared" si="4"/>
        <v>4.5684174475422816</v>
      </c>
      <c r="K10">
        <f>Storage_variable_rawUSD!K10*inflator_2018</f>
        <v>9.7615757426117113E-6</v>
      </c>
      <c r="L10">
        <f>Storage_variable_rawUSD!L10</f>
        <v>0</v>
      </c>
      <c r="M10">
        <f>Storage_variable_rawUSD!M10</f>
        <v>1</v>
      </c>
      <c r="N10">
        <f>Storage_variable_rawUSD!N10</f>
        <v>1</v>
      </c>
      <c r="O10">
        <f>Storage_variable_rawUSD!O10</f>
        <v>0</v>
      </c>
      <c r="P10">
        <f>Storage_variable_rawUSD!P10</f>
        <v>0.92195444572928875</v>
      </c>
      <c r="Q10">
        <f>Storage_variable_rawUSD!Q10</f>
        <v>0.92195444572928875</v>
      </c>
      <c r="R10">
        <f>Storage_variable_rawUSD!R10</f>
        <v>4.1686600000000002E-5</v>
      </c>
      <c r="S10" t="str">
        <f>Storage_variable_rawUSD!S10</f>
        <v>Fu 2018, Denholm 2017, Cole2019 ratio</v>
      </c>
      <c r="T10">
        <v>2017</v>
      </c>
      <c r="U10">
        <f>Storage_variable_rawUSD!U10</f>
        <v>1</v>
      </c>
    </row>
    <row r="11" spans="1:21">
      <c r="A11" t="str">
        <f>Storage_variable_rawUSD!A11</f>
        <v>Li_2025_low</v>
      </c>
      <c r="B11">
        <f>Storage_variable_rawUSD!B11*inflator_2018</f>
        <v>143.84658014312615</v>
      </c>
      <c r="C11">
        <f>Storage_variable_rawUSD!C11*inflator_2018</f>
        <v>137.75535687973647</v>
      </c>
      <c r="D11">
        <f>Storage_variable_rawUSD!D11</f>
        <v>15</v>
      </c>
      <c r="E11">
        <f>Storage_variable_rawUSD!E11</f>
        <v>4.2000000000000003E-2</v>
      </c>
      <c r="F11">
        <f t="shared" si="0"/>
        <v>9.1203432087674882E-2</v>
      </c>
      <c r="G11">
        <f t="shared" si="1"/>
        <v>13.119301803127888</v>
      </c>
      <c r="H11">
        <f t="shared" si="2"/>
        <v>12.563761335894462</v>
      </c>
      <c r="I11">
        <f t="shared" si="3"/>
        <v>3.5141672673402153</v>
      </c>
      <c r="J11">
        <f t="shared" si="4"/>
        <v>2.8113338138721731</v>
      </c>
      <c r="K11">
        <f>Storage_variable_rawUSD!K11*inflator_2018</f>
        <v>9.7615757426117113E-6</v>
      </c>
      <c r="L11">
        <f>Storage_variable_rawUSD!L11</f>
        <v>0</v>
      </c>
      <c r="M11">
        <f>Storage_variable_rawUSD!M11</f>
        <v>1</v>
      </c>
      <c r="N11">
        <f>Storage_variable_rawUSD!N11</f>
        <v>1</v>
      </c>
      <c r="O11">
        <f>Storage_variable_rawUSD!O11</f>
        <v>0</v>
      </c>
      <c r="P11">
        <f>Storage_variable_rawUSD!P11</f>
        <v>0.92195444572928875</v>
      </c>
      <c r="Q11">
        <f>Storage_variable_rawUSD!Q11</f>
        <v>0.92195444572928875</v>
      </c>
      <c r="R11">
        <f>Storage_variable_rawUSD!R11</f>
        <v>4.1686600000000002E-5</v>
      </c>
      <c r="S11" t="str">
        <f>Storage_variable_rawUSD!S11</f>
        <v>Fu 2018, Denholm 2017, Cole2019 ratio</v>
      </c>
      <c r="T11">
        <v>2017</v>
      </c>
      <c r="U11">
        <f>Storage_variable_rawUSD!U11</f>
        <v>1</v>
      </c>
    </row>
    <row r="12" spans="1:21">
      <c r="A12" t="str">
        <f>Storage_variable_rawUSD!A12</f>
        <v>Li_2030_low</v>
      </c>
      <c r="B12">
        <f>Storage_variable_rawUSD!B12*inflator_2018</f>
        <v>98.894523848399231</v>
      </c>
      <c r="C12">
        <f>Storage_variable_rawUSD!C12*inflator_2018</f>
        <v>94.70680785481882</v>
      </c>
      <c r="D12">
        <f>Storage_variable_rawUSD!D12</f>
        <v>15</v>
      </c>
      <c r="E12">
        <f>Storage_variable_rawUSD!E12</f>
        <v>4.2000000000000003E-2</v>
      </c>
      <c r="F12">
        <f t="shared" si="0"/>
        <v>9.1203432087674882E-2</v>
      </c>
      <c r="G12">
        <f t="shared" si="1"/>
        <v>9.0195199896504228</v>
      </c>
      <c r="H12">
        <f t="shared" si="2"/>
        <v>8.6375859184274422</v>
      </c>
      <c r="I12">
        <f t="shared" si="3"/>
        <v>2.415989996296398</v>
      </c>
      <c r="J12">
        <f t="shared" si="4"/>
        <v>1.932791997037119</v>
      </c>
      <c r="K12">
        <f>Storage_variable_rawUSD!K12*inflator_2018</f>
        <v>9.7615757426117113E-6</v>
      </c>
      <c r="L12">
        <f>Storage_variable_rawUSD!L12</f>
        <v>0</v>
      </c>
      <c r="M12">
        <f>Storage_variable_rawUSD!M12</f>
        <v>1</v>
      </c>
      <c r="N12">
        <f>Storage_variable_rawUSD!N12</f>
        <v>1</v>
      </c>
      <c r="O12">
        <f>Storage_variable_rawUSD!O12</f>
        <v>0</v>
      </c>
      <c r="P12">
        <f>Storage_variable_rawUSD!P12</f>
        <v>0.92195444572928875</v>
      </c>
      <c r="Q12">
        <f>Storage_variable_rawUSD!Q12</f>
        <v>0.92195444572928875</v>
      </c>
      <c r="R12">
        <f>Storage_variable_rawUSD!R12</f>
        <v>4.1686600000000002E-5</v>
      </c>
      <c r="S12" t="str">
        <f>Storage_variable_rawUSD!S12</f>
        <v>Fu 2018, Denholm 2017, Cole2019 ratio</v>
      </c>
      <c r="T12">
        <v>2017</v>
      </c>
      <c r="U12">
        <f>Storage_variable_rawUSD!U12</f>
        <v>1</v>
      </c>
    </row>
    <row r="13" spans="1:21">
      <c r="A13" t="str">
        <f>Storage_variable_rawUSD!A13</f>
        <v>Li_2040_low</v>
      </c>
      <c r="B13">
        <f>Storage_variable_rawUSD!B13*inflator_2018</f>
        <v>77.916897577526683</v>
      </c>
      <c r="C13">
        <f>Storage_variable_rawUSD!C13*inflator_2018</f>
        <v>74.617484976523912</v>
      </c>
      <c r="D13">
        <f>Storage_variable_rawUSD!D13</f>
        <v>15</v>
      </c>
      <c r="E13">
        <f>Storage_variable_rawUSD!E13</f>
        <v>4.2000000000000003E-2</v>
      </c>
      <c r="F13">
        <f t="shared" si="0"/>
        <v>9.1203432087674882E-2</v>
      </c>
      <c r="G13">
        <f t="shared" si="1"/>
        <v>7.1062884766942744</v>
      </c>
      <c r="H13">
        <f t="shared" si="2"/>
        <v>6.8053707236094994</v>
      </c>
      <c r="I13">
        <f t="shared" si="3"/>
        <v>1.9035072698092839</v>
      </c>
      <c r="J13">
        <f t="shared" si="4"/>
        <v>1.5228058158474269</v>
      </c>
      <c r="K13">
        <f>Storage_variable_rawUSD!K13*inflator_2018</f>
        <v>9.7615757426117113E-6</v>
      </c>
      <c r="L13">
        <f>Storage_variable_rawUSD!L13</f>
        <v>0</v>
      </c>
      <c r="M13">
        <f>Storage_variable_rawUSD!M13</f>
        <v>1</v>
      </c>
      <c r="N13">
        <f>Storage_variable_rawUSD!N13</f>
        <v>1</v>
      </c>
      <c r="O13">
        <f>Storage_variable_rawUSD!O13</f>
        <v>0</v>
      </c>
      <c r="P13">
        <f>Storage_variable_rawUSD!P13</f>
        <v>0.92195444572928875</v>
      </c>
      <c r="Q13">
        <f>Storage_variable_rawUSD!Q13</f>
        <v>0.92195444572928875</v>
      </c>
      <c r="R13">
        <f>Storage_variable_rawUSD!R13</f>
        <v>4.1686600000000002E-5</v>
      </c>
      <c r="S13" t="str">
        <f>Storage_variable_rawUSD!S13</f>
        <v>Fu 2018, Denholm 2017, Cole2019 ratio</v>
      </c>
      <c r="T13">
        <v>2017</v>
      </c>
      <c r="U13">
        <f>Storage_variable_rawUSD!U13</f>
        <v>1</v>
      </c>
    </row>
    <row r="14" spans="1:21">
      <c r="A14" t="str">
        <f>Storage_variable_rawUSD!A14</f>
        <v>Li_2050_low</v>
      </c>
      <c r="B14">
        <f>Storage_variable_rawUSD!B14*inflator_2018</f>
        <v>59.936075059635904</v>
      </c>
      <c r="C14">
        <f>Storage_variable_rawUSD!C14*inflator_2018</f>
        <v>57.398065366556857</v>
      </c>
      <c r="D14">
        <f>Storage_variable_rawUSD!D14</f>
        <v>15</v>
      </c>
      <c r="E14">
        <f>Storage_variable_rawUSD!E14</f>
        <v>4.2000000000000003E-2</v>
      </c>
      <c r="F14">
        <f t="shared" si="0"/>
        <v>9.1203432087674882E-2</v>
      </c>
      <c r="G14">
        <f t="shared" si="1"/>
        <v>5.4663757513032873</v>
      </c>
      <c r="H14">
        <f t="shared" si="2"/>
        <v>5.2349005566226916</v>
      </c>
      <c r="I14">
        <f t="shared" si="3"/>
        <v>1.4642363613917566</v>
      </c>
      <c r="J14">
        <f t="shared" si="4"/>
        <v>1.1713890891134053</v>
      </c>
      <c r="K14">
        <f>Storage_variable_rawUSD!K14*inflator_2018</f>
        <v>9.7615757426117113E-6</v>
      </c>
      <c r="L14">
        <f>Storage_variable_rawUSD!L14</f>
        <v>0</v>
      </c>
      <c r="M14">
        <f>Storage_variable_rawUSD!M14</f>
        <v>1</v>
      </c>
      <c r="N14">
        <f>Storage_variable_rawUSD!N14</f>
        <v>1</v>
      </c>
      <c r="O14">
        <f>Storage_variable_rawUSD!O14</f>
        <v>0</v>
      </c>
      <c r="P14">
        <f>Storage_variable_rawUSD!P14</f>
        <v>0.92195444572928875</v>
      </c>
      <c r="Q14">
        <f>Storage_variable_rawUSD!Q14</f>
        <v>0.92195444572928875</v>
      </c>
      <c r="R14">
        <f>Storage_variable_rawUSD!R14</f>
        <v>4.1686600000000002E-5</v>
      </c>
      <c r="S14" t="str">
        <f>Storage_variable_rawUSD!S14</f>
        <v>Fu 2018, Denholm 2017, Cole2019 ratio</v>
      </c>
      <c r="T14">
        <v>2017</v>
      </c>
      <c r="U14">
        <f>Storage_variable_rawUSD!U14</f>
        <v>1</v>
      </c>
    </row>
    <row r="15" spans="1:21">
      <c r="A15" t="str">
        <f>Storage_variable_rawUSD!A15</f>
        <v>PHS</v>
      </c>
      <c r="B15">
        <f>Storage_variable_rawUSD!B15*inflator_2018</f>
        <v>51.248272648711477</v>
      </c>
      <c r="C15">
        <f>Storage_variable_rawUSD!C15*inflator_2018</f>
        <v>1757.0836336701077</v>
      </c>
      <c r="D15">
        <f>Storage_variable_rawUSD!D15</f>
        <v>40</v>
      </c>
      <c r="E15">
        <f>Storage_variable_rawUSD!E15</f>
        <v>4.2000000000000003E-2</v>
      </c>
      <c r="F15">
        <f t="shared" si="0"/>
        <v>5.2036987638282725E-2</v>
      </c>
      <c r="G15">
        <f t="shared" ref="G15" si="5">B15*F15</f>
        <v>2.666805730304342</v>
      </c>
      <c r="H15">
        <f t="shared" ref="H15" si="6">C15*F15</f>
        <v>91.433339324720293</v>
      </c>
      <c r="I15">
        <f>Storage_variable_rawUSD!I15*inflator_2018</f>
        <v>0</v>
      </c>
      <c r="J15">
        <f>Storage_variable_rawUSD!J15*inflator_2018</f>
        <v>15.520905430752618</v>
      </c>
      <c r="K15">
        <f>Storage_variable_rawUSD!K15*inflator_2018</f>
        <v>9.7615757426117113E-6</v>
      </c>
      <c r="L15">
        <f>Storage_variable_rawUSD!L15</f>
        <v>0</v>
      </c>
      <c r="M15">
        <f>Storage_variable_rawUSD!M15</f>
        <v>1</v>
      </c>
      <c r="N15">
        <f>Storage_variable_rawUSD!N15</f>
        <v>1</v>
      </c>
      <c r="O15">
        <f>Storage_variable_rawUSD!O15</f>
        <v>0</v>
      </c>
      <c r="P15">
        <f>Storage_variable_rawUSD!P15</f>
        <v>0.89442719099991586</v>
      </c>
      <c r="Q15">
        <f>Storage_variable_rawUSD!Q15</f>
        <v>0.89442719099991586</v>
      </c>
      <c r="R15">
        <f>Storage_variable_rawUSD!R15</f>
        <v>0</v>
      </c>
      <c r="S15" t="str">
        <f>Storage_variable_rawUSD!S15</f>
        <v>PNNL2019 disaggregated</v>
      </c>
      <c r="T15">
        <v>2017</v>
      </c>
      <c r="U15">
        <f>Storage_variable_rawUSD!U15</f>
        <v>1</v>
      </c>
    </row>
    <row r="16" spans="1:21">
      <c r="A16" t="str">
        <f>Storage_variable_rawUSD!A16</f>
        <v>PHS_low</v>
      </c>
      <c r="B16">
        <f>Storage_variable_rawUSD!B16*inflator_2018</f>
        <v>4.8807878713058548</v>
      </c>
      <c r="C16">
        <f>Storage_variable_rawUSD!C16*inflator_2018</f>
        <v>1757.0836336701077</v>
      </c>
      <c r="D16">
        <f>Storage_variable_rawUSD!D16</f>
        <v>40</v>
      </c>
      <c r="E16">
        <f>Storage_variable_rawUSD!E16</f>
        <v>4.2000000000000003E-2</v>
      </c>
      <c r="F16">
        <f t="shared" si="0"/>
        <v>5.2036987638282725E-2</v>
      </c>
      <c r="G16">
        <f t="shared" ref="G16" si="7">B16*F16</f>
        <v>0.25398149812422305</v>
      </c>
      <c r="H16">
        <f t="shared" ref="H16" si="8">C16*F16</f>
        <v>91.433339324720293</v>
      </c>
      <c r="I16">
        <f>Storage_variable_rawUSD!I16*inflator_2018</f>
        <v>0</v>
      </c>
      <c r="J16">
        <f>Storage_variable_rawUSD!J16*inflator_2018</f>
        <v>15.520905430752618</v>
      </c>
      <c r="K16">
        <f>Storage_variable_rawUSD!K16*inflator_2018</f>
        <v>9.7615757426117113E-6</v>
      </c>
      <c r="L16">
        <f>Storage_variable_rawUSD!L16</f>
        <v>0</v>
      </c>
      <c r="M16">
        <f>Storage_variable_rawUSD!M16</f>
        <v>1</v>
      </c>
      <c r="N16">
        <f>Storage_variable_rawUSD!N16</f>
        <v>1</v>
      </c>
      <c r="O16">
        <f>Storage_variable_rawUSD!O16</f>
        <v>0</v>
      </c>
      <c r="P16">
        <f>Storage_variable_rawUSD!P16</f>
        <v>0.89442719099991586</v>
      </c>
      <c r="Q16">
        <f>Storage_variable_rawUSD!Q16</f>
        <v>0.89442719099991586</v>
      </c>
      <c r="R16">
        <f>Storage_variable_rawUSD!R16</f>
        <v>0</v>
      </c>
      <c r="S16" t="str">
        <f>Storage_variable_rawUSD!S16</f>
        <v>PNNL2019 disaggregated, Trancik 2016</v>
      </c>
      <c r="T16">
        <v>2017</v>
      </c>
      <c r="U16">
        <f>Storage_variable_rawUSD!U16</f>
        <v>1</v>
      </c>
    </row>
    <row r="17" spans="1:21">
      <c r="A17" t="str">
        <f>Storage_variable_rawUSD!A17</f>
        <v>Li_2018_5x</v>
      </c>
      <c r="B17">
        <f>Storage_variable_rawUSD!B17*inflator_2018</f>
        <v>1498.4018764908974</v>
      </c>
      <c r="C17">
        <f>Storage_variable_rawUSD!C17*inflator_2018</f>
        <v>1434.9516341639214</v>
      </c>
      <c r="D17">
        <f>Storage_variable_rawUSD!D17</f>
        <v>15</v>
      </c>
      <c r="E17">
        <f>Storage_variable_rawUSD!E17</f>
        <v>4.2000000000000003E-2</v>
      </c>
      <c r="F17">
        <f t="shared" si="0"/>
        <v>9.1203432087674882E-2</v>
      </c>
      <c r="G17">
        <f>B17*F17</f>
        <v>136.65939378258216</v>
      </c>
      <c r="H17">
        <f>C17*F17</f>
        <v>130.87251391556731</v>
      </c>
      <c r="I17">
        <f>Storage_variable_rawUSD!I17*inflator_2018</f>
        <v>7.3211818069587826</v>
      </c>
      <c r="J17">
        <f>Storage_variable_rawUSD!J17*inflator_2018</f>
        <v>5.8569454455670265</v>
      </c>
      <c r="K17">
        <f>Storage_variable_rawUSD!K17*inflator_2018</f>
        <v>9.7615757426117113E-6</v>
      </c>
      <c r="L17">
        <f>Storage_variable_rawUSD!L17</f>
        <v>0</v>
      </c>
      <c r="M17">
        <f>Storage_variable_rawUSD!M17</f>
        <v>1</v>
      </c>
      <c r="N17">
        <f>Storage_variable_rawUSD!N17</f>
        <v>1</v>
      </c>
      <c r="O17">
        <f>Storage_variable_rawUSD!O17</f>
        <v>0</v>
      </c>
      <c r="P17">
        <f>Storage_variable_rawUSD!P17</f>
        <v>0.92195444572928875</v>
      </c>
      <c r="Q17">
        <f>Storage_variable_rawUSD!Q17</f>
        <v>0.92195444572928875</v>
      </c>
      <c r="R17">
        <f>Storage_variable_rawUSD!R17</f>
        <v>4.1686600000000002E-5</v>
      </c>
      <c r="S17" t="str">
        <f>Storage_variable_rawUSD!S17</f>
        <v>Fu 2018, Denholm 2017, Cole2019 ratio</v>
      </c>
      <c r="T17">
        <v>2017</v>
      </c>
      <c r="U17">
        <f>Storage_variable_rawUSD!U17</f>
        <v>1</v>
      </c>
    </row>
    <row r="18" spans="1:21">
      <c r="A18" t="str">
        <f>Storage_variable_rawUSD!A18</f>
        <v>Li_2045_mid</v>
      </c>
      <c r="B18">
        <f>Storage_variable_rawUSD!B18*inflator_2018</f>
        <v>131.85936513119898</v>
      </c>
      <c r="C18">
        <f>Storage_variable_rawUSD!C18*inflator_2018</f>
        <v>126.2757438064251</v>
      </c>
      <c r="D18">
        <f>Storage_variable_rawUSD!D18</f>
        <v>15</v>
      </c>
      <c r="E18">
        <f>Storage_variable_rawUSD!E18</f>
        <v>7.0000000000000007E-2</v>
      </c>
      <c r="F18">
        <f t="shared" ref="F18" si="9">((E18*(1+E18)^D18)/((1+E18)^D18-1))</f>
        <v>0.10979462470100652</v>
      </c>
      <c r="G18">
        <f>B18*F18</f>
        <v>14.477449507892979</v>
      </c>
      <c r="H18">
        <f>C18*F18</f>
        <v>13.864397900066892</v>
      </c>
      <c r="I18">
        <f>Storage_variable_rawUSD!I18*inflator_2018</f>
        <v>3.2213199950618647</v>
      </c>
      <c r="J18">
        <f>Storage_variable_rawUSD!J18*inflator_2018</f>
        <v>2.5770559960494914</v>
      </c>
      <c r="K18">
        <f>Storage_variable_rawUSD!K18*inflator_2018</f>
        <v>9.7615757426117113E-6</v>
      </c>
      <c r="L18">
        <f>Storage_variable_rawUSD!L18</f>
        <v>0</v>
      </c>
      <c r="M18">
        <f>Storage_variable_rawUSD!M18</f>
        <v>1</v>
      </c>
      <c r="N18">
        <f>Storage_variable_rawUSD!N18</f>
        <v>1</v>
      </c>
      <c r="O18">
        <f>Storage_variable_rawUSD!O18</f>
        <v>0</v>
      </c>
      <c r="P18">
        <f>Storage_variable_rawUSD!P18</f>
        <v>0.92195444572928875</v>
      </c>
      <c r="Q18">
        <f>Storage_variable_rawUSD!Q18</f>
        <v>0.92195444572928875</v>
      </c>
      <c r="R18">
        <f>Storage_variable_rawUSD!R18</f>
        <v>4.1686600000000002E-5</v>
      </c>
      <c r="S18" t="str">
        <f>Storage_variable_rawUSD!S18</f>
        <v>Fu 2018, Denholm 2017, Cole2019 ratio</v>
      </c>
      <c r="T18">
        <v>2017</v>
      </c>
      <c r="U18">
        <f>Storage_variable_rawUSD!U18</f>
        <v>1</v>
      </c>
    </row>
    <row r="19" spans="1:21">
      <c r="A19" t="str">
        <f>Storage_variable_rawUSD!A19</f>
        <v>PHS_20</v>
      </c>
      <c r="B19">
        <f>Storage_variable_rawUSD!B19*inflator_2018</f>
        <v>20</v>
      </c>
      <c r="C19">
        <f>Storage_variable_rawUSD!C19*inflator_2018</f>
        <v>1757.0836336701077</v>
      </c>
      <c r="D19">
        <f>Storage_variable_rawUSD!D19</f>
        <v>40</v>
      </c>
      <c r="E19">
        <f>Storage_variable_rawUSD!E19</f>
        <v>4.2000000000000003E-2</v>
      </c>
      <c r="F19">
        <f t="shared" ref="F19" si="10">((E19*(1+E19)^D19)/((1+E19)^D19-1))</f>
        <v>5.2036987638282725E-2</v>
      </c>
      <c r="G19">
        <f>B19*F19</f>
        <v>1.0407397527656546</v>
      </c>
      <c r="H19">
        <f>C19*F19</f>
        <v>91.433339324720293</v>
      </c>
      <c r="I19">
        <f>Storage_variable_rawUSD!I19*inflator_2018</f>
        <v>0</v>
      </c>
      <c r="J19">
        <f>Storage_variable_rawUSD!J19*inflator_2018</f>
        <v>15.520905430752618</v>
      </c>
      <c r="K19">
        <f>Storage_variable_rawUSD!K19*inflator_2018</f>
        <v>9.7615757426117113E-6</v>
      </c>
      <c r="L19">
        <f>Storage_variable_rawUSD!L19</f>
        <v>0</v>
      </c>
      <c r="M19">
        <f>Storage_variable_rawUSD!M19</f>
        <v>1</v>
      </c>
      <c r="N19">
        <f>Storage_variable_rawUSD!N19</f>
        <v>1</v>
      </c>
      <c r="O19">
        <f>Storage_variable_rawUSD!O19</f>
        <v>0</v>
      </c>
      <c r="P19">
        <f>Storage_variable_rawUSD!P19</f>
        <v>0.89442719099991586</v>
      </c>
      <c r="Q19">
        <f>Storage_variable_rawUSD!Q19</f>
        <v>0.89442719099991586</v>
      </c>
      <c r="R19">
        <f>Storage_variable_rawUSD!R19</f>
        <v>0</v>
      </c>
      <c r="S19" t="str">
        <f>Storage_variable_rawUSD!S19</f>
        <v>PNNL2019 disaggregated, arbitrary</v>
      </c>
      <c r="T19">
        <v>2017</v>
      </c>
      <c r="U19">
        <f>Storage_variable_rawUSD!U19</f>
        <v>1</v>
      </c>
    </row>
    <row r="20" spans="1:21">
      <c r="A20" t="str">
        <f>Storage_variable_rawUSD!A20</f>
        <v>PHS_10</v>
      </c>
      <c r="B20">
        <f>Storage_variable_rawUSD!B20*inflator_2018</f>
        <v>10</v>
      </c>
      <c r="C20">
        <f>Storage_variable_rawUSD!C20*inflator_2018</f>
        <v>1757.0836336701077</v>
      </c>
      <c r="D20">
        <f>Storage_variable_rawUSD!D20</f>
        <v>40</v>
      </c>
      <c r="E20">
        <f>Storage_variable_rawUSD!E20</f>
        <v>4.2000000000000003E-2</v>
      </c>
      <c r="F20">
        <f t="shared" ref="F20" si="11">((E20*(1+E20)^D20)/((1+E20)^D20-1))</f>
        <v>5.2036987638282725E-2</v>
      </c>
      <c r="G20">
        <f>B20*F20</f>
        <v>0.52036987638282728</v>
      </c>
      <c r="H20">
        <f>C20*F20</f>
        <v>91.433339324720293</v>
      </c>
      <c r="I20">
        <f>Storage_variable_rawUSD!I20*inflator_2018</f>
        <v>0</v>
      </c>
      <c r="J20">
        <f>Storage_variable_rawUSD!J20*inflator_2018</f>
        <v>15.520905430752618</v>
      </c>
      <c r="K20">
        <f>Storage_variable_rawUSD!K20*inflator_2018</f>
        <v>9.7615757426117113E-6</v>
      </c>
      <c r="L20">
        <f>Storage_variable_rawUSD!L20</f>
        <v>0</v>
      </c>
      <c r="M20">
        <f>Storage_variable_rawUSD!M20</f>
        <v>1</v>
      </c>
      <c r="N20">
        <f>Storage_variable_rawUSD!N20</f>
        <v>1</v>
      </c>
      <c r="O20">
        <f>Storage_variable_rawUSD!O20</f>
        <v>0</v>
      </c>
      <c r="P20">
        <f>Storage_variable_rawUSD!P20</f>
        <v>0.89442719099991586</v>
      </c>
      <c r="Q20">
        <f>Storage_variable_rawUSD!Q20</f>
        <v>0.89442719099991586</v>
      </c>
      <c r="R20">
        <f>Storage_variable_rawUSD!R20</f>
        <v>0</v>
      </c>
      <c r="S20" t="str">
        <f>Storage_variable_rawUSD!S20</f>
        <v>PNNL2019 disaggregated, arbitrary</v>
      </c>
      <c r="T20">
        <v>2017</v>
      </c>
      <c r="U20">
        <f>Storage_variable_rawUSD!U20</f>
        <v>1</v>
      </c>
    </row>
    <row r="21" spans="1:21">
      <c r="A21" t="str">
        <f>Storage_variable_rawUSD!A21</f>
        <v>PHS_0</v>
      </c>
      <c r="B21">
        <f>Storage_variable_rawUSD!B21*inflator_2018</f>
        <v>0</v>
      </c>
      <c r="C21">
        <f>Storage_variable_rawUSD!C21*inflator_2018</f>
        <v>1757.0836336701077</v>
      </c>
      <c r="D21">
        <f>Storage_variable_rawUSD!D21</f>
        <v>40</v>
      </c>
      <c r="E21">
        <f>Storage_variable_rawUSD!E21</f>
        <v>4.2000000000000003E-2</v>
      </c>
      <c r="F21">
        <f t="shared" ref="F21" si="12">((E21*(1+E21)^D21)/((1+E21)^D21-1))</f>
        <v>5.2036987638282725E-2</v>
      </c>
      <c r="G21">
        <f>B21*F21</f>
        <v>0</v>
      </c>
      <c r="H21">
        <f>C21*F21</f>
        <v>91.433339324720293</v>
      </c>
      <c r="I21">
        <f>Storage_variable_rawUSD!I21*inflator_2018</f>
        <v>0</v>
      </c>
      <c r="J21">
        <f>Storage_variable_rawUSD!J21*inflator_2018</f>
        <v>15.520905430752618</v>
      </c>
      <c r="K21">
        <f>Storage_variable_rawUSD!K21*inflator_2018</f>
        <v>9.7615757426117113E-6</v>
      </c>
      <c r="L21">
        <f>Storage_variable_rawUSD!L21</f>
        <v>0</v>
      </c>
      <c r="M21">
        <f>Storage_variable_rawUSD!M21</f>
        <v>1</v>
      </c>
      <c r="N21">
        <f>Storage_variable_rawUSD!N21</f>
        <v>1</v>
      </c>
      <c r="O21">
        <f>Storage_variable_rawUSD!O21</f>
        <v>0</v>
      </c>
      <c r="P21">
        <f>Storage_variable_rawUSD!P21</f>
        <v>0.89442719099991586</v>
      </c>
      <c r="Q21">
        <f>Storage_variable_rawUSD!Q21</f>
        <v>0.89442719099991586</v>
      </c>
      <c r="R21">
        <f>Storage_variable_rawUSD!R21</f>
        <v>0</v>
      </c>
      <c r="S21" t="str">
        <f>Storage_variable_rawUSD!S21</f>
        <v>PNNL2019 disaggregated, arbitrary</v>
      </c>
      <c r="T21">
        <v>2017</v>
      </c>
      <c r="U21">
        <f>Storage_variable_rawUSD!U21</f>
        <v>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Generators_rawUSD</vt:lpstr>
      <vt:lpstr>Generators</vt:lpstr>
      <vt:lpstr>Transmission_raw</vt:lpstr>
      <vt:lpstr>Transmission</vt:lpstr>
      <vt:lpstr>Hydro_rawUSD</vt:lpstr>
      <vt:lpstr>Hydro</vt:lpstr>
      <vt:lpstr>Storage_scaler</vt:lpstr>
      <vt:lpstr>Storage_variable_rawUSD</vt:lpstr>
      <vt:lpstr>Storage_variable</vt:lpstr>
      <vt:lpstr>Fuels_rawUSD</vt:lpstr>
      <vt:lpstr>Fuels</vt:lpstr>
      <vt:lpstr>Financials</vt:lpstr>
      <vt:lpstr>Storage_rawUSD</vt:lpstr>
      <vt:lpstr>Storage</vt:lpstr>
      <vt:lpstr>Storage_variable_rawUSD(old)</vt:lpstr>
      <vt:lpstr>dollaryear</vt:lpstr>
      <vt:lpstr>inflator_2010</vt:lpstr>
      <vt:lpstr>inflator_2013</vt:lpstr>
      <vt:lpstr>inflator_2015</vt:lpstr>
      <vt:lpstr>inflator_2016</vt:lpstr>
      <vt:lpstr>inflator_2017</vt:lpstr>
      <vt:lpstr>inflator_2018</vt:lpstr>
      <vt:lpstr>wacc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R Brown</dc:creator>
  <cp:lastModifiedBy>Patrick R Brown</cp:lastModifiedBy>
  <dcterms:created xsi:type="dcterms:W3CDTF">2019-02-28T19:27:39Z</dcterms:created>
  <dcterms:modified xsi:type="dcterms:W3CDTF">2020-09-24T14:27:23Z</dcterms:modified>
</cp:coreProperties>
</file>