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man\Desktop\"/>
    </mc:Choice>
  </mc:AlternateContent>
  <xr:revisionPtr revIDLastSave="0" documentId="13_ncr:1_{E559D1A8-CC23-4D7F-821D-CF42993685BE}" xr6:coauthVersionLast="45" xr6:coauthVersionMax="45" xr10:uidLastSave="{00000000-0000-0000-0000-000000000000}"/>
  <bookViews>
    <workbookView xWindow="0" yWindow="0" windowWidth="14565" windowHeight="14505" xr2:uid="{A042B148-EAEE-48EE-99AD-3BE2D7FD98ED}"/>
  </bookViews>
  <sheets>
    <sheet name="Farming Data" sheetId="2" r:id="rId1"/>
    <sheet name="Spell Cas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AT3" i="2" l="1"/>
  <c r="AT4" i="2"/>
  <c r="AT5" i="2"/>
  <c r="V87" i="1"/>
  <c r="X87" i="1" s="1"/>
  <c r="V86" i="1"/>
  <c r="X86" i="1" s="1"/>
  <c r="V83" i="1"/>
  <c r="X83" i="1" s="1"/>
  <c r="V82" i="1"/>
  <c r="X82" i="1" s="1"/>
  <c r="V79" i="1"/>
  <c r="X79" i="1" s="1"/>
  <c r="V78" i="1"/>
  <c r="X78" i="1" s="1"/>
  <c r="V75" i="1"/>
  <c r="X75" i="1" s="1"/>
  <c r="V74" i="1"/>
  <c r="X74" i="1" s="1"/>
  <c r="V71" i="1"/>
  <c r="X71" i="1" s="1"/>
  <c r="V70" i="1"/>
  <c r="X70" i="1" s="1"/>
  <c r="V67" i="1"/>
  <c r="X67" i="1" s="1"/>
  <c r="V66" i="1"/>
  <c r="X66" i="1" s="1"/>
  <c r="V63" i="1"/>
  <c r="X63" i="1" s="1"/>
  <c r="V62" i="1"/>
  <c r="X62" i="1" s="1"/>
  <c r="V59" i="1"/>
  <c r="X59" i="1" s="1"/>
  <c r="V58" i="1"/>
  <c r="X58" i="1" s="1"/>
  <c r="V55" i="1"/>
  <c r="X55" i="1" s="1"/>
  <c r="V54" i="1"/>
  <c r="X54" i="1" s="1"/>
  <c r="V51" i="1"/>
  <c r="X51" i="1" s="1"/>
  <c r="V50" i="1"/>
  <c r="X50" i="1" s="1"/>
  <c r="V47" i="1"/>
  <c r="X47" i="1" s="1"/>
  <c r="V46" i="1"/>
  <c r="X46" i="1" s="1"/>
  <c r="V43" i="1"/>
  <c r="X43" i="1" s="1"/>
  <c r="V42" i="1"/>
  <c r="X42" i="1" s="1"/>
  <c r="W7" i="1"/>
  <c r="V7" i="1"/>
  <c r="V37" i="1"/>
  <c r="X37" i="1" s="1"/>
  <c r="W37" i="1"/>
  <c r="W39" i="1"/>
  <c r="W38" i="1"/>
  <c r="V39" i="1"/>
  <c r="V38" i="1"/>
  <c r="X8" i="1"/>
  <c r="X38" i="1" s="1"/>
  <c r="V10" i="1"/>
  <c r="X10" i="1" s="1"/>
  <c r="V11" i="1"/>
  <c r="X11" i="1" s="1"/>
  <c r="V12" i="1"/>
  <c r="X12" i="1" s="1"/>
  <c r="V13" i="1"/>
  <c r="X13" i="1" s="1"/>
  <c r="V14" i="1"/>
  <c r="X14" i="1" s="1"/>
  <c r="V15" i="1"/>
  <c r="X15" i="1" s="1"/>
  <c r="V16" i="1"/>
  <c r="X16" i="1" s="1"/>
  <c r="V17" i="1"/>
  <c r="X17" i="1" s="1"/>
  <c r="V18" i="1"/>
  <c r="X18" i="1" s="1"/>
  <c r="V19" i="1"/>
  <c r="X19" i="1" s="1"/>
  <c r="V20" i="1"/>
  <c r="X20" i="1" s="1"/>
  <c r="V21" i="1"/>
  <c r="X21" i="1" s="1"/>
  <c r="V22" i="1"/>
  <c r="X22" i="1" s="1"/>
  <c r="V23" i="1"/>
  <c r="X23" i="1" s="1"/>
  <c r="V24" i="1"/>
  <c r="X24" i="1" s="1"/>
  <c r="V25" i="1"/>
  <c r="X25" i="1" s="1"/>
  <c r="V26" i="1"/>
  <c r="X26" i="1" s="1"/>
  <c r="V27" i="1"/>
  <c r="X27" i="1" s="1"/>
  <c r="V28" i="1"/>
  <c r="X28" i="1" s="1"/>
  <c r="V29" i="1"/>
  <c r="X29" i="1" s="1"/>
  <c r="V30" i="1"/>
  <c r="X30" i="1" s="1"/>
  <c r="V31" i="1"/>
  <c r="X31" i="1" s="1"/>
  <c r="V32" i="1"/>
  <c r="X32" i="1" s="1"/>
  <c r="V33" i="1"/>
  <c r="X33" i="1" s="1"/>
  <c r="V9" i="1"/>
  <c r="X9" i="1" s="1"/>
  <c r="X39" i="1" s="1"/>
  <c r="L8" i="1"/>
  <c r="R16" i="1"/>
  <c r="R15" i="1"/>
  <c r="R20" i="1" s="1"/>
  <c r="M14" i="1"/>
  <c r="M8" i="1"/>
  <c r="H16" i="1"/>
  <c r="H9" i="1"/>
  <c r="R35" i="1"/>
  <c r="R34" i="1"/>
  <c r="R31" i="1"/>
  <c r="R30" i="1"/>
  <c r="R27" i="1"/>
  <c r="R26" i="1"/>
  <c r="R23" i="1"/>
  <c r="R22" i="1"/>
  <c r="Q34" i="1"/>
  <c r="Q31" i="1"/>
  <c r="Q30" i="1"/>
  <c r="Q10" i="1"/>
  <c r="Q27" i="1" s="1"/>
  <c r="Q26" i="1"/>
  <c r="Q22" i="1"/>
  <c r="Q16" i="1"/>
  <c r="Q21" i="1" s="1"/>
  <c r="Q15" i="1"/>
  <c r="Q14" i="1"/>
  <c r="S14" i="1" s="1"/>
  <c r="S35" i="1" s="1"/>
  <c r="Q12" i="1"/>
  <c r="S12" i="1" s="1"/>
  <c r="S31" i="1" s="1"/>
  <c r="Q8" i="1"/>
  <c r="S8" i="1" s="1"/>
  <c r="S23" i="1" s="1"/>
  <c r="M15" i="1"/>
  <c r="S7" i="1"/>
  <c r="S22" i="1" s="1"/>
  <c r="S9" i="1"/>
  <c r="S26" i="1" s="1"/>
  <c r="S11" i="1"/>
  <c r="S30" i="1" s="1"/>
  <c r="S13" i="1"/>
  <c r="S34" i="1" s="1"/>
  <c r="AH3" i="2"/>
  <c r="AH4" i="2"/>
  <c r="AH5" i="2"/>
  <c r="AH6" i="2"/>
  <c r="AT6" i="2" s="1"/>
  <c r="AH7" i="2"/>
  <c r="AT7" i="2" s="1"/>
  <c r="AH8" i="2"/>
  <c r="AT8" i="2" s="1"/>
  <c r="AH9" i="2"/>
  <c r="AT9" i="2" s="1"/>
  <c r="AH10" i="2"/>
  <c r="AT10" i="2" s="1"/>
  <c r="AH11" i="2"/>
  <c r="AT11" i="2" s="1"/>
  <c r="AH12" i="2"/>
  <c r="AT12" i="2" s="1"/>
  <c r="AH13" i="2"/>
  <c r="AT13" i="2" s="1"/>
  <c r="AH14" i="2"/>
  <c r="AT14" i="2" s="1"/>
  <c r="S3" i="2"/>
  <c r="S4" i="2"/>
  <c r="S5" i="2"/>
  <c r="S6" i="2"/>
  <c r="S7" i="2"/>
  <c r="S8" i="2"/>
  <c r="S9" i="2"/>
  <c r="S10" i="2"/>
  <c r="S11" i="2"/>
  <c r="S12" i="2"/>
  <c r="S13" i="2"/>
  <c r="S14" i="2"/>
  <c r="X76" i="1" l="1"/>
  <c r="X60" i="1"/>
  <c r="X61" i="1" s="1"/>
  <c r="X48" i="1"/>
  <c r="X88" i="1"/>
  <c r="X89" i="1" s="1"/>
  <c r="X68" i="1"/>
  <c r="X69" i="1" s="1"/>
  <c r="X40" i="1"/>
  <c r="X41" i="1" s="1"/>
  <c r="X72" i="1"/>
  <c r="X73" i="1" s="1"/>
  <c r="X49" i="1"/>
  <c r="X80" i="1"/>
  <c r="X81" i="1" s="1"/>
  <c r="X53" i="1"/>
  <c r="X56" i="1"/>
  <c r="X57" i="1" s="1"/>
  <c r="X52" i="1"/>
  <c r="X84" i="1"/>
  <c r="X85" i="1" s="1"/>
  <c r="X64" i="1"/>
  <c r="X65" i="1" s="1"/>
  <c r="X44" i="1"/>
  <c r="X45" i="1" s="1"/>
  <c r="X77" i="1"/>
  <c r="X7" i="1"/>
  <c r="S10" i="1"/>
  <c r="S27" i="1" s="1"/>
  <c r="Q23" i="1"/>
  <c r="Q35" i="1"/>
  <c r="S16" i="1"/>
  <c r="S21" i="1" s="1"/>
  <c r="S15" i="1"/>
  <c r="S20" i="1" s="1"/>
  <c r="R21" i="1"/>
  <c r="Q20" i="1"/>
  <c r="AM12" i="2"/>
  <c r="AM13" i="2"/>
  <c r="AM14" i="2"/>
  <c r="AN12" i="2"/>
  <c r="AN13" i="2"/>
  <c r="AN14" i="2"/>
  <c r="U12" i="2"/>
  <c r="U13" i="2"/>
  <c r="U14" i="2"/>
  <c r="V12" i="2"/>
  <c r="V13" i="2"/>
  <c r="V14" i="2"/>
  <c r="X12" i="2"/>
  <c r="X13" i="2"/>
  <c r="X14" i="2"/>
  <c r="Z12" i="2"/>
  <c r="Z13" i="2"/>
  <c r="Z14" i="2"/>
  <c r="AB12" i="2"/>
  <c r="AQ12" i="2" s="1"/>
  <c r="AB13" i="2"/>
  <c r="AQ13" i="2" s="1"/>
  <c r="AB14" i="2"/>
  <c r="AQ14" i="2" s="1"/>
  <c r="AD12" i="2"/>
  <c r="AR12" i="2" s="1"/>
  <c r="AD13" i="2"/>
  <c r="AR13" i="2" s="1"/>
  <c r="AD14" i="2"/>
  <c r="AR14" i="2" s="1"/>
  <c r="AF12" i="2"/>
  <c r="AF13" i="2"/>
  <c r="AF14" i="2"/>
  <c r="J12" i="2"/>
  <c r="J13" i="2"/>
  <c r="J14" i="2"/>
  <c r="K12" i="2"/>
  <c r="K13" i="2"/>
  <c r="K14" i="2"/>
  <c r="M12" i="2"/>
  <c r="M13" i="2"/>
  <c r="M14" i="2"/>
  <c r="O12" i="2"/>
  <c r="O13" i="2"/>
  <c r="O1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AN3" i="2"/>
  <c r="AM5" i="2"/>
  <c r="AM6" i="2"/>
  <c r="AM7" i="2"/>
  <c r="AM8" i="2"/>
  <c r="AM9" i="2"/>
  <c r="AM10" i="2"/>
  <c r="AM11" i="2"/>
  <c r="AN4" i="2"/>
  <c r="AN5" i="2"/>
  <c r="AN6" i="2"/>
  <c r="AN7" i="2"/>
  <c r="AN8" i="2"/>
  <c r="AN9" i="2"/>
  <c r="AN10" i="2"/>
  <c r="AN11" i="2"/>
  <c r="AM4" i="2"/>
  <c r="AM3" i="2"/>
  <c r="V4" i="2"/>
  <c r="V3" i="2"/>
  <c r="U4" i="2"/>
  <c r="U3" i="2"/>
  <c r="K4" i="2"/>
  <c r="K3" i="2"/>
  <c r="J4" i="2"/>
  <c r="J3" i="2"/>
  <c r="AK4" i="2"/>
  <c r="X4" i="2"/>
  <c r="X5" i="2"/>
  <c r="X6" i="2"/>
  <c r="X7" i="2"/>
  <c r="X8" i="2"/>
  <c r="X9" i="2"/>
  <c r="X10" i="2"/>
  <c r="X11" i="2"/>
  <c r="Z4" i="2"/>
  <c r="Z5" i="2"/>
  <c r="Z6" i="2"/>
  <c r="Z7" i="2"/>
  <c r="Z8" i="2"/>
  <c r="Z9" i="2"/>
  <c r="Z10" i="2"/>
  <c r="Z11" i="2"/>
  <c r="AB4" i="2"/>
  <c r="AQ4" i="2" s="1"/>
  <c r="AB5" i="2"/>
  <c r="AQ5" i="2" s="1"/>
  <c r="AB6" i="2"/>
  <c r="AQ6" i="2" s="1"/>
  <c r="AB7" i="2"/>
  <c r="AQ7" i="2" s="1"/>
  <c r="AB8" i="2"/>
  <c r="AQ8" i="2" s="1"/>
  <c r="AB9" i="2"/>
  <c r="AQ9" i="2" s="1"/>
  <c r="AB10" i="2"/>
  <c r="AQ10" i="2" s="1"/>
  <c r="AB11" i="2"/>
  <c r="AQ11" i="2" s="1"/>
  <c r="AD4" i="2"/>
  <c r="AR4" i="2" s="1"/>
  <c r="AD5" i="2"/>
  <c r="AR5" i="2" s="1"/>
  <c r="AD6" i="2"/>
  <c r="AR6" i="2" s="1"/>
  <c r="AD7" i="2"/>
  <c r="AR7" i="2" s="1"/>
  <c r="AD8" i="2"/>
  <c r="AR8" i="2" s="1"/>
  <c r="AD9" i="2"/>
  <c r="AR9" i="2" s="1"/>
  <c r="AD10" i="2"/>
  <c r="AR10" i="2" s="1"/>
  <c r="AD11" i="2"/>
  <c r="AR11" i="2" s="1"/>
  <c r="AF4" i="2"/>
  <c r="AF5" i="2"/>
  <c r="AF6" i="2"/>
  <c r="AF7" i="2"/>
  <c r="AF8" i="2"/>
  <c r="AF9" i="2"/>
  <c r="AF10" i="2"/>
  <c r="AF11" i="2"/>
  <c r="AF3" i="2"/>
  <c r="AD3" i="2"/>
  <c r="AR3" i="2" s="1"/>
  <c r="AB3" i="2"/>
  <c r="AQ3" i="2" s="1"/>
  <c r="Z3" i="2"/>
  <c r="X3" i="2"/>
  <c r="O3" i="2"/>
  <c r="O4" i="2"/>
  <c r="O5" i="2"/>
  <c r="O6" i="2"/>
  <c r="O7" i="2"/>
  <c r="O8" i="2"/>
  <c r="O9" i="2"/>
  <c r="O10" i="2"/>
  <c r="O11" i="2"/>
  <c r="M3" i="2"/>
  <c r="M4" i="2"/>
  <c r="M5" i="2"/>
  <c r="AV5" i="2" s="1"/>
  <c r="M6" i="2"/>
  <c r="AV6" i="2" s="1"/>
  <c r="M7" i="2"/>
  <c r="M8" i="2"/>
  <c r="M9" i="2"/>
  <c r="M10" i="2"/>
  <c r="M11" i="2"/>
  <c r="L9" i="1"/>
  <c r="N9" i="1" s="1"/>
  <c r="L15" i="1"/>
  <c r="N15" i="1" s="1"/>
  <c r="M13" i="1"/>
  <c r="L14" i="1"/>
  <c r="L13" i="1"/>
  <c r="N8" i="1"/>
  <c r="N14" i="1" s="1"/>
  <c r="N7" i="1"/>
  <c r="N13" i="1" s="1"/>
  <c r="G8" i="1"/>
  <c r="G15" i="1" s="1"/>
  <c r="H17" i="1"/>
  <c r="H15" i="1"/>
  <c r="H14" i="1"/>
  <c r="I7" i="1"/>
  <c r="I14" i="1" s="1"/>
  <c r="G10" i="1"/>
  <c r="G17" i="1" s="1"/>
  <c r="G14" i="1"/>
  <c r="AV14" i="2" l="1"/>
  <c r="AW14" i="2" s="1"/>
  <c r="AV13" i="2"/>
  <c r="AW13" i="2" s="1"/>
  <c r="AU9" i="2"/>
  <c r="G9" i="1"/>
  <c r="AU6" i="2"/>
  <c r="AW6" i="2" s="1"/>
  <c r="AU3" i="2"/>
  <c r="AU8" i="2"/>
  <c r="AU5" i="2"/>
  <c r="AW5" i="2" s="1"/>
  <c r="AU4" i="2"/>
  <c r="AU14" i="2"/>
  <c r="AU12" i="2"/>
  <c r="AU13" i="2"/>
  <c r="AU11" i="2"/>
  <c r="AU10" i="2"/>
  <c r="AU7" i="2"/>
  <c r="S36" i="1"/>
  <c r="S37" i="1" s="1"/>
  <c r="S24" i="1"/>
  <c r="S25" i="1" s="1"/>
  <c r="S32" i="1"/>
  <c r="S33" i="1" s="1"/>
  <c r="S28" i="1"/>
  <c r="S29" i="1" s="1"/>
  <c r="AV11" i="2"/>
  <c r="AW11" i="2" s="1"/>
  <c r="AV9" i="2"/>
  <c r="AV10" i="2"/>
  <c r="AW10" i="2" s="1"/>
  <c r="AV8" i="2"/>
  <c r="AV7" i="2"/>
  <c r="AV12" i="2"/>
  <c r="AW12" i="2" s="1"/>
  <c r="AV3" i="2"/>
  <c r="AV4" i="2"/>
  <c r="AO14" i="2"/>
  <c r="N16" i="1"/>
  <c r="N17" i="1" s="1"/>
  <c r="AS12" i="2"/>
  <c r="AS13" i="2"/>
  <c r="AS3" i="2"/>
  <c r="AO8" i="2"/>
  <c r="AP12" i="2"/>
  <c r="AP3" i="2"/>
  <c r="AO10" i="2"/>
  <c r="AP11" i="2"/>
  <c r="AS14" i="2"/>
  <c r="AS6" i="2"/>
  <c r="AP14" i="2"/>
  <c r="AO9" i="2"/>
  <c r="AP13" i="2"/>
  <c r="AO13" i="2"/>
  <c r="AP6" i="2"/>
  <c r="AO12" i="2"/>
  <c r="AO6" i="2"/>
  <c r="AO7" i="2"/>
  <c r="AS9" i="2"/>
  <c r="AS7" i="2"/>
  <c r="AP5" i="2"/>
  <c r="AO11" i="2"/>
  <c r="AS11" i="2"/>
  <c r="AS5" i="2"/>
  <c r="AO5" i="2"/>
  <c r="AO4" i="2"/>
  <c r="AS10" i="2"/>
  <c r="AP10" i="2"/>
  <c r="AP9" i="2"/>
  <c r="AP8" i="2"/>
  <c r="AP7" i="2"/>
  <c r="AS8" i="2"/>
  <c r="AO3" i="2"/>
  <c r="AS4" i="2"/>
  <c r="AP4" i="2"/>
  <c r="I8" i="1"/>
  <c r="I15" i="1" s="1"/>
  <c r="G16" i="1"/>
  <c r="I9" i="1"/>
  <c r="I16" i="1" s="1"/>
  <c r="I10" i="1"/>
  <c r="I17" i="1" s="1"/>
  <c r="AW4" i="2" l="1"/>
  <c r="AW8" i="2"/>
  <c r="AW3" i="2"/>
  <c r="AW7" i="2"/>
  <c r="AW9" i="2"/>
  <c r="AY3" i="2"/>
  <c r="I18" i="1"/>
  <c r="I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Benca</author>
  </authors>
  <commentList>
    <comment ref="AV2" authorId="0" shapeId="0" xr:uid="{1FDAF97A-0CB3-4D1F-ADA8-75A8181B711A}">
      <text>
        <r>
          <rPr>
            <b/>
            <sz val="9"/>
            <color indexed="81"/>
            <rFont val="Tahoma"/>
            <family val="2"/>
          </rPr>
          <t>Patrick Benca:</t>
        </r>
        <r>
          <rPr>
            <sz val="9"/>
            <color indexed="81"/>
            <rFont val="Tahoma"/>
            <family val="2"/>
          </rPr>
          <t xml:space="preserve">
Includes crop payment, ultracompost usage, and seed cost.</t>
        </r>
      </text>
    </comment>
    <comment ref="AK4" authorId="0" shapeId="0" xr:uid="{50FCD4FC-FAB9-405E-AEB8-1D202EA1C461}">
      <text>
        <r>
          <rPr>
            <b/>
            <sz val="9"/>
            <color indexed="81"/>
            <rFont val="Tahoma"/>
            <family val="2"/>
          </rPr>
          <t>Patrick Benca:</t>
        </r>
        <r>
          <rPr>
            <sz val="9"/>
            <color indexed="81"/>
            <rFont val="Tahoma"/>
            <family val="2"/>
          </rPr>
          <t xml:space="preserve">
Compost added to a bottomless compost bucket counts as 2 buckets, halfing the cost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Benca</author>
  </authors>
  <commentList>
    <comment ref="G10" authorId="0" shapeId="0" xr:uid="{32180613-5A9A-475F-B023-514CF5D97254}">
      <text>
        <r>
          <rPr>
            <b/>
            <sz val="9"/>
            <color indexed="81"/>
            <rFont val="Tahoma"/>
            <family val="2"/>
          </rPr>
          <t>Patrick Benca:</t>
        </r>
        <r>
          <rPr>
            <sz val="9"/>
            <color indexed="81"/>
            <rFont val="Tahoma"/>
            <family val="2"/>
          </rPr>
          <t xml:space="preserve">
This assumes casting the spell with 3 giant seaweed and 18 buckets of sand in your inventory</t>
        </r>
      </text>
    </comment>
    <comment ref="G17" authorId="0" shapeId="0" xr:uid="{9700B391-F3B2-40FF-8AFC-9EE1FC4AE688}">
      <text>
        <r>
          <rPr>
            <b/>
            <sz val="9"/>
            <color indexed="81"/>
            <rFont val="Tahoma"/>
            <family val="2"/>
          </rPr>
          <t>Patrick Benca:</t>
        </r>
        <r>
          <rPr>
            <sz val="9"/>
            <color indexed="81"/>
            <rFont val="Tahoma"/>
            <family val="2"/>
          </rPr>
          <t xml:space="preserve">
This assumes casting the spell with 3 giant seaweed and 18 buckets of sand in your inventory</t>
        </r>
      </text>
    </comment>
  </commentList>
</comments>
</file>

<file path=xl/sharedStrings.xml><?xml version="1.0" encoding="utf-8"?>
<sst xmlns="http://schemas.openxmlformats.org/spreadsheetml/2006/main" count="227" uniqueCount="100">
  <si>
    <t>Buckets of Sand</t>
  </si>
  <si>
    <t>Giant Seaweed</t>
  </si>
  <si>
    <t>Price Per</t>
  </si>
  <si>
    <t>Amount</t>
  </si>
  <si>
    <t>Components</t>
  </si>
  <si>
    <t>Molten Glass</t>
  </si>
  <si>
    <t>Astral Rune</t>
  </si>
  <si>
    <t>Price</t>
  </si>
  <si>
    <t>Total Cost</t>
  </si>
  <si>
    <t xml:space="preserve">Superglass Make Data Plug In </t>
  </si>
  <si>
    <t>Superglass Make Cost Breakdown</t>
  </si>
  <si>
    <t>Humidifying Clay Data Plug In</t>
  </si>
  <si>
    <t>Clay</t>
  </si>
  <si>
    <t>Humidifying Clay Cost Breakdown</t>
  </si>
  <si>
    <t>Soft Clay</t>
  </si>
  <si>
    <t>Ranarr</t>
  </si>
  <si>
    <t>Poison Ivy Berries</t>
  </si>
  <si>
    <t>Yanillian Hops</t>
  </si>
  <si>
    <t>Date</t>
  </si>
  <si>
    <t>Cactus Spines</t>
  </si>
  <si>
    <t>Amount Harvested</t>
  </si>
  <si>
    <t>Time</t>
  </si>
  <si>
    <t>Seed Cost</t>
  </si>
  <si>
    <t>Total Ranarr</t>
  </si>
  <si>
    <t>Limpwurt</t>
  </si>
  <si>
    <t>Total Limpwurt</t>
  </si>
  <si>
    <t>Total Yanillian Hops</t>
  </si>
  <si>
    <t xml:space="preserve">Date </t>
  </si>
  <si>
    <t>Total Cactus Spines</t>
  </si>
  <si>
    <t>Total Poison Ivy Berries</t>
  </si>
  <si>
    <t>Profit</t>
  </si>
  <si>
    <t>Ranarr Profit</t>
  </si>
  <si>
    <t>Limpwurt Profit</t>
  </si>
  <si>
    <t>Cactus Spine Profit</t>
  </si>
  <si>
    <t>Yanillian Hop Profit</t>
  </si>
  <si>
    <t>Poison Ivy Berry Profit</t>
  </si>
  <si>
    <t>Ultracompost</t>
  </si>
  <si>
    <t>Price Bought At</t>
  </si>
  <si>
    <t>Cost per "Dose"</t>
  </si>
  <si>
    <t>Harvest Sold at GE Price</t>
  </si>
  <si>
    <t>Total Giant Seaweed</t>
  </si>
  <si>
    <t>Giant Seaweed Profit</t>
  </si>
  <si>
    <t>Notes</t>
  </si>
  <si>
    <t>Tan Leather Data Plug In</t>
  </si>
  <si>
    <t xml:space="preserve">Green Dragonhide </t>
  </si>
  <si>
    <t>Green Dragon Leather</t>
  </si>
  <si>
    <t>Blue Dragonhide</t>
  </si>
  <si>
    <t>Blue Dragon Leather</t>
  </si>
  <si>
    <t>Red Dragonhide</t>
  </si>
  <si>
    <t>Red Dragon Leather</t>
  </si>
  <si>
    <t>Black Dragonhide</t>
  </si>
  <si>
    <t>Black Dragon Leather</t>
  </si>
  <si>
    <t>Nature Rune</t>
  </si>
  <si>
    <t>Tan Leather Cost Breakdown</t>
  </si>
  <si>
    <t>Total Cost (Green D'hide)</t>
  </si>
  <si>
    <t>Total Profit (Green D'hide)</t>
  </si>
  <si>
    <t>Total Cost (Blue D'hide)</t>
  </si>
  <si>
    <t>Total Profit (Blue D'hide)</t>
  </si>
  <si>
    <t>Total Cost (Red D'hide)</t>
  </si>
  <si>
    <t>Total Profit (Red D'hide)</t>
  </si>
  <si>
    <t>Total Cost (Black D'hide)</t>
  </si>
  <si>
    <t>Total Profit (Black D'hide)</t>
  </si>
  <si>
    <t>Gross Profit</t>
  </si>
  <si>
    <t>Net Profit</t>
  </si>
  <si>
    <t>Expenses</t>
  </si>
  <si>
    <t>All Time Net Profit</t>
  </si>
  <si>
    <t>Ultracompost Price</t>
  </si>
  <si>
    <t>Rune Cost Plug In</t>
  </si>
  <si>
    <t>Rune</t>
  </si>
  <si>
    <t>String Jewellery Data Plug In</t>
  </si>
  <si>
    <t>Unstrung Symbols</t>
  </si>
  <si>
    <t>Unstrung Emblems</t>
  </si>
  <si>
    <t>Gold Amulet (u)</t>
  </si>
  <si>
    <t>Unblessed Symbols</t>
  </si>
  <si>
    <t>Unpowered Symbols</t>
  </si>
  <si>
    <t>Gold Amulet</t>
  </si>
  <si>
    <t>Sapphire Amulet (u)</t>
  </si>
  <si>
    <t>Sapphire Amulet</t>
  </si>
  <si>
    <t>Opal Amulet (u)</t>
  </si>
  <si>
    <t>Opal Amulet</t>
  </si>
  <si>
    <t>Emerald Amulet (u)</t>
  </si>
  <si>
    <t>Emerald Amulet</t>
  </si>
  <si>
    <t>Jade Amulet</t>
  </si>
  <si>
    <t>Jade Amulet (u)</t>
  </si>
  <si>
    <t>Topaz Amulet (u)</t>
  </si>
  <si>
    <t>Topaz Amulet</t>
  </si>
  <si>
    <t>Ruby Amulet (u)</t>
  </si>
  <si>
    <t>Ruby Amulet</t>
  </si>
  <si>
    <t>Diamond Amulet (u)</t>
  </si>
  <si>
    <t>Diamond Amulet</t>
  </si>
  <si>
    <t>Dragonstone Amulet (u)</t>
  </si>
  <si>
    <t>Dragonstone Amulet</t>
  </si>
  <si>
    <t>Onyx Amulet</t>
  </si>
  <si>
    <t>Onyx Amulet (u)</t>
  </si>
  <si>
    <t>Zenyte Amulet (u)</t>
  </si>
  <si>
    <t>Zenyte Amulet</t>
  </si>
  <si>
    <t>String Jewellery Cost Breakdown</t>
  </si>
  <si>
    <t>Net Profit/Loss</t>
  </si>
  <si>
    <t>Lighter colored cells are the data input cells.</t>
  </si>
  <si>
    <t>Like this!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</si>
</sst>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[$-F400]h:mm:ss\ AM/PM"/>
    <numFmt numFmtId="166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4" borderId="1" xfId="3" applyBorder="1" applyAlignment="1">
      <alignment horizontal="center"/>
    </xf>
    <xf numFmtId="0" fontId="1" fillId="4" borderId="1" xfId="3" applyBorder="1"/>
    <xf numFmtId="1" fontId="1" fillId="4" borderId="1" xfId="3" applyNumberFormat="1" applyBorder="1"/>
    <xf numFmtId="164" fontId="1" fillId="4" borderId="1" xfId="3" applyNumberFormat="1" applyBorder="1"/>
    <xf numFmtId="0" fontId="1" fillId="4" borderId="1" xfId="3" applyBorder="1" applyAlignment="1"/>
    <xf numFmtId="0" fontId="1" fillId="4" borderId="1" xfId="3" applyBorder="1" applyAlignment="1">
      <alignment wrapText="1"/>
    </xf>
    <xf numFmtId="1" fontId="1" fillId="4" borderId="1" xfId="3" applyNumberFormat="1" applyBorder="1" applyAlignment="1">
      <alignment vertical="center"/>
    </xf>
    <xf numFmtId="164" fontId="1" fillId="4" borderId="1" xfId="3" applyNumberFormat="1" applyBorder="1" applyAlignment="1"/>
    <xf numFmtId="0" fontId="2" fillId="9" borderId="1" xfId="1" applyFill="1" applyBorder="1"/>
    <xf numFmtId="0" fontId="1" fillId="7" borderId="1" xfId="6" applyBorder="1" applyAlignment="1">
      <alignment horizontal="center"/>
    </xf>
    <xf numFmtId="0" fontId="1" fillId="7" borderId="1" xfId="6" applyBorder="1"/>
    <xf numFmtId="164" fontId="1" fillId="7" borderId="1" xfId="6" applyNumberFormat="1" applyBorder="1"/>
    <xf numFmtId="0" fontId="1" fillId="9" borderId="1" xfId="6" applyFill="1" applyBorder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6" fontId="6" fillId="10" borderId="0" xfId="0" applyNumberFormat="1" applyFont="1" applyFill="1"/>
    <xf numFmtId="0" fontId="1" fillId="5" borderId="1" xfId="4" applyBorder="1"/>
    <xf numFmtId="0" fontId="1" fillId="8" borderId="1" xfId="7" applyBorder="1"/>
    <xf numFmtId="0" fontId="5" fillId="11" borderId="0" xfId="0" applyFont="1" applyFill="1" applyBorder="1" applyAlignment="1">
      <alignment horizontal="center"/>
    </xf>
    <xf numFmtId="0" fontId="1" fillId="15" borderId="1" xfId="11" applyBorder="1" applyAlignment="1">
      <alignment horizontal="center"/>
    </xf>
    <xf numFmtId="0" fontId="1" fillId="15" borderId="1" xfId="11" applyBorder="1"/>
    <xf numFmtId="0" fontId="1" fillId="15" borderId="1" xfId="11" applyBorder="1" applyAlignment="1">
      <alignment horizontal="left"/>
    </xf>
    <xf numFmtId="0" fontId="1" fillId="9" borderId="1" xfId="11" applyFill="1" applyBorder="1"/>
    <xf numFmtId="164" fontId="1" fillId="15" borderId="1" xfId="11" applyNumberFormat="1" applyBorder="1"/>
    <xf numFmtId="164" fontId="1" fillId="9" borderId="1" xfId="11" applyNumberFormat="1" applyFill="1" applyBorder="1"/>
    <xf numFmtId="164" fontId="1" fillId="8" borderId="1" xfId="7" applyNumberFormat="1" applyBorder="1"/>
    <xf numFmtId="0" fontId="1" fillId="13" borderId="1" xfId="9" applyBorder="1"/>
    <xf numFmtId="166" fontId="1" fillId="12" borderId="1" xfId="8" applyNumberFormat="1" applyBorder="1"/>
    <xf numFmtId="164" fontId="1" fillId="3" borderId="1" xfId="2" applyNumberFormat="1" applyBorder="1"/>
    <xf numFmtId="1" fontId="1" fillId="3" borderId="1" xfId="2" applyNumberFormat="1" applyBorder="1"/>
    <xf numFmtId="164" fontId="1" fillId="6" borderId="1" xfId="5" applyNumberFormat="1" applyBorder="1"/>
    <xf numFmtId="0" fontId="1" fillId="6" borderId="1" xfId="5" applyBorder="1"/>
    <xf numFmtId="0" fontId="1" fillId="14" borderId="1" xfId="10" applyBorder="1"/>
    <xf numFmtId="166" fontId="1" fillId="14" borderId="1" xfId="10" applyNumberFormat="1" applyBorder="1"/>
    <xf numFmtId="0" fontId="1" fillId="14" borderId="1" xfId="10" applyBorder="1" applyAlignment="1">
      <alignment horizontal="center"/>
    </xf>
    <xf numFmtId="166" fontId="1" fillId="5" borderId="1" xfId="4" applyNumberFormat="1" applyBorder="1"/>
    <xf numFmtId="0" fontId="1" fillId="14" borderId="1" xfId="10" applyBorder="1" applyAlignment="1">
      <alignment horizontal="left"/>
    </xf>
    <xf numFmtId="0" fontId="0" fillId="9" borderId="1" xfId="0" applyFill="1" applyBorder="1"/>
    <xf numFmtId="0" fontId="1" fillId="14" borderId="9" xfId="10" applyBorder="1"/>
    <xf numFmtId="166" fontId="1" fillId="14" borderId="9" xfId="10" applyNumberFormat="1" applyBorder="1"/>
    <xf numFmtId="0" fontId="1" fillId="14" borderId="10" xfId="10" applyBorder="1"/>
    <xf numFmtId="0" fontId="1" fillId="14" borderId="11" xfId="10" applyBorder="1"/>
    <xf numFmtId="166" fontId="1" fillId="14" borderId="11" xfId="10" applyNumberFormat="1" applyBorder="1"/>
    <xf numFmtId="166" fontId="1" fillId="14" borderId="12" xfId="10" applyNumberFormat="1" applyBorder="1"/>
    <xf numFmtId="0" fontId="1" fillId="14" borderId="13" xfId="10" applyBorder="1"/>
    <xf numFmtId="166" fontId="1" fillId="14" borderId="14" xfId="10" applyNumberFormat="1" applyBorder="1"/>
    <xf numFmtId="0" fontId="1" fillId="14" borderId="15" xfId="10" applyBorder="1"/>
    <xf numFmtId="0" fontId="0" fillId="9" borderId="16" xfId="0" applyFill="1" applyBorder="1"/>
    <xf numFmtId="166" fontId="1" fillId="14" borderId="17" xfId="10" applyNumberFormat="1" applyBorder="1"/>
    <xf numFmtId="0" fontId="1" fillId="14" borderId="10" xfId="10" applyBorder="1" applyAlignment="1">
      <alignment horizontal="left"/>
    </xf>
    <xf numFmtId="0" fontId="1" fillId="13" borderId="4" xfId="9" applyBorder="1" applyAlignment="1">
      <alignment wrapText="1"/>
    </xf>
    <xf numFmtId="0" fontId="0" fillId="16" borderId="1" xfId="0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1" fillId="3" borderId="6" xfId="2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8" borderId="2" xfId="7" applyBorder="1" applyAlignment="1">
      <alignment horizontal="center"/>
    </xf>
    <xf numFmtId="0" fontId="1" fillId="8" borderId="5" xfId="7" applyBorder="1" applyAlignment="1">
      <alignment horizontal="center"/>
    </xf>
    <xf numFmtId="0" fontId="1" fillId="8" borderId="3" xfId="7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12" borderId="2" xfId="8" applyBorder="1" applyAlignment="1">
      <alignment horizontal="center"/>
    </xf>
    <xf numFmtId="0" fontId="1" fillId="12" borderId="3" xfId="8" applyBorder="1" applyAlignment="1">
      <alignment horizontal="center"/>
    </xf>
    <xf numFmtId="0" fontId="1" fillId="12" borderId="1" xfId="8" applyBorder="1" applyAlignment="1">
      <alignment horizontal="center"/>
    </xf>
    <xf numFmtId="0" fontId="1" fillId="6" borderId="1" xfId="5" applyBorder="1" applyAlignment="1">
      <alignment horizontal="center"/>
    </xf>
    <xf numFmtId="0" fontId="1" fillId="5" borderId="1" xfId="4" applyBorder="1" applyAlignment="1">
      <alignment horizontal="center"/>
    </xf>
  </cellXfs>
  <cellStyles count="12">
    <cellStyle name="20% - Accent2" xfId="2" builtinId="34"/>
    <cellStyle name="20% - Accent3" xfId="8" builtinId="38"/>
    <cellStyle name="20% - Accent4" xfId="4" builtinId="42"/>
    <cellStyle name="20% - Accent5" xfId="5" builtinId="46"/>
    <cellStyle name="20% - Accent6" xfId="7" builtinId="50"/>
    <cellStyle name="40% - Accent2" xfId="3" builtinId="35"/>
    <cellStyle name="40% - Accent3" xfId="9" builtinId="39"/>
    <cellStyle name="40% - Accent4" xfId="10" builtinId="43"/>
    <cellStyle name="40% - Accent5" xfId="6" builtinId="47"/>
    <cellStyle name="40% - Accent6" xfId="11" builtinId="51"/>
    <cellStyle name="Accent2" xfId="1" builtinId="33"/>
    <cellStyle name="Normal" xfId="0" builtinId="0"/>
  </cellStyles>
  <dxfs count="45"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5" formatCode="[$-F400]h:mm:ss\ AM/PM"/>
    </dxf>
    <dxf>
      <numFmt numFmtId="19" formatCode="m/d/yyyy"/>
    </dxf>
    <dxf>
      <alignment horizontal="center" vertical="center" textRotation="0" wrapText="1" indent="0" justifyLastLine="0" shrinkToFit="0" readingOrder="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5" formatCode="[$-F400]h:mm:ss\ AM/PM"/>
    </dxf>
    <dxf>
      <numFmt numFmtId="19" formatCode="m/d/yyyy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6" formatCode="&quot;$&quot;#,##0"/>
    </dxf>
    <dxf>
      <numFmt numFmtId="165" formatCode="[$-F400]h:mm:ss\ AM/PM"/>
    </dxf>
    <dxf>
      <numFmt numFmtId="19" formatCode="m/d/yyyy"/>
    </dxf>
    <dxf>
      <border outline="0">
        <top style="thin">
          <color theme="9"/>
        </top>
      </border>
    </dxf>
    <dxf>
      <border outline="0"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65" formatCode="[$-F400]h:mm:ss\ AM/PM"/>
    </dxf>
    <dxf>
      <numFmt numFmtId="19" formatCode="m/d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3E7665-6DBA-442A-BB78-935B98D90073}" name="AmountHarvested" displayName="AmountHarvested" ref="A2:H14" totalsRowShown="0" headerRowDxfId="44">
  <autoFilter ref="A2:H14" xr:uid="{5A940072-F460-4922-BA8D-AA5AC66BC6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AE9571D-0B87-44C6-AC5E-CC3AE241E559}" name="Date" dataDxfId="43"/>
    <tableColumn id="2" xr3:uid="{D0CFC443-43AF-40B3-B77B-4DDE037A920F}" name="Time" dataDxfId="42"/>
    <tableColumn id="3" xr3:uid="{3FCBEC5A-402C-4C73-9845-50BB746B019C}" name="Ranarr"/>
    <tableColumn id="4" xr3:uid="{17C2C462-4C29-48C3-93A3-341BC3A2DB35}" name="Limpwurt"/>
    <tableColumn id="5" xr3:uid="{14682247-52DB-41EC-9266-DD4BAB7DA131}" name="Cactus Spines"/>
    <tableColumn id="6" xr3:uid="{7B9C9639-2514-4902-A7F0-272F9F6EBC60}" name="Poison Ivy Berries"/>
    <tableColumn id="7" xr3:uid="{A22D0799-3C97-4367-8F10-AC016052F741}" name="Yanillian Hops"/>
    <tableColumn id="8" xr3:uid="{95F7746C-E581-4A69-AFB5-401748DEE6D9}" name="Giant Seaweed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C7570D-521A-42C4-88A4-BE4E3352B5DA}" name="SeedCost" displayName="SeedCost" ref="J2:S14" totalsRowShown="0" headerRowDxfId="41" headerRowBorderDxfId="40" tableBorderDxfId="39">
  <autoFilter ref="J2:S14" xr:uid="{E969A941-6C72-4121-97BD-625127B6EB1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73EE90F-F070-4C04-8F19-3CE02E3EACB9}" name="Date" dataDxfId="38">
      <calculatedColumnFormula>A3</calculatedColumnFormula>
    </tableColumn>
    <tableColumn id="2" xr3:uid="{290A44B6-A59F-478F-9EF4-719A7F69B617}" name="Time" dataDxfId="37">
      <calculatedColumnFormula>B3</calculatedColumnFormula>
    </tableColumn>
    <tableColumn id="3" xr3:uid="{6D434366-B3F0-4C8D-BA67-5F9D3426ED66}" name="Ranarr" dataDxfId="36"/>
    <tableColumn id="4" xr3:uid="{643693AE-A4DC-4699-BB21-81BFEBBF9848}" name="Total Ranarr" dataDxfId="35">
      <calculatedColumnFormula>SeedCost[[#This Row],[Ranarr]]*8</calculatedColumnFormula>
    </tableColumn>
    <tableColumn id="5" xr3:uid="{F4FADCC3-6D78-45BD-BBED-1C71601E1D90}" name="Limpwurt" dataDxfId="34"/>
    <tableColumn id="6" xr3:uid="{394A67C9-16EA-461E-929A-34458378A82C}" name="Total Limpwurt" dataDxfId="33">
      <calculatedColumnFormula>SeedCost[[#This Row],[Limpwurt]]*6</calculatedColumnFormula>
    </tableColumn>
    <tableColumn id="7" xr3:uid="{6DB87E0E-FF16-4446-AB6D-3A1E327E3D4D}" name="Yanillian Hops" dataDxfId="32"/>
    <tableColumn id="8" xr3:uid="{6D007C37-7579-42EF-918B-1E6B77FA1441}" name="Total Yanillian Hops" dataDxfId="31">
      <calculatedColumnFormula>SeedCost[[#This Row],[Yanillian Hops]]*4*4</calculatedColumnFormula>
    </tableColumn>
    <tableColumn id="9" xr3:uid="{EF60EE23-F1FF-4F53-B467-99FDD5C69354}" name="Giant Seaweed" dataDxfId="30"/>
    <tableColumn id="10" xr3:uid="{A6422035-020E-4920-AC1E-1139519F3AC7}" name="Total Giant Seaweed" dataDxfId="29">
      <calculatedColumnFormula>SeedCost[[#This Row],[Giant Seaweed]]*2</calculatedColumnFormula>
    </tableColumn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670382-012E-474E-B2E0-4C1D21089B0E}" name="GEPrice" displayName="GEPrice" ref="U2:AH14" totalsRowShown="0" headerRowDxfId="28" tableBorderDxfId="27">
  <autoFilter ref="U2:AH14" xr:uid="{8AFA7A33-3CA9-4078-951B-53F3C1A2453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1295E40-0C91-48BA-8EDC-D76D64BDD2C1}" name="Date " dataDxfId="26">
      <calculatedColumnFormula>A3</calculatedColumnFormula>
    </tableColumn>
    <tableColumn id="2" xr3:uid="{FF0B22F0-5B1D-4B8E-98E8-E3379215AC7E}" name="Time" dataDxfId="25">
      <calculatedColumnFormula>B3</calculatedColumnFormula>
    </tableColumn>
    <tableColumn id="3" xr3:uid="{BF3A50FE-F44F-48DA-95C5-DB36FEDB7928}" name="Ranarr" dataDxfId="24"/>
    <tableColumn id="4" xr3:uid="{82A610C2-3201-4B72-BB57-0D2ECFBE067A}" name="Total Ranarr" dataDxfId="23">
      <calculatedColumnFormula>GEPrice[[#This Row],[Ranarr]]*AmountHarvested[[#This Row],[Ranarr]]</calculatedColumnFormula>
    </tableColumn>
    <tableColumn id="5" xr3:uid="{047D4C3D-9007-4CB1-BFC7-EAD14E0B9371}" name="Limpwurt" dataDxfId="22"/>
    <tableColumn id="6" xr3:uid="{7D598899-AD81-4E34-B50D-FC1D8E1960FC}" name="Total Limpwurt" dataDxfId="21">
      <calculatedColumnFormula>GEPrice[[#This Row],[Limpwurt]]*AmountHarvested[[#This Row],[Limpwurt]]</calculatedColumnFormula>
    </tableColumn>
    <tableColumn id="7" xr3:uid="{18993A62-32CA-4AEE-9ACC-B1D07BFDFA05}" name="Cactus Spines" dataDxfId="20"/>
    <tableColumn id="8" xr3:uid="{32737B54-73CC-45BB-AC96-73B306D5C048}" name="Total Cactus Spines" dataDxfId="19">
      <calculatedColumnFormula>GEPrice[[#This Row],[Cactus Spines]]*AmountHarvested[[#This Row],[Cactus Spines]]</calculatedColumnFormula>
    </tableColumn>
    <tableColumn id="9" xr3:uid="{52E2859A-22A9-4F69-8180-0A4C3F56088E}" name="Poison Ivy Berries" dataDxfId="18"/>
    <tableColumn id="10" xr3:uid="{3FA090DF-F5BF-4617-8EF4-AAA96A19B7D2}" name="Total Poison Ivy Berries" dataDxfId="17">
      <calculatedColumnFormula>GEPrice[[#This Row],[Poison Ivy Berries]]*AmountHarvested[[#This Row],[Poison Ivy Berries]]</calculatedColumnFormula>
    </tableColumn>
    <tableColumn id="11" xr3:uid="{D35BE6D9-C11C-4FCD-878E-393F1D65F440}" name="Yanillian Hops" dataDxfId="16"/>
    <tableColumn id="12" xr3:uid="{6A0B4F11-7719-42A8-A04D-C8D1801F0302}" name="Total Yanillian Hops" dataDxfId="15">
      <calculatedColumnFormula>GEPrice[[#This Row],[Yanillian Hops]]*AmountHarvested[[#This Row],[Yanillian Hops]]</calculatedColumnFormula>
    </tableColumn>
    <tableColumn id="13" xr3:uid="{B59A30A2-D8F1-459C-A50D-C1BD082FACC5}" name="Giant Seaweed" dataDxfId="14"/>
    <tableColumn id="14" xr3:uid="{6E59F955-162A-4ECE-BA78-3AE0A702E72D}" name="Total Giant Seaweed" dataDxfId="13">
      <calculatedColumnFormula>GEPrice[[#This Row],[Giant Seaweed]]*AmountHarvested[[#This Row],[Giant Seaweed]]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052735-0600-4064-AB76-8EFC7B8D4D42}" name="Profit" displayName="Profit" ref="AM2:AW14" totalsRowShown="0" headerRowDxfId="12">
  <autoFilter ref="AM2:AW14" xr:uid="{DF1999BA-4305-435E-9646-BFF7ADC4ACF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733F5C5-516E-411B-9ED8-E999F52B3C14}" name="Date" dataDxfId="11">
      <calculatedColumnFormula>A3</calculatedColumnFormula>
    </tableColumn>
    <tableColumn id="2" xr3:uid="{1150B77D-D76B-41A3-BFC6-6E35C6203C41}" name="Time" dataDxfId="10">
      <calculatedColumnFormula>B3</calculatedColumnFormula>
    </tableColumn>
    <tableColumn id="3" xr3:uid="{87CBE59F-4A17-4D11-A35E-14C3F25C8415}" name="Ranarr Profit" dataDxfId="9">
      <calculatedColumnFormula>(((GEPrice[[#This Row],[Total Ranarr]])-($AK$4*8))-SeedCost[[#This Row],[Total Ranarr]])</calculatedColumnFormula>
    </tableColumn>
    <tableColumn id="4" xr3:uid="{535096A5-F6DC-4B5F-83EE-2997345B0999}" name="Limpwurt Profit" dataDxfId="8">
      <calculatedColumnFormula>(GEPrice[[#This Row],[Total Limpwurt]]-($AK$4*6))-SeedCost[[#This Row],[Total Limpwurt]]</calculatedColumnFormula>
    </tableColumn>
    <tableColumn id="5" xr3:uid="{EDBD1700-9F79-455D-A1E2-FA847BE9DFF2}" name="Cactus Spine Profit" dataDxfId="7">
      <calculatedColumnFormula>GEPrice[[#This Row],[Total Cactus Spines]]</calculatedColumnFormula>
    </tableColumn>
    <tableColumn id="6" xr3:uid="{FC5A3A14-C0E3-4831-B87E-10BB68FE8B0B}" name="Poison Ivy Berry Profit" dataDxfId="6">
      <calculatedColumnFormula>GEPrice[[#This Row],[Total Poison Ivy Berries]]</calculatedColumnFormula>
    </tableColumn>
    <tableColumn id="7" xr3:uid="{24AC92CB-5199-44DC-8BBC-45C8AFAA53A1}" name="Yanillian Hop Profit" dataDxfId="5">
      <calculatedColumnFormula>(GEPrice[[#This Row],[Total Yanillian Hops]]-($AK$4*4))-SeedCost[[#This Row],[Total Yanillian Hops]]</calculatedColumnFormula>
    </tableColumn>
    <tableColumn id="9" xr3:uid="{2346E57C-5BE6-4C90-87BE-2894A2F95A45}" name="Giant Seaweed Profit" dataDxfId="4">
      <calculatedColumnFormula>IF(SeedCost[[#This Row],[Giant Seaweed]]=0,0,(GEPrice[[#This Row],[Total Giant Seaweed]]-($AK$4*2))-SeedCost[[#This Row],[Total Giant Seaweed]])</calculatedColumnFormula>
    </tableColumn>
    <tableColumn id="11" xr3:uid="{96E61449-097C-46D0-A0E0-EA07ED63D588}" name="Gross Profit" dataDxfId="3">
      <calculatedColumnFormula>GEPrice[[#This Row],[Total Ranarr]]+GEPrice[[#This Row],[Total Limpwurt]]+GEPrice[[#This Row],[Total Cactus Spines]]+GEPrice[[#This Row],[Total Poison Ivy Berries]]+GEPrice[[#This Row],[Total Yanillian Hops]]+GEPrice[[#This Row],[Total Giant Seaweed]]</calculatedColumnFormula>
    </tableColumn>
    <tableColumn id="10" xr3:uid="{55339B54-1DC7-4012-9F77-51B760C59D79}" name="Expenses" dataDxfId="2">
      <calculatedColumnFormula>(($AK$4*8)+($AK$4*6)+($AK$4*4)+($AK$4*2))+SeedCost[[#This Row],[Total Ranarr]]+SeedCost[[#This Row],[Total Limpwurt]]+SeedCost[[#This Row],[Total Yanillian Hops]]+SeedCost[[#This Row],[Total Giant Seaweed]]</calculatedColumnFormula>
    </tableColumn>
    <tableColumn id="8" xr3:uid="{5A9C29F5-73DD-405E-9935-9616575308A6}" name="Net Profit" dataDxfId="1">
      <calculatedColumnFormula>IF((Profit[[#This Row],[Gross Profit]]-Profit[[#This Row],[Expenses]])&gt;0,Profit[[#This Row],[Gross Profit]]-Profit[[#This Row],[Expenses]],0)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00C053-D16F-429E-913E-89283575E721}" name="Table9" displayName="Table9" ref="AJ2:AK4" totalsRowShown="0">
  <autoFilter ref="AJ2:AK4" xr:uid="{78BF4C77-F32B-4F71-B1CF-7F57BBDEB5CE}">
    <filterColumn colId="0" hiddenButton="1"/>
    <filterColumn colId="1" hiddenButton="1"/>
  </autoFilter>
  <tableColumns count="2">
    <tableColumn id="1" xr3:uid="{EA742BD1-5C03-4662-A6AE-7C7BDF250D89}" name="Ultracompost"/>
    <tableColumn id="2" xr3:uid="{D305D50F-BD99-4BD0-8CAB-092A0C05B197}" name="Price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AADB-D365-4918-A1EE-2369A1003A3E}">
  <dimension ref="A1:AY19"/>
  <sheetViews>
    <sheetView tabSelected="1" zoomScaleNormal="100" workbookViewId="0">
      <selection activeCell="AY4" sqref="AY4"/>
    </sheetView>
  </sheetViews>
  <sheetFormatPr defaultRowHeight="15" x14ac:dyDescent="0.25"/>
  <cols>
    <col min="1" max="1" width="9.7109375" bestFit="1" customWidth="1"/>
    <col min="2" max="2" width="11.5703125" style="18" bestFit="1" customWidth="1"/>
    <col min="3" max="3" width="6.7109375" bestFit="1" customWidth="1"/>
    <col min="4" max="4" width="9.42578125" bestFit="1" customWidth="1"/>
    <col min="5" max="5" width="6.85546875" bestFit="1" customWidth="1"/>
    <col min="6" max="6" width="10" bestFit="1" customWidth="1"/>
    <col min="7" max="7" width="8.7109375" bestFit="1" customWidth="1"/>
    <col min="8" max="8" width="9.140625" bestFit="1" customWidth="1"/>
    <col min="10" max="10" width="9.7109375" bestFit="1" customWidth="1"/>
    <col min="11" max="11" width="11.5703125" bestFit="1" customWidth="1"/>
    <col min="12" max="12" width="7.5703125" bestFit="1" customWidth="1"/>
    <col min="13" max="13" width="8.5703125" customWidth="1"/>
    <col min="14" max="15" width="9.42578125" bestFit="1" customWidth="1"/>
    <col min="16" max="16" width="8.7109375" bestFit="1" customWidth="1"/>
    <col min="17" max="17" width="13.7109375" bestFit="1" customWidth="1"/>
    <col min="18" max="18" width="9.140625" bestFit="1" customWidth="1"/>
    <col min="19" max="19" width="10.7109375" bestFit="1" customWidth="1"/>
    <col min="20" max="20" width="9.140625" customWidth="1"/>
    <col min="21" max="21" width="9.7109375" bestFit="1" customWidth="1"/>
    <col min="22" max="22" width="11.5703125" bestFit="1" customWidth="1"/>
    <col min="23" max="23" width="7.5703125" bestFit="1" customWidth="1"/>
    <col min="24" max="24" width="8.5703125" bestFit="1" customWidth="1"/>
    <col min="25" max="26" width="9.42578125" bestFit="1" customWidth="1"/>
    <col min="27" max="27" width="6.85546875" bestFit="1" customWidth="1"/>
    <col min="28" max="28" width="11.5703125" bestFit="1" customWidth="1"/>
    <col min="29" max="29" width="10" bestFit="1" customWidth="1"/>
    <col min="30" max="30" width="11.85546875" bestFit="1" customWidth="1"/>
    <col min="31" max="32" width="13.7109375" bestFit="1" customWidth="1"/>
    <col min="33" max="34" width="13.7109375" customWidth="1"/>
    <col min="36" max="36" width="15" customWidth="1"/>
    <col min="37" max="37" width="5.42578125" bestFit="1" customWidth="1"/>
    <col min="38" max="38" width="11.5703125" bestFit="1" customWidth="1"/>
    <col min="39" max="39" width="9.7109375" bestFit="1" customWidth="1"/>
    <col min="40" max="40" width="11.5703125" bestFit="1" customWidth="1"/>
    <col min="41" max="41" width="9.28515625" bestFit="1" customWidth="1"/>
    <col min="42" max="42" width="9.42578125" bestFit="1" customWidth="1"/>
    <col min="43" max="43" width="12.140625" bestFit="1" customWidth="1"/>
    <col min="44" max="44" width="15.28515625" bestFit="1" customWidth="1"/>
    <col min="45" max="45" width="12.7109375" bestFit="1" customWidth="1"/>
    <col min="46" max="46" width="14.5703125" bestFit="1" customWidth="1"/>
    <col min="47" max="48" width="14.5703125" customWidth="1"/>
    <col min="49" max="49" width="11.85546875" bestFit="1" customWidth="1"/>
    <col min="51" max="51" width="10.85546875" bestFit="1" customWidth="1"/>
  </cols>
  <sheetData>
    <row r="1" spans="1:51" x14ac:dyDescent="0.25">
      <c r="A1" s="66" t="s">
        <v>20</v>
      </c>
      <c r="B1" s="66"/>
      <c r="C1" s="66"/>
      <c r="D1" s="66"/>
      <c r="E1" s="66"/>
      <c r="F1" s="66"/>
      <c r="G1" s="66"/>
      <c r="H1" s="31"/>
      <c r="J1" s="66" t="s">
        <v>22</v>
      </c>
      <c r="K1" s="66"/>
      <c r="L1" s="66"/>
      <c r="M1" s="66"/>
      <c r="N1" s="66"/>
      <c r="O1" s="66"/>
      <c r="P1" s="66"/>
      <c r="Q1" s="66"/>
      <c r="R1" s="31"/>
      <c r="S1" s="31"/>
      <c r="T1" s="20"/>
      <c r="U1" s="65" t="s">
        <v>39</v>
      </c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31"/>
      <c r="AH1" s="31"/>
      <c r="AJ1" s="67" t="s">
        <v>66</v>
      </c>
      <c r="AK1" s="67"/>
      <c r="AM1" s="65" t="s">
        <v>30</v>
      </c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51" ht="30" x14ac:dyDescent="0.25">
      <c r="A2" s="2" t="s">
        <v>18</v>
      </c>
      <c r="B2" s="22" t="s">
        <v>21</v>
      </c>
      <c r="C2" s="2" t="s">
        <v>15</v>
      </c>
      <c r="D2" s="2" t="s">
        <v>24</v>
      </c>
      <c r="E2" s="2" t="s">
        <v>19</v>
      </c>
      <c r="F2" s="2" t="s">
        <v>16</v>
      </c>
      <c r="G2" s="2" t="s">
        <v>17</v>
      </c>
      <c r="H2" s="2" t="s">
        <v>1</v>
      </c>
      <c r="J2" s="23" t="s">
        <v>18</v>
      </c>
      <c r="K2" s="24" t="s">
        <v>21</v>
      </c>
      <c r="L2" s="23" t="s">
        <v>15</v>
      </c>
      <c r="M2" s="23" t="s">
        <v>23</v>
      </c>
      <c r="N2" s="23" t="s">
        <v>24</v>
      </c>
      <c r="O2" s="23" t="s">
        <v>25</v>
      </c>
      <c r="P2" s="23" t="s">
        <v>17</v>
      </c>
      <c r="Q2" s="23" t="s">
        <v>26</v>
      </c>
      <c r="R2" s="23" t="s">
        <v>1</v>
      </c>
      <c r="S2" s="23" t="s">
        <v>40</v>
      </c>
      <c r="T2" s="21"/>
      <c r="U2" s="25" t="s">
        <v>27</v>
      </c>
      <c r="V2" s="25" t="s">
        <v>21</v>
      </c>
      <c r="W2" s="25" t="s">
        <v>15</v>
      </c>
      <c r="X2" s="25" t="s">
        <v>23</v>
      </c>
      <c r="Y2" s="25" t="s">
        <v>24</v>
      </c>
      <c r="Z2" s="25" t="s">
        <v>25</v>
      </c>
      <c r="AA2" s="25" t="s">
        <v>19</v>
      </c>
      <c r="AB2" s="26" t="s">
        <v>28</v>
      </c>
      <c r="AC2" s="26" t="s">
        <v>16</v>
      </c>
      <c r="AD2" s="26" t="s">
        <v>29</v>
      </c>
      <c r="AE2" s="26" t="s">
        <v>17</v>
      </c>
      <c r="AF2" s="26" t="s">
        <v>26</v>
      </c>
      <c r="AG2" s="26" t="s">
        <v>1</v>
      </c>
      <c r="AH2" s="26" t="s">
        <v>40</v>
      </c>
      <c r="AJ2" t="s">
        <v>36</v>
      </c>
      <c r="AK2" t="s">
        <v>7</v>
      </c>
      <c r="AM2" s="2" t="s">
        <v>18</v>
      </c>
      <c r="AN2" s="2" t="s">
        <v>21</v>
      </c>
      <c r="AO2" s="2" t="s">
        <v>31</v>
      </c>
      <c r="AP2" s="2" t="s">
        <v>32</v>
      </c>
      <c r="AQ2" s="2" t="s">
        <v>33</v>
      </c>
      <c r="AR2" s="2" t="s">
        <v>35</v>
      </c>
      <c r="AS2" s="2" t="s">
        <v>34</v>
      </c>
      <c r="AT2" s="2" t="s">
        <v>41</v>
      </c>
      <c r="AU2" s="2" t="s">
        <v>62</v>
      </c>
      <c r="AV2" s="2" t="s">
        <v>64</v>
      </c>
      <c r="AW2" s="2" t="s">
        <v>63</v>
      </c>
      <c r="AY2" s="27" t="s">
        <v>65</v>
      </c>
    </row>
    <row r="3" spans="1:51" x14ac:dyDescent="0.25">
      <c r="A3" s="17"/>
      <c r="J3" s="17">
        <f>A3</f>
        <v>0</v>
      </c>
      <c r="K3" s="18">
        <f>B3</f>
        <v>0</v>
      </c>
      <c r="L3" s="19"/>
      <c r="M3" s="19">
        <f>SeedCost[[#This Row],[Ranarr]]*8</f>
        <v>0</v>
      </c>
      <c r="N3" s="19"/>
      <c r="O3" s="19">
        <f>SeedCost[[#This Row],[Limpwurt]]*6</f>
        <v>0</v>
      </c>
      <c r="P3" s="19"/>
      <c r="Q3" s="19">
        <f>SeedCost[[#This Row],[Yanillian Hops]]*4*4</f>
        <v>0</v>
      </c>
      <c r="R3" s="19"/>
      <c r="S3" s="19">
        <f>SeedCost[[#This Row],[Giant Seaweed]]*2</f>
        <v>0</v>
      </c>
      <c r="T3" s="20"/>
      <c r="U3" s="17">
        <f>A3</f>
        <v>0</v>
      </c>
      <c r="V3" s="18">
        <f>B3</f>
        <v>0</v>
      </c>
      <c r="W3" s="19"/>
      <c r="X3" s="19">
        <f>GEPrice[[#This Row],[Ranarr]]*AmountHarvested[[#This Row],[Ranarr]]</f>
        <v>0</v>
      </c>
      <c r="Y3" s="19"/>
      <c r="Z3" s="19">
        <f>GEPrice[[#This Row],[Limpwurt]]*AmountHarvested[[#This Row],[Limpwurt]]</f>
        <v>0</v>
      </c>
      <c r="AA3" s="19"/>
      <c r="AB3" s="19">
        <f>GEPrice[[#This Row],[Cactus Spines]]*AmountHarvested[[#This Row],[Cactus Spines]]</f>
        <v>0</v>
      </c>
      <c r="AC3" s="19"/>
      <c r="AD3" s="19">
        <f>GEPrice[[#This Row],[Poison Ivy Berries]]*AmountHarvested[[#This Row],[Poison Ivy Berries]]</f>
        <v>0</v>
      </c>
      <c r="AE3" s="19"/>
      <c r="AF3" s="19">
        <f>GEPrice[[#This Row],[Yanillian Hops]]*AmountHarvested[[#This Row],[Yanillian Hops]]</f>
        <v>0</v>
      </c>
      <c r="AG3" s="19"/>
      <c r="AH3" s="19">
        <f>GEPrice[[#This Row],[Giant Seaweed]]*AmountHarvested[[#This Row],[Giant Seaweed]]</f>
        <v>0</v>
      </c>
      <c r="AJ3" t="s">
        <v>37</v>
      </c>
      <c r="AK3" s="19">
        <v>900</v>
      </c>
      <c r="AM3" s="17">
        <f>A3</f>
        <v>0</v>
      </c>
      <c r="AN3" s="18">
        <f>B3</f>
        <v>0</v>
      </c>
      <c r="AO3" s="19">
        <f>(((GEPrice[[#This Row],[Total Ranarr]])-($AK$4*8))-SeedCost[[#This Row],[Total Ranarr]])</f>
        <v>-3600</v>
      </c>
      <c r="AP3" s="19">
        <f>(GEPrice[[#This Row],[Total Limpwurt]]-($AK$4*6))-SeedCost[[#This Row],[Total Limpwurt]]</f>
        <v>-2700</v>
      </c>
      <c r="AQ3" s="19">
        <f>GEPrice[[#This Row],[Total Cactus Spines]]</f>
        <v>0</v>
      </c>
      <c r="AR3" s="19">
        <f>GEPrice[[#This Row],[Total Poison Ivy Berries]]</f>
        <v>0</v>
      </c>
      <c r="AS3" s="19">
        <f>(GEPrice[[#This Row],[Total Yanillian Hops]]-($AK$4*4))-SeedCost[[#This Row],[Total Yanillian Hops]]</f>
        <v>-1800</v>
      </c>
      <c r="AT3" s="19">
        <f>IF(SeedCost[[#This Row],[Giant Seaweed]]=0,0,(GEPrice[[#This Row],[Total Giant Seaweed]]-($AK$4*2))-SeedCost[[#This Row],[Total Giant Seaweed]])</f>
        <v>0</v>
      </c>
      <c r="AU3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3" s="19">
        <f>(($AK$4*8)+($AK$4*6)+($AK$4*4)+($AK$4*2))+SeedCost[[#This Row],[Total Ranarr]]+SeedCost[[#This Row],[Total Limpwurt]]+SeedCost[[#This Row],[Total Yanillian Hops]]+SeedCost[[#This Row],[Total Giant Seaweed]]</f>
        <v>9000</v>
      </c>
      <c r="AW3" s="19">
        <f>IF((Profit[[#This Row],[Gross Profit]]-Profit[[#This Row],[Expenses]])&gt;0,Profit[[#This Row],[Gross Profit]]-Profit[[#This Row],[Expenses]],0)</f>
        <v>0</v>
      </c>
      <c r="AY3" s="28">
        <f>SUMIF(Profit[Net Profit],"&gt;0")</f>
        <v>0</v>
      </c>
    </row>
    <row r="4" spans="1:51" x14ac:dyDescent="0.25">
      <c r="A4" s="17"/>
      <c r="J4" s="17">
        <f>A4</f>
        <v>0</v>
      </c>
      <c r="K4" s="18">
        <f>B4</f>
        <v>0</v>
      </c>
      <c r="L4" s="19"/>
      <c r="M4" s="19">
        <f>SeedCost[[#This Row],[Ranarr]]*8</f>
        <v>0</v>
      </c>
      <c r="N4" s="19"/>
      <c r="O4" s="19">
        <f>SeedCost[[#This Row],[Limpwurt]]*6</f>
        <v>0</v>
      </c>
      <c r="P4" s="19"/>
      <c r="Q4" s="19">
        <f>SeedCost[[#This Row],[Yanillian Hops]]*4*4</f>
        <v>0</v>
      </c>
      <c r="R4" s="19"/>
      <c r="S4" s="19">
        <f>SeedCost[[#This Row],[Giant Seaweed]]*2</f>
        <v>0</v>
      </c>
      <c r="T4" s="20"/>
      <c r="U4" s="17">
        <f>A4</f>
        <v>0</v>
      </c>
      <c r="V4" s="18">
        <f>B4</f>
        <v>0</v>
      </c>
      <c r="W4" s="19"/>
      <c r="X4" s="19">
        <f>GEPrice[[#This Row],[Ranarr]]*AmountHarvested[[#This Row],[Ranarr]]</f>
        <v>0</v>
      </c>
      <c r="Y4" s="19"/>
      <c r="Z4" s="19">
        <f>GEPrice[[#This Row],[Limpwurt]]*AmountHarvested[[#This Row],[Limpwurt]]</f>
        <v>0</v>
      </c>
      <c r="AA4" s="19"/>
      <c r="AB4" s="19">
        <f>GEPrice[[#This Row],[Cactus Spines]]*AmountHarvested[[#This Row],[Cactus Spines]]</f>
        <v>0</v>
      </c>
      <c r="AC4" s="19"/>
      <c r="AD4" s="19">
        <f>GEPrice[[#This Row],[Poison Ivy Berries]]*AmountHarvested[[#This Row],[Poison Ivy Berries]]</f>
        <v>0</v>
      </c>
      <c r="AE4" s="19"/>
      <c r="AF4" s="19">
        <f>GEPrice[[#This Row],[Yanillian Hops]]*AmountHarvested[[#This Row],[Yanillian Hops]]</f>
        <v>0</v>
      </c>
      <c r="AG4" s="19"/>
      <c r="AH4" s="19">
        <f>GEPrice[[#This Row],[Giant Seaweed]]*AmountHarvested[[#This Row],[Giant Seaweed]]</f>
        <v>0</v>
      </c>
      <c r="AJ4" t="s">
        <v>38</v>
      </c>
      <c r="AK4" s="19">
        <f>AK3/2</f>
        <v>450</v>
      </c>
      <c r="AM4" s="17">
        <f>A4</f>
        <v>0</v>
      </c>
      <c r="AN4" s="18">
        <f t="shared" ref="AN4:AN11" si="0">B4</f>
        <v>0</v>
      </c>
      <c r="AO4" s="19">
        <f>(((GEPrice[[#This Row],[Total Ranarr]])-($AK$4*8))-SeedCost[[#This Row],[Total Ranarr]])</f>
        <v>-3600</v>
      </c>
      <c r="AP4" s="19">
        <f>(GEPrice[[#This Row],[Total Limpwurt]]-($AK$4*6))-SeedCost[[#This Row],[Total Limpwurt]]</f>
        <v>-2700</v>
      </c>
      <c r="AQ4" s="19">
        <f>GEPrice[[#This Row],[Total Cactus Spines]]</f>
        <v>0</v>
      </c>
      <c r="AR4" s="19">
        <f>GEPrice[[#This Row],[Total Poison Ivy Berries]]</f>
        <v>0</v>
      </c>
      <c r="AS4" s="19">
        <f>(GEPrice[[#This Row],[Total Yanillian Hops]]-($AK$4*4))-SeedCost[[#This Row],[Total Yanillian Hops]]</f>
        <v>-1800</v>
      </c>
      <c r="AT4" s="19">
        <f>IF(SeedCost[[#This Row],[Giant Seaweed]]=0,0,(GEPrice[[#This Row],[Total Giant Seaweed]]-($AK$4*2))-SeedCost[[#This Row],[Total Giant Seaweed]])</f>
        <v>0</v>
      </c>
      <c r="AU4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4" s="19">
        <f>(($AK$4*8)+($AK$4*6)+($AK$4*4)+($AK$4*2))+SeedCost[[#This Row],[Total Ranarr]]+SeedCost[[#This Row],[Total Limpwurt]]+SeedCost[[#This Row],[Total Yanillian Hops]]+SeedCost[[#This Row],[Total Giant Seaweed]]</f>
        <v>9000</v>
      </c>
      <c r="AW4" s="19">
        <f>IF((Profit[[#This Row],[Gross Profit]]-Profit[[#This Row],[Expenses]])&gt;0,Profit[[#This Row],[Gross Profit]]-Profit[[#This Row],[Expenses]],0)</f>
        <v>0</v>
      </c>
    </row>
    <row r="5" spans="1:51" x14ac:dyDescent="0.25">
      <c r="A5" s="17"/>
      <c r="J5" s="17">
        <f t="shared" ref="J5:J11" si="1">A5</f>
        <v>0</v>
      </c>
      <c r="K5" s="18">
        <f t="shared" ref="K5:K11" si="2">B5</f>
        <v>0</v>
      </c>
      <c r="L5" s="19"/>
      <c r="M5" s="19">
        <f>SeedCost[[#This Row],[Ranarr]]*8</f>
        <v>0</v>
      </c>
      <c r="N5" s="19"/>
      <c r="O5" s="19">
        <f>SeedCost[[#This Row],[Limpwurt]]*6</f>
        <v>0</v>
      </c>
      <c r="P5" s="19"/>
      <c r="Q5" s="19">
        <f>SeedCost[[#This Row],[Yanillian Hops]]*4*4</f>
        <v>0</v>
      </c>
      <c r="R5" s="19"/>
      <c r="S5" s="19">
        <f>SeedCost[[#This Row],[Giant Seaweed]]*2</f>
        <v>0</v>
      </c>
      <c r="T5" s="20"/>
      <c r="U5" s="17">
        <f t="shared" ref="U5:U11" si="3">A5</f>
        <v>0</v>
      </c>
      <c r="V5" s="18">
        <f t="shared" ref="V5:V11" si="4">B5</f>
        <v>0</v>
      </c>
      <c r="W5" s="19"/>
      <c r="X5" s="19">
        <f>GEPrice[[#This Row],[Ranarr]]*AmountHarvested[[#This Row],[Ranarr]]</f>
        <v>0</v>
      </c>
      <c r="Y5" s="19"/>
      <c r="Z5" s="19">
        <f>GEPrice[[#This Row],[Limpwurt]]*AmountHarvested[[#This Row],[Limpwurt]]</f>
        <v>0</v>
      </c>
      <c r="AA5" s="19"/>
      <c r="AB5" s="19">
        <f>GEPrice[[#This Row],[Cactus Spines]]*AmountHarvested[[#This Row],[Cactus Spines]]</f>
        <v>0</v>
      </c>
      <c r="AC5" s="19"/>
      <c r="AD5" s="19">
        <f>GEPrice[[#This Row],[Poison Ivy Berries]]*AmountHarvested[[#This Row],[Poison Ivy Berries]]</f>
        <v>0</v>
      </c>
      <c r="AE5" s="19"/>
      <c r="AF5" s="19">
        <f>GEPrice[[#This Row],[Yanillian Hops]]*AmountHarvested[[#This Row],[Yanillian Hops]]</f>
        <v>0</v>
      </c>
      <c r="AG5" s="19"/>
      <c r="AH5" s="19">
        <f>GEPrice[[#This Row],[Giant Seaweed]]*AmountHarvested[[#This Row],[Giant Seaweed]]</f>
        <v>0</v>
      </c>
      <c r="AM5" s="17">
        <f t="shared" ref="AM5:AM11" si="5">A5</f>
        <v>0</v>
      </c>
      <c r="AN5" s="18">
        <f t="shared" si="0"/>
        <v>0</v>
      </c>
      <c r="AO5" s="19">
        <f>(((GEPrice[[#This Row],[Total Ranarr]])-($AK$4*8))-SeedCost[[#This Row],[Total Ranarr]])</f>
        <v>-3600</v>
      </c>
      <c r="AP5" s="19">
        <f>(GEPrice[[#This Row],[Total Limpwurt]]-($AK$4*6))-SeedCost[[#This Row],[Total Limpwurt]]</f>
        <v>-2700</v>
      </c>
      <c r="AQ5" s="19">
        <f>GEPrice[[#This Row],[Total Cactus Spines]]</f>
        <v>0</v>
      </c>
      <c r="AR5" s="19">
        <f>GEPrice[[#This Row],[Total Poison Ivy Berries]]</f>
        <v>0</v>
      </c>
      <c r="AS5" s="19">
        <f>(GEPrice[[#This Row],[Total Yanillian Hops]]-($AK$4*4))-SeedCost[[#This Row],[Total Yanillian Hops]]</f>
        <v>-1800</v>
      </c>
      <c r="AT5" s="19">
        <f>IF(SeedCost[[#This Row],[Giant Seaweed]]=0,0,(GEPrice[[#This Row],[Total Giant Seaweed]]-($AK$4*2))-SeedCost[[#This Row],[Total Giant Seaweed]])</f>
        <v>0</v>
      </c>
      <c r="AU5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5" s="19">
        <f>(($AK$4*8)+($AK$4*6)+($AK$4*4)+($AK$4*2))+SeedCost[[#This Row],[Total Ranarr]]+SeedCost[[#This Row],[Total Limpwurt]]+SeedCost[[#This Row],[Total Yanillian Hops]]+SeedCost[[#This Row],[Total Giant Seaweed]]</f>
        <v>9000</v>
      </c>
      <c r="AW5" s="19">
        <f>IF((Profit[[#This Row],[Gross Profit]]-Profit[[#This Row],[Expenses]])&gt;0,Profit[[#This Row],[Gross Profit]]-Profit[[#This Row],[Expenses]],0)</f>
        <v>0</v>
      </c>
    </row>
    <row r="6" spans="1:51" x14ac:dyDescent="0.25">
      <c r="A6" s="17"/>
      <c r="J6" s="17">
        <f t="shared" si="1"/>
        <v>0</v>
      </c>
      <c r="K6" s="18">
        <f t="shared" si="2"/>
        <v>0</v>
      </c>
      <c r="L6" s="19"/>
      <c r="M6" s="19">
        <f>SeedCost[[#This Row],[Ranarr]]*8</f>
        <v>0</v>
      </c>
      <c r="N6" s="19"/>
      <c r="O6" s="19">
        <f>SeedCost[[#This Row],[Limpwurt]]*6</f>
        <v>0</v>
      </c>
      <c r="P6" s="19"/>
      <c r="Q6" s="19">
        <f>SeedCost[[#This Row],[Yanillian Hops]]*4*4</f>
        <v>0</v>
      </c>
      <c r="R6" s="19"/>
      <c r="S6" s="19">
        <f>SeedCost[[#This Row],[Giant Seaweed]]*2</f>
        <v>0</v>
      </c>
      <c r="T6" s="20"/>
      <c r="U6" s="17">
        <f t="shared" si="3"/>
        <v>0</v>
      </c>
      <c r="V6" s="18">
        <f t="shared" si="4"/>
        <v>0</v>
      </c>
      <c r="W6" s="19"/>
      <c r="X6" s="19">
        <f>GEPrice[[#This Row],[Ranarr]]*AmountHarvested[[#This Row],[Ranarr]]</f>
        <v>0</v>
      </c>
      <c r="Y6" s="19"/>
      <c r="Z6" s="19">
        <f>GEPrice[[#This Row],[Limpwurt]]*AmountHarvested[[#This Row],[Limpwurt]]</f>
        <v>0</v>
      </c>
      <c r="AA6" s="19"/>
      <c r="AB6" s="19">
        <f>GEPrice[[#This Row],[Cactus Spines]]*AmountHarvested[[#This Row],[Cactus Spines]]</f>
        <v>0</v>
      </c>
      <c r="AC6" s="19"/>
      <c r="AD6" s="19">
        <f>GEPrice[[#This Row],[Poison Ivy Berries]]*AmountHarvested[[#This Row],[Poison Ivy Berries]]</f>
        <v>0</v>
      </c>
      <c r="AE6" s="19"/>
      <c r="AF6" s="19">
        <f>GEPrice[[#This Row],[Yanillian Hops]]*AmountHarvested[[#This Row],[Yanillian Hops]]</f>
        <v>0</v>
      </c>
      <c r="AG6" s="19"/>
      <c r="AH6" s="19">
        <f>GEPrice[[#This Row],[Giant Seaweed]]*AmountHarvested[[#This Row],[Giant Seaweed]]</f>
        <v>0</v>
      </c>
      <c r="AM6" s="17">
        <f t="shared" si="5"/>
        <v>0</v>
      </c>
      <c r="AN6" s="18">
        <f t="shared" si="0"/>
        <v>0</v>
      </c>
      <c r="AO6" s="19">
        <f>(((GEPrice[[#This Row],[Total Ranarr]])-($AK$4*8))-SeedCost[[#This Row],[Total Ranarr]])</f>
        <v>-3600</v>
      </c>
      <c r="AP6" s="19">
        <f>(GEPrice[[#This Row],[Total Limpwurt]]-($AK$4*6))-SeedCost[[#This Row],[Total Limpwurt]]</f>
        <v>-2700</v>
      </c>
      <c r="AQ6" s="19">
        <f>GEPrice[[#This Row],[Total Cactus Spines]]</f>
        <v>0</v>
      </c>
      <c r="AR6" s="19">
        <f>GEPrice[[#This Row],[Total Poison Ivy Berries]]</f>
        <v>0</v>
      </c>
      <c r="AS6" s="19">
        <f>(GEPrice[[#This Row],[Total Yanillian Hops]]-($AK$4*4))-SeedCost[[#This Row],[Total Yanillian Hops]]</f>
        <v>-1800</v>
      </c>
      <c r="AT6" s="19">
        <f>IF(SeedCost[[#This Row],[Giant Seaweed]]=0,0,(GEPrice[[#This Row],[Total Giant Seaweed]]-($AK$4*2))-SeedCost[[#This Row],[Total Giant Seaweed]])</f>
        <v>0</v>
      </c>
      <c r="AU6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6" s="19">
        <f>(($AK$4*8)+($AK$4*6)+($AK$4*4)+($AK$4*2))+SeedCost[[#This Row],[Total Ranarr]]+SeedCost[[#This Row],[Total Limpwurt]]+SeedCost[[#This Row],[Total Yanillian Hops]]+SeedCost[[#This Row],[Total Giant Seaweed]]</f>
        <v>9000</v>
      </c>
      <c r="AW6" s="19">
        <f>IF((Profit[[#This Row],[Gross Profit]]-Profit[[#This Row],[Expenses]])&gt;0,Profit[[#This Row],[Gross Profit]]-Profit[[#This Row],[Expenses]],0)</f>
        <v>0</v>
      </c>
    </row>
    <row r="7" spans="1:51" x14ac:dyDescent="0.25">
      <c r="A7" s="17"/>
      <c r="J7" s="17">
        <f t="shared" si="1"/>
        <v>0</v>
      </c>
      <c r="K7" s="18">
        <f t="shared" si="2"/>
        <v>0</v>
      </c>
      <c r="L7" s="19"/>
      <c r="M7" s="19">
        <f>SeedCost[[#This Row],[Ranarr]]*8</f>
        <v>0</v>
      </c>
      <c r="N7" s="19"/>
      <c r="O7" s="19">
        <f>SeedCost[[#This Row],[Limpwurt]]*6</f>
        <v>0</v>
      </c>
      <c r="P7" s="19"/>
      <c r="Q7" s="19">
        <f>SeedCost[[#This Row],[Yanillian Hops]]*4*4</f>
        <v>0</v>
      </c>
      <c r="R7" s="19"/>
      <c r="S7" s="19">
        <f>SeedCost[[#This Row],[Giant Seaweed]]*2</f>
        <v>0</v>
      </c>
      <c r="T7" s="19"/>
      <c r="U7" s="17">
        <f t="shared" si="3"/>
        <v>0</v>
      </c>
      <c r="V7" s="18">
        <f t="shared" si="4"/>
        <v>0</v>
      </c>
      <c r="W7" s="19"/>
      <c r="X7" s="19">
        <f>GEPrice[[#This Row],[Ranarr]]*AmountHarvested[[#This Row],[Ranarr]]</f>
        <v>0</v>
      </c>
      <c r="Y7" s="19"/>
      <c r="Z7" s="19">
        <f>GEPrice[[#This Row],[Limpwurt]]*AmountHarvested[[#This Row],[Limpwurt]]</f>
        <v>0</v>
      </c>
      <c r="AA7" s="19"/>
      <c r="AB7" s="19">
        <f>GEPrice[[#This Row],[Cactus Spines]]*AmountHarvested[[#This Row],[Cactus Spines]]</f>
        <v>0</v>
      </c>
      <c r="AC7" s="19"/>
      <c r="AD7" s="19">
        <f>GEPrice[[#This Row],[Poison Ivy Berries]]*AmountHarvested[[#This Row],[Poison Ivy Berries]]</f>
        <v>0</v>
      </c>
      <c r="AE7" s="19"/>
      <c r="AF7" s="19">
        <f>GEPrice[[#This Row],[Yanillian Hops]]*AmountHarvested[[#This Row],[Yanillian Hops]]</f>
        <v>0</v>
      </c>
      <c r="AG7" s="19"/>
      <c r="AH7" s="19">
        <f>GEPrice[[#This Row],[Giant Seaweed]]*AmountHarvested[[#This Row],[Giant Seaweed]]</f>
        <v>0</v>
      </c>
      <c r="AM7" s="17">
        <f t="shared" si="5"/>
        <v>0</v>
      </c>
      <c r="AN7" s="18">
        <f t="shared" si="0"/>
        <v>0</v>
      </c>
      <c r="AO7" s="19">
        <f>(((GEPrice[[#This Row],[Total Ranarr]])-($AK$4*8))-SeedCost[[#This Row],[Total Ranarr]])</f>
        <v>-3600</v>
      </c>
      <c r="AP7" s="19">
        <f>(GEPrice[[#This Row],[Total Limpwurt]]-($AK$4*6))-SeedCost[[#This Row],[Total Limpwurt]]</f>
        <v>-2700</v>
      </c>
      <c r="AQ7" s="19">
        <f>GEPrice[[#This Row],[Total Cactus Spines]]</f>
        <v>0</v>
      </c>
      <c r="AR7" s="19">
        <f>GEPrice[[#This Row],[Total Poison Ivy Berries]]</f>
        <v>0</v>
      </c>
      <c r="AS7" s="19">
        <f>(GEPrice[[#This Row],[Total Yanillian Hops]]-($AK$4*4))-SeedCost[[#This Row],[Total Yanillian Hops]]</f>
        <v>-1800</v>
      </c>
      <c r="AT7" s="19">
        <f>IF(SeedCost[[#This Row],[Giant Seaweed]]=0,0,(GEPrice[[#This Row],[Total Giant Seaweed]]-($AK$4*2))-SeedCost[[#This Row],[Total Giant Seaweed]])</f>
        <v>0</v>
      </c>
      <c r="AU7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7" s="19">
        <f>(($AK$4*8)+($AK$4*6)+($AK$4*4)+($AK$4*2))+SeedCost[[#This Row],[Total Ranarr]]+SeedCost[[#This Row],[Total Limpwurt]]+SeedCost[[#This Row],[Total Yanillian Hops]]+SeedCost[[#This Row],[Total Giant Seaweed]]</f>
        <v>9000</v>
      </c>
      <c r="AW7" s="19">
        <f>IF((Profit[[#This Row],[Gross Profit]]-Profit[[#This Row],[Expenses]])&gt;0,Profit[[#This Row],[Gross Profit]]-Profit[[#This Row],[Expenses]],0)</f>
        <v>0</v>
      </c>
    </row>
    <row r="8" spans="1:51" x14ac:dyDescent="0.25">
      <c r="A8" s="17"/>
      <c r="J8" s="17">
        <f t="shared" si="1"/>
        <v>0</v>
      </c>
      <c r="K8" s="18">
        <f t="shared" si="2"/>
        <v>0</v>
      </c>
      <c r="L8" s="19"/>
      <c r="M8" s="19">
        <f>SeedCost[[#This Row],[Ranarr]]*8</f>
        <v>0</v>
      </c>
      <c r="N8" s="19"/>
      <c r="O8" s="19">
        <f>SeedCost[[#This Row],[Limpwurt]]*6</f>
        <v>0</v>
      </c>
      <c r="P8" s="19"/>
      <c r="Q8" s="19">
        <f>SeedCost[[#This Row],[Yanillian Hops]]*4*4</f>
        <v>0</v>
      </c>
      <c r="R8" s="19"/>
      <c r="S8" s="19">
        <f>SeedCost[[#This Row],[Giant Seaweed]]*2</f>
        <v>0</v>
      </c>
      <c r="T8" s="19"/>
      <c r="U8" s="17">
        <f t="shared" si="3"/>
        <v>0</v>
      </c>
      <c r="V8" s="18">
        <f t="shared" si="4"/>
        <v>0</v>
      </c>
      <c r="W8" s="19"/>
      <c r="X8" s="19">
        <f>GEPrice[[#This Row],[Ranarr]]*AmountHarvested[[#This Row],[Ranarr]]</f>
        <v>0</v>
      </c>
      <c r="Y8" s="19"/>
      <c r="Z8" s="19">
        <f>GEPrice[[#This Row],[Limpwurt]]*AmountHarvested[[#This Row],[Limpwurt]]</f>
        <v>0</v>
      </c>
      <c r="AA8" s="19"/>
      <c r="AB8" s="19">
        <f>GEPrice[[#This Row],[Cactus Spines]]*AmountHarvested[[#This Row],[Cactus Spines]]</f>
        <v>0</v>
      </c>
      <c r="AC8" s="19"/>
      <c r="AD8" s="19">
        <f>GEPrice[[#This Row],[Poison Ivy Berries]]*AmountHarvested[[#This Row],[Poison Ivy Berries]]</f>
        <v>0</v>
      </c>
      <c r="AE8" s="19"/>
      <c r="AF8" s="19">
        <f>GEPrice[[#This Row],[Yanillian Hops]]*AmountHarvested[[#This Row],[Yanillian Hops]]</f>
        <v>0</v>
      </c>
      <c r="AG8" s="19"/>
      <c r="AH8" s="19">
        <f>GEPrice[[#This Row],[Giant Seaweed]]*AmountHarvested[[#This Row],[Giant Seaweed]]</f>
        <v>0</v>
      </c>
      <c r="AM8" s="17">
        <f t="shared" si="5"/>
        <v>0</v>
      </c>
      <c r="AN8" s="18">
        <f t="shared" si="0"/>
        <v>0</v>
      </c>
      <c r="AO8" s="19">
        <f>(((GEPrice[[#This Row],[Total Ranarr]])-($AK$4*8))-SeedCost[[#This Row],[Total Ranarr]])</f>
        <v>-3600</v>
      </c>
      <c r="AP8" s="19">
        <f>(GEPrice[[#This Row],[Total Limpwurt]]-($AK$4*6))-SeedCost[[#This Row],[Total Limpwurt]]</f>
        <v>-2700</v>
      </c>
      <c r="AQ8" s="19">
        <f>GEPrice[[#This Row],[Total Cactus Spines]]</f>
        <v>0</v>
      </c>
      <c r="AR8" s="19">
        <f>GEPrice[[#This Row],[Total Poison Ivy Berries]]</f>
        <v>0</v>
      </c>
      <c r="AS8" s="19">
        <f>(GEPrice[[#This Row],[Total Yanillian Hops]]-($AK$4*4))-SeedCost[[#This Row],[Total Yanillian Hops]]</f>
        <v>-1800</v>
      </c>
      <c r="AT8" s="19">
        <f>IF(SeedCost[[#This Row],[Giant Seaweed]]=0,0,(GEPrice[[#This Row],[Total Giant Seaweed]]-($AK$4*2))-SeedCost[[#This Row],[Total Giant Seaweed]])</f>
        <v>0</v>
      </c>
      <c r="AU8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8" s="19">
        <f>(($AK$4*8)+($AK$4*6)+($AK$4*4)+($AK$4*2))+SeedCost[[#This Row],[Total Ranarr]]+SeedCost[[#This Row],[Total Limpwurt]]+SeedCost[[#This Row],[Total Yanillian Hops]]+SeedCost[[#This Row],[Total Giant Seaweed]]</f>
        <v>9000</v>
      </c>
      <c r="AW8" s="19">
        <f>IF((Profit[[#This Row],[Gross Profit]]-Profit[[#This Row],[Expenses]])&gt;0,Profit[[#This Row],[Gross Profit]]-Profit[[#This Row],[Expenses]],0)</f>
        <v>0</v>
      </c>
    </row>
    <row r="9" spans="1:51" x14ac:dyDescent="0.25">
      <c r="A9" s="17"/>
      <c r="J9" s="17">
        <f t="shared" si="1"/>
        <v>0</v>
      </c>
      <c r="K9" s="18">
        <f t="shared" si="2"/>
        <v>0</v>
      </c>
      <c r="L9" s="19"/>
      <c r="M9" s="19">
        <f>SeedCost[[#This Row],[Ranarr]]*8</f>
        <v>0</v>
      </c>
      <c r="N9" s="19"/>
      <c r="O9" s="19">
        <f>SeedCost[[#This Row],[Limpwurt]]*6</f>
        <v>0</v>
      </c>
      <c r="P9" s="19"/>
      <c r="Q9" s="19">
        <f>SeedCost[[#This Row],[Yanillian Hops]]*4*4</f>
        <v>0</v>
      </c>
      <c r="R9" s="19"/>
      <c r="S9" s="19">
        <f>SeedCost[[#This Row],[Giant Seaweed]]*2</f>
        <v>0</v>
      </c>
      <c r="T9" s="19"/>
      <c r="U9" s="17">
        <f t="shared" si="3"/>
        <v>0</v>
      </c>
      <c r="V9" s="18">
        <f t="shared" si="4"/>
        <v>0</v>
      </c>
      <c r="W9" s="19"/>
      <c r="X9" s="19">
        <f>GEPrice[[#This Row],[Ranarr]]*AmountHarvested[[#This Row],[Ranarr]]</f>
        <v>0</v>
      </c>
      <c r="Y9" s="19"/>
      <c r="Z9" s="19">
        <f>GEPrice[[#This Row],[Limpwurt]]*AmountHarvested[[#This Row],[Limpwurt]]</f>
        <v>0</v>
      </c>
      <c r="AA9" s="19"/>
      <c r="AB9" s="19">
        <f>GEPrice[[#This Row],[Cactus Spines]]*AmountHarvested[[#This Row],[Cactus Spines]]</f>
        <v>0</v>
      </c>
      <c r="AC9" s="19"/>
      <c r="AD9" s="19">
        <f>GEPrice[[#This Row],[Poison Ivy Berries]]*AmountHarvested[[#This Row],[Poison Ivy Berries]]</f>
        <v>0</v>
      </c>
      <c r="AE9" s="19"/>
      <c r="AF9" s="19">
        <f>GEPrice[[#This Row],[Yanillian Hops]]*AmountHarvested[[#This Row],[Yanillian Hops]]</f>
        <v>0</v>
      </c>
      <c r="AG9" s="19"/>
      <c r="AH9" s="19">
        <f>GEPrice[[#This Row],[Giant Seaweed]]*AmountHarvested[[#This Row],[Giant Seaweed]]</f>
        <v>0</v>
      </c>
      <c r="AM9" s="17">
        <f t="shared" si="5"/>
        <v>0</v>
      </c>
      <c r="AN9" s="18">
        <f t="shared" si="0"/>
        <v>0</v>
      </c>
      <c r="AO9" s="19">
        <f>(((GEPrice[[#This Row],[Total Ranarr]])-($AK$4*8))-SeedCost[[#This Row],[Total Ranarr]])</f>
        <v>-3600</v>
      </c>
      <c r="AP9" s="19">
        <f>(GEPrice[[#This Row],[Total Limpwurt]]-($AK$4*6))-SeedCost[[#This Row],[Total Limpwurt]]</f>
        <v>-2700</v>
      </c>
      <c r="AQ9" s="19">
        <f>GEPrice[[#This Row],[Total Cactus Spines]]</f>
        <v>0</v>
      </c>
      <c r="AR9" s="19">
        <f>GEPrice[[#This Row],[Total Poison Ivy Berries]]</f>
        <v>0</v>
      </c>
      <c r="AS9" s="19">
        <f>(GEPrice[[#This Row],[Total Yanillian Hops]]-($AK$4*4))-SeedCost[[#This Row],[Total Yanillian Hops]]</f>
        <v>-1800</v>
      </c>
      <c r="AT9" s="19">
        <f>IF(SeedCost[[#This Row],[Giant Seaweed]]=0,0,(GEPrice[[#This Row],[Total Giant Seaweed]]-($AK$4*2))-SeedCost[[#This Row],[Total Giant Seaweed]])</f>
        <v>0</v>
      </c>
      <c r="AU9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9" s="19">
        <f>(($AK$4*8)+($AK$4*6)+($AK$4*4)+($AK$4*2))+SeedCost[[#This Row],[Total Ranarr]]+SeedCost[[#This Row],[Total Limpwurt]]+SeedCost[[#This Row],[Total Yanillian Hops]]+SeedCost[[#This Row],[Total Giant Seaweed]]</f>
        <v>9000</v>
      </c>
      <c r="AW9" s="19">
        <f>IF((Profit[[#This Row],[Gross Profit]]-Profit[[#This Row],[Expenses]])&gt;0,Profit[[#This Row],[Gross Profit]]-Profit[[#This Row],[Expenses]],0)</f>
        <v>0</v>
      </c>
    </row>
    <row r="10" spans="1:51" x14ac:dyDescent="0.25">
      <c r="A10" s="17"/>
      <c r="J10" s="17">
        <f t="shared" si="1"/>
        <v>0</v>
      </c>
      <c r="K10" s="18">
        <f t="shared" si="2"/>
        <v>0</v>
      </c>
      <c r="L10" s="19"/>
      <c r="M10" s="19">
        <f>SeedCost[[#This Row],[Ranarr]]*8</f>
        <v>0</v>
      </c>
      <c r="N10" s="19"/>
      <c r="O10" s="19">
        <f>SeedCost[[#This Row],[Limpwurt]]*6</f>
        <v>0</v>
      </c>
      <c r="P10" s="19"/>
      <c r="Q10" s="19">
        <f>SeedCost[[#This Row],[Yanillian Hops]]*4*4</f>
        <v>0</v>
      </c>
      <c r="R10" s="19"/>
      <c r="S10" s="19">
        <f>SeedCost[[#This Row],[Giant Seaweed]]*2</f>
        <v>0</v>
      </c>
      <c r="T10" s="19"/>
      <c r="U10" s="17">
        <f t="shared" si="3"/>
        <v>0</v>
      </c>
      <c r="V10" s="18">
        <f t="shared" si="4"/>
        <v>0</v>
      </c>
      <c r="W10" s="19"/>
      <c r="X10" s="19">
        <f>GEPrice[[#This Row],[Ranarr]]*AmountHarvested[[#This Row],[Ranarr]]</f>
        <v>0</v>
      </c>
      <c r="Y10" s="19"/>
      <c r="Z10" s="19">
        <f>GEPrice[[#This Row],[Limpwurt]]*AmountHarvested[[#This Row],[Limpwurt]]</f>
        <v>0</v>
      </c>
      <c r="AA10" s="19"/>
      <c r="AB10" s="19">
        <f>GEPrice[[#This Row],[Cactus Spines]]*AmountHarvested[[#This Row],[Cactus Spines]]</f>
        <v>0</v>
      </c>
      <c r="AC10" s="19"/>
      <c r="AD10" s="19">
        <f>GEPrice[[#This Row],[Poison Ivy Berries]]*AmountHarvested[[#This Row],[Poison Ivy Berries]]</f>
        <v>0</v>
      </c>
      <c r="AE10" s="19"/>
      <c r="AF10" s="19">
        <f>GEPrice[[#This Row],[Yanillian Hops]]*AmountHarvested[[#This Row],[Yanillian Hops]]</f>
        <v>0</v>
      </c>
      <c r="AG10" s="19"/>
      <c r="AH10" s="19">
        <f>GEPrice[[#This Row],[Giant Seaweed]]*AmountHarvested[[#This Row],[Giant Seaweed]]</f>
        <v>0</v>
      </c>
      <c r="AM10" s="17">
        <f t="shared" si="5"/>
        <v>0</v>
      </c>
      <c r="AN10" s="18">
        <f t="shared" si="0"/>
        <v>0</v>
      </c>
      <c r="AO10" s="19">
        <f>(((GEPrice[[#This Row],[Total Ranarr]])-($AK$4*8))-SeedCost[[#This Row],[Total Ranarr]])</f>
        <v>-3600</v>
      </c>
      <c r="AP10" s="19">
        <f>(GEPrice[[#This Row],[Total Limpwurt]]-($AK$4*6))-SeedCost[[#This Row],[Total Limpwurt]]</f>
        <v>-2700</v>
      </c>
      <c r="AQ10" s="19">
        <f>GEPrice[[#This Row],[Total Cactus Spines]]</f>
        <v>0</v>
      </c>
      <c r="AR10" s="19">
        <f>GEPrice[[#This Row],[Total Poison Ivy Berries]]</f>
        <v>0</v>
      </c>
      <c r="AS10" s="19">
        <f>(GEPrice[[#This Row],[Total Yanillian Hops]]-($AK$4*4))-SeedCost[[#This Row],[Total Yanillian Hops]]</f>
        <v>-1800</v>
      </c>
      <c r="AT10" s="19">
        <f>IF(SeedCost[[#This Row],[Giant Seaweed]]=0,0,(GEPrice[[#This Row],[Total Giant Seaweed]]-($AK$4*2))-SeedCost[[#This Row],[Total Giant Seaweed]])</f>
        <v>0</v>
      </c>
      <c r="AU10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10" s="19">
        <f>(($AK$4*8)+($AK$4*6)+($AK$4*4)+($AK$4*2))+SeedCost[[#This Row],[Total Ranarr]]+SeedCost[[#This Row],[Total Limpwurt]]+SeedCost[[#This Row],[Total Yanillian Hops]]+SeedCost[[#This Row],[Total Giant Seaweed]]</f>
        <v>9000</v>
      </c>
      <c r="AW10" s="19">
        <f>IF((Profit[[#This Row],[Gross Profit]]-Profit[[#This Row],[Expenses]])&gt;0,Profit[[#This Row],[Gross Profit]]-Profit[[#This Row],[Expenses]],0)</f>
        <v>0</v>
      </c>
    </row>
    <row r="11" spans="1:51" x14ac:dyDescent="0.25">
      <c r="A11" s="17"/>
      <c r="J11" s="17">
        <f t="shared" si="1"/>
        <v>0</v>
      </c>
      <c r="K11" s="18">
        <f t="shared" si="2"/>
        <v>0</v>
      </c>
      <c r="L11" s="19"/>
      <c r="M11" s="19">
        <f>SeedCost[[#This Row],[Ranarr]]*8</f>
        <v>0</v>
      </c>
      <c r="N11" s="19"/>
      <c r="O11" s="19">
        <f>SeedCost[[#This Row],[Limpwurt]]*6</f>
        <v>0</v>
      </c>
      <c r="P11" s="19"/>
      <c r="Q11" s="19">
        <f>SeedCost[[#This Row],[Yanillian Hops]]*4*4</f>
        <v>0</v>
      </c>
      <c r="R11" s="19"/>
      <c r="S11" s="19">
        <f>SeedCost[[#This Row],[Giant Seaweed]]*2</f>
        <v>0</v>
      </c>
      <c r="T11" s="19"/>
      <c r="U11" s="17">
        <f t="shared" si="3"/>
        <v>0</v>
      </c>
      <c r="V11" s="18">
        <f t="shared" si="4"/>
        <v>0</v>
      </c>
      <c r="W11" s="19"/>
      <c r="X11" s="19">
        <f>GEPrice[[#This Row],[Ranarr]]*AmountHarvested[[#This Row],[Ranarr]]</f>
        <v>0</v>
      </c>
      <c r="Y11" s="19"/>
      <c r="Z11" s="19">
        <f>GEPrice[[#This Row],[Limpwurt]]*AmountHarvested[[#This Row],[Limpwurt]]</f>
        <v>0</v>
      </c>
      <c r="AA11" s="19"/>
      <c r="AB11" s="19">
        <f>GEPrice[[#This Row],[Cactus Spines]]*AmountHarvested[[#This Row],[Cactus Spines]]</f>
        <v>0</v>
      </c>
      <c r="AC11" s="19"/>
      <c r="AD11" s="19">
        <f>GEPrice[[#This Row],[Poison Ivy Berries]]*AmountHarvested[[#This Row],[Poison Ivy Berries]]</f>
        <v>0</v>
      </c>
      <c r="AE11" s="19"/>
      <c r="AF11" s="19">
        <f>GEPrice[[#This Row],[Yanillian Hops]]*AmountHarvested[[#This Row],[Yanillian Hops]]</f>
        <v>0</v>
      </c>
      <c r="AG11" s="19"/>
      <c r="AH11" s="19">
        <f>GEPrice[[#This Row],[Giant Seaweed]]*AmountHarvested[[#This Row],[Giant Seaweed]]</f>
        <v>0</v>
      </c>
      <c r="AM11" s="17">
        <f t="shared" si="5"/>
        <v>0</v>
      </c>
      <c r="AN11" s="18">
        <f t="shared" si="0"/>
        <v>0</v>
      </c>
      <c r="AO11" s="19">
        <f>(((GEPrice[[#This Row],[Total Ranarr]])-($AK$4*8))-SeedCost[[#This Row],[Total Ranarr]])</f>
        <v>-3600</v>
      </c>
      <c r="AP11" s="19">
        <f>(GEPrice[[#This Row],[Total Limpwurt]]-($AK$4*6))-SeedCost[[#This Row],[Total Limpwurt]]</f>
        <v>-2700</v>
      </c>
      <c r="AQ11" s="19">
        <f>GEPrice[[#This Row],[Total Cactus Spines]]</f>
        <v>0</v>
      </c>
      <c r="AR11" s="19">
        <f>GEPrice[[#This Row],[Total Poison Ivy Berries]]</f>
        <v>0</v>
      </c>
      <c r="AS11" s="19">
        <f>(GEPrice[[#This Row],[Total Yanillian Hops]]-($AK$4*4))-SeedCost[[#This Row],[Total Yanillian Hops]]</f>
        <v>-1800</v>
      </c>
      <c r="AT11" s="19">
        <f>IF(SeedCost[[#This Row],[Giant Seaweed]]=0,0,(GEPrice[[#This Row],[Total Giant Seaweed]]-($AK$4*2))-SeedCost[[#This Row],[Total Giant Seaweed]])</f>
        <v>0</v>
      </c>
      <c r="AU11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11" s="19">
        <f>(($AK$4*8)+($AK$4*6)+($AK$4*4)+($AK$4*2))+SeedCost[[#This Row],[Total Ranarr]]+SeedCost[[#This Row],[Total Limpwurt]]+SeedCost[[#This Row],[Total Yanillian Hops]]+SeedCost[[#This Row],[Total Giant Seaweed]]</f>
        <v>9000</v>
      </c>
      <c r="AW11" s="19">
        <f>IF((Profit[[#This Row],[Gross Profit]]-Profit[[#This Row],[Expenses]])&gt;0,Profit[[#This Row],[Gross Profit]]-Profit[[#This Row],[Expenses]],0)</f>
        <v>0</v>
      </c>
    </row>
    <row r="12" spans="1:51" x14ac:dyDescent="0.25">
      <c r="A12" s="17"/>
      <c r="J12" s="17">
        <f t="shared" ref="J12:K14" si="6">A12</f>
        <v>0</v>
      </c>
      <c r="K12" s="18">
        <f t="shared" si="6"/>
        <v>0</v>
      </c>
      <c r="L12" s="19"/>
      <c r="M12" s="19">
        <f>SeedCost[[#This Row],[Ranarr]]*8</f>
        <v>0</v>
      </c>
      <c r="N12" s="19"/>
      <c r="O12" s="19">
        <f>SeedCost[[#This Row],[Limpwurt]]*6</f>
        <v>0</v>
      </c>
      <c r="P12" s="19"/>
      <c r="Q12" s="19">
        <f>SeedCost[[#This Row],[Yanillian Hops]]*4*4</f>
        <v>0</v>
      </c>
      <c r="R12" s="19"/>
      <c r="S12" s="19">
        <f>SeedCost[[#This Row],[Giant Seaweed]]*2</f>
        <v>0</v>
      </c>
      <c r="U12" s="17">
        <f t="shared" ref="U12:V14" si="7">A12</f>
        <v>0</v>
      </c>
      <c r="V12" s="18">
        <f t="shared" si="7"/>
        <v>0</v>
      </c>
      <c r="W12" s="19"/>
      <c r="X12" s="19">
        <f>GEPrice[[#This Row],[Ranarr]]*AmountHarvested[[#This Row],[Ranarr]]</f>
        <v>0</v>
      </c>
      <c r="Y12" s="19"/>
      <c r="Z12" s="19">
        <f>GEPrice[[#This Row],[Limpwurt]]*AmountHarvested[[#This Row],[Limpwurt]]</f>
        <v>0</v>
      </c>
      <c r="AA12" s="19"/>
      <c r="AB12" s="19">
        <f>GEPrice[[#This Row],[Cactus Spines]]*AmountHarvested[[#This Row],[Cactus Spines]]</f>
        <v>0</v>
      </c>
      <c r="AC12" s="19"/>
      <c r="AD12" s="19">
        <f>GEPrice[[#This Row],[Poison Ivy Berries]]*AmountHarvested[[#This Row],[Poison Ivy Berries]]</f>
        <v>0</v>
      </c>
      <c r="AE12" s="19"/>
      <c r="AF12" s="19">
        <f>GEPrice[[#This Row],[Yanillian Hops]]*AmountHarvested[[#This Row],[Yanillian Hops]]</f>
        <v>0</v>
      </c>
      <c r="AG12" s="19"/>
      <c r="AH12" s="19">
        <f>GEPrice[[#This Row],[Giant Seaweed]]*AmountHarvested[[#This Row],[Giant Seaweed]]</f>
        <v>0</v>
      </c>
      <c r="AM12" s="17">
        <f t="shared" ref="AM12:AN14" si="8">A12</f>
        <v>0</v>
      </c>
      <c r="AN12" s="18">
        <f t="shared" si="8"/>
        <v>0</v>
      </c>
      <c r="AO12" s="19">
        <f>(((GEPrice[[#This Row],[Total Ranarr]])-($AK$4*8))-SeedCost[[#This Row],[Total Ranarr]])</f>
        <v>-3600</v>
      </c>
      <c r="AP12" s="19">
        <f>(GEPrice[[#This Row],[Total Limpwurt]]-($AK$4*6))-SeedCost[[#This Row],[Total Limpwurt]]</f>
        <v>-2700</v>
      </c>
      <c r="AQ12" s="19">
        <f>GEPrice[[#This Row],[Total Cactus Spines]]</f>
        <v>0</v>
      </c>
      <c r="AR12" s="19">
        <f>GEPrice[[#This Row],[Total Poison Ivy Berries]]</f>
        <v>0</v>
      </c>
      <c r="AS12" s="19">
        <f>(GEPrice[[#This Row],[Total Yanillian Hops]]-($AK$4*4))-SeedCost[[#This Row],[Total Yanillian Hops]]</f>
        <v>-1800</v>
      </c>
      <c r="AT12" s="19">
        <f>IF(SeedCost[[#This Row],[Giant Seaweed]]=0,0,(GEPrice[[#This Row],[Total Giant Seaweed]]-($AK$4*2))-SeedCost[[#This Row],[Total Giant Seaweed]])</f>
        <v>0</v>
      </c>
      <c r="AU12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12" s="19">
        <f>(($AK$4*8)+($AK$4*6)+($AK$4*4)+($AK$4*2))+SeedCost[[#This Row],[Total Ranarr]]+SeedCost[[#This Row],[Total Limpwurt]]+SeedCost[[#This Row],[Total Yanillian Hops]]+SeedCost[[#This Row],[Total Giant Seaweed]]</f>
        <v>9000</v>
      </c>
      <c r="AW12" s="19">
        <f>IF((Profit[[#This Row],[Gross Profit]]-Profit[[#This Row],[Expenses]])&gt;0,Profit[[#This Row],[Gross Profit]]-Profit[[#This Row],[Expenses]],0)</f>
        <v>0</v>
      </c>
    </row>
    <row r="13" spans="1:51" x14ac:dyDescent="0.25">
      <c r="A13" s="17"/>
      <c r="J13" s="17">
        <f t="shared" si="6"/>
        <v>0</v>
      </c>
      <c r="K13" s="18">
        <f t="shared" si="6"/>
        <v>0</v>
      </c>
      <c r="L13" s="19"/>
      <c r="M13" s="19">
        <f>SeedCost[[#This Row],[Ranarr]]*8</f>
        <v>0</v>
      </c>
      <c r="N13" s="19"/>
      <c r="O13" s="19">
        <f>SeedCost[[#This Row],[Limpwurt]]*6</f>
        <v>0</v>
      </c>
      <c r="P13" s="19"/>
      <c r="Q13" s="19">
        <f>SeedCost[[#This Row],[Yanillian Hops]]*4*4</f>
        <v>0</v>
      </c>
      <c r="R13" s="19"/>
      <c r="S13" s="19">
        <f>SeedCost[[#This Row],[Giant Seaweed]]*2</f>
        <v>0</v>
      </c>
      <c r="U13" s="17">
        <f t="shared" si="7"/>
        <v>0</v>
      </c>
      <c r="V13" s="18">
        <f t="shared" si="7"/>
        <v>0</v>
      </c>
      <c r="W13" s="19"/>
      <c r="X13" s="19">
        <f>GEPrice[[#This Row],[Ranarr]]*AmountHarvested[[#This Row],[Ranarr]]</f>
        <v>0</v>
      </c>
      <c r="Y13" s="19"/>
      <c r="Z13" s="19">
        <f>GEPrice[[#This Row],[Limpwurt]]*AmountHarvested[[#This Row],[Limpwurt]]</f>
        <v>0</v>
      </c>
      <c r="AA13" s="19"/>
      <c r="AB13" s="19">
        <f>GEPrice[[#This Row],[Cactus Spines]]*AmountHarvested[[#This Row],[Cactus Spines]]</f>
        <v>0</v>
      </c>
      <c r="AC13" s="19"/>
      <c r="AD13" s="19">
        <f>GEPrice[[#This Row],[Poison Ivy Berries]]*AmountHarvested[[#This Row],[Poison Ivy Berries]]</f>
        <v>0</v>
      </c>
      <c r="AE13" s="19"/>
      <c r="AF13" s="19">
        <f>GEPrice[[#This Row],[Yanillian Hops]]*AmountHarvested[[#This Row],[Yanillian Hops]]</f>
        <v>0</v>
      </c>
      <c r="AG13" s="19"/>
      <c r="AH13" s="19">
        <f>GEPrice[[#This Row],[Giant Seaweed]]*AmountHarvested[[#This Row],[Giant Seaweed]]</f>
        <v>0</v>
      </c>
      <c r="AM13" s="17">
        <f t="shared" si="8"/>
        <v>0</v>
      </c>
      <c r="AN13" s="18">
        <f t="shared" si="8"/>
        <v>0</v>
      </c>
      <c r="AO13" s="19">
        <f>(((GEPrice[[#This Row],[Total Ranarr]])-($AK$4*8))-SeedCost[[#This Row],[Total Ranarr]])</f>
        <v>-3600</v>
      </c>
      <c r="AP13" s="19">
        <f>(GEPrice[[#This Row],[Total Limpwurt]]-($AK$4*6))-SeedCost[[#This Row],[Total Limpwurt]]</f>
        <v>-2700</v>
      </c>
      <c r="AQ13" s="19">
        <f>GEPrice[[#This Row],[Total Cactus Spines]]</f>
        <v>0</v>
      </c>
      <c r="AR13" s="19">
        <f>GEPrice[[#This Row],[Total Poison Ivy Berries]]</f>
        <v>0</v>
      </c>
      <c r="AS13" s="19">
        <f>(GEPrice[[#This Row],[Total Yanillian Hops]]-($AK$4*4))-SeedCost[[#This Row],[Total Yanillian Hops]]</f>
        <v>-1800</v>
      </c>
      <c r="AT13" s="19">
        <f>IF(SeedCost[[#This Row],[Giant Seaweed]]=0,0,(GEPrice[[#This Row],[Total Giant Seaweed]]-($AK$4*2))-SeedCost[[#This Row],[Total Giant Seaweed]])</f>
        <v>0</v>
      </c>
      <c r="AU13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13" s="19">
        <f>(($AK$4*8)+($AK$4*6)+($AK$4*4)+($AK$4*2))+SeedCost[[#This Row],[Total Ranarr]]+SeedCost[[#This Row],[Total Limpwurt]]+SeedCost[[#This Row],[Total Yanillian Hops]]+SeedCost[[#This Row],[Total Giant Seaweed]]</f>
        <v>9000</v>
      </c>
      <c r="AW13" s="19">
        <f>IF((Profit[[#This Row],[Gross Profit]]-Profit[[#This Row],[Expenses]])&gt;0,Profit[[#This Row],[Gross Profit]]-Profit[[#This Row],[Expenses]],0)</f>
        <v>0</v>
      </c>
    </row>
    <row r="14" spans="1:51" x14ac:dyDescent="0.25">
      <c r="A14" s="17"/>
      <c r="J14" s="17">
        <f t="shared" si="6"/>
        <v>0</v>
      </c>
      <c r="K14" s="18">
        <f t="shared" si="6"/>
        <v>0</v>
      </c>
      <c r="L14" s="19"/>
      <c r="M14" s="19">
        <f>SeedCost[[#This Row],[Ranarr]]*8</f>
        <v>0</v>
      </c>
      <c r="N14" s="19"/>
      <c r="O14" s="19">
        <f>SeedCost[[#This Row],[Limpwurt]]*6</f>
        <v>0</v>
      </c>
      <c r="P14" s="19"/>
      <c r="Q14" s="19">
        <f>SeedCost[[#This Row],[Yanillian Hops]]*4*4</f>
        <v>0</v>
      </c>
      <c r="R14" s="19"/>
      <c r="S14" s="19">
        <f>SeedCost[[#This Row],[Giant Seaweed]]*2</f>
        <v>0</v>
      </c>
      <c r="U14" s="17">
        <f t="shared" si="7"/>
        <v>0</v>
      </c>
      <c r="V14" s="18">
        <f t="shared" si="7"/>
        <v>0</v>
      </c>
      <c r="W14" s="19"/>
      <c r="X14" s="19">
        <f>GEPrice[[#This Row],[Ranarr]]*AmountHarvested[[#This Row],[Ranarr]]</f>
        <v>0</v>
      </c>
      <c r="Y14" s="19"/>
      <c r="Z14" s="19">
        <f>GEPrice[[#This Row],[Limpwurt]]*AmountHarvested[[#This Row],[Limpwurt]]</f>
        <v>0</v>
      </c>
      <c r="AA14" s="19"/>
      <c r="AB14" s="19">
        <f>GEPrice[[#This Row],[Cactus Spines]]*AmountHarvested[[#This Row],[Cactus Spines]]</f>
        <v>0</v>
      </c>
      <c r="AC14" s="19"/>
      <c r="AD14" s="19">
        <f>GEPrice[[#This Row],[Poison Ivy Berries]]*AmountHarvested[[#This Row],[Poison Ivy Berries]]</f>
        <v>0</v>
      </c>
      <c r="AE14" s="19"/>
      <c r="AF14" s="19">
        <f>GEPrice[[#This Row],[Yanillian Hops]]*AmountHarvested[[#This Row],[Yanillian Hops]]</f>
        <v>0</v>
      </c>
      <c r="AG14" s="19"/>
      <c r="AH14" s="19">
        <f>GEPrice[[#This Row],[Giant Seaweed]]*AmountHarvested[[#This Row],[Giant Seaweed]]</f>
        <v>0</v>
      </c>
      <c r="AM14" s="17">
        <f t="shared" si="8"/>
        <v>0</v>
      </c>
      <c r="AN14" s="18">
        <f t="shared" si="8"/>
        <v>0</v>
      </c>
      <c r="AO14" s="19">
        <f>(((GEPrice[[#This Row],[Total Ranarr]])-($AK$4*8))-SeedCost[[#This Row],[Total Ranarr]])</f>
        <v>-3600</v>
      </c>
      <c r="AP14" s="19">
        <f>(GEPrice[[#This Row],[Total Limpwurt]]-($AK$4*6))-SeedCost[[#This Row],[Total Limpwurt]]</f>
        <v>-2700</v>
      </c>
      <c r="AQ14" s="19">
        <f>GEPrice[[#This Row],[Total Cactus Spines]]</f>
        <v>0</v>
      </c>
      <c r="AR14" s="19">
        <f>GEPrice[[#This Row],[Total Poison Ivy Berries]]</f>
        <v>0</v>
      </c>
      <c r="AS14" s="19">
        <f>(GEPrice[[#This Row],[Total Yanillian Hops]]-($AK$4*4))-SeedCost[[#This Row],[Total Yanillian Hops]]</f>
        <v>-1800</v>
      </c>
      <c r="AT14" s="19">
        <f>IF(SeedCost[[#This Row],[Giant Seaweed]]=0,0,(GEPrice[[#This Row],[Total Giant Seaweed]]-($AK$4*2))-SeedCost[[#This Row],[Total Giant Seaweed]])</f>
        <v>0</v>
      </c>
      <c r="AU14" s="19">
        <f>GEPrice[[#This Row],[Total Ranarr]]+GEPrice[[#This Row],[Total Limpwurt]]+GEPrice[[#This Row],[Total Cactus Spines]]+GEPrice[[#This Row],[Total Poison Ivy Berries]]+GEPrice[[#This Row],[Total Yanillian Hops]]+GEPrice[[#This Row],[Total Giant Seaweed]]</f>
        <v>0</v>
      </c>
      <c r="AV14" s="19">
        <f>(($AK$4*8)+($AK$4*6)+($AK$4*4)+($AK$4*2))+SeedCost[[#This Row],[Total Ranarr]]+SeedCost[[#This Row],[Total Limpwurt]]+SeedCost[[#This Row],[Total Yanillian Hops]]+SeedCost[[#This Row],[Total Giant Seaweed]]</f>
        <v>9000</v>
      </c>
      <c r="AW14" s="19">
        <f>IF((Profit[[#This Row],[Gross Profit]]-Profit[[#This Row],[Expenses]])&gt;0,Profit[[#This Row],[Gross Profit]]-Profit[[#This Row],[Expenses]],0)</f>
        <v>0</v>
      </c>
    </row>
    <row r="19" spans="40:40" x14ac:dyDescent="0.25">
      <c r="AN19" s="19"/>
    </row>
  </sheetData>
  <mergeCells count="5">
    <mergeCell ref="AM1:AW1"/>
    <mergeCell ref="A1:G1"/>
    <mergeCell ref="J1:Q1"/>
    <mergeCell ref="U1:AF1"/>
    <mergeCell ref="AJ1:AK1"/>
  </mergeCells>
  <phoneticPr fontId="7" type="noConversion"/>
  <pageMargins left="0.7" right="0.7" top="0.75" bottom="0.75" header="0.3" footer="0.3"/>
  <pageSetup orientation="portrait" horizontalDpi="300" verticalDpi="300" r:id="rId1"/>
  <legacy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4C45-F467-494B-A846-0AA504ADB347}">
  <dimension ref="C1:X89"/>
  <sheetViews>
    <sheetView workbookViewId="0">
      <selection activeCell="M14" sqref="M14"/>
    </sheetView>
  </sheetViews>
  <sheetFormatPr defaultRowHeight="15" x14ac:dyDescent="0.25"/>
  <cols>
    <col min="2" max="2" width="9.140625" customWidth="1"/>
    <col min="3" max="3" width="22.140625" bestFit="1" customWidth="1"/>
    <col min="4" max="4" width="8.85546875" bestFit="1" customWidth="1"/>
    <col min="5" max="5" width="9.140625" customWidth="1"/>
    <col min="6" max="6" width="15" bestFit="1" customWidth="1"/>
    <col min="7" max="7" width="8.140625" bestFit="1" customWidth="1"/>
    <col min="8" max="8" width="8.85546875" bestFit="1" customWidth="1"/>
    <col min="9" max="9" width="11.5703125" bestFit="1" customWidth="1"/>
    <col min="11" max="11" width="12.28515625" bestFit="1" customWidth="1"/>
    <col min="12" max="12" width="8.140625" bestFit="1" customWidth="1"/>
    <col min="13" max="13" width="8.85546875" bestFit="1" customWidth="1"/>
    <col min="14" max="14" width="11.5703125" bestFit="1" customWidth="1"/>
    <col min="16" max="16" width="24.7109375" bestFit="1" customWidth="1"/>
    <col min="17" max="17" width="8.140625" bestFit="1" customWidth="1"/>
    <col min="18" max="18" width="8.85546875" bestFit="1" customWidth="1"/>
    <col min="19" max="19" width="12.5703125" bestFit="1" customWidth="1"/>
    <col min="21" max="21" width="22.7109375" bestFit="1" customWidth="1"/>
    <col min="22" max="22" width="8.140625" bestFit="1" customWidth="1"/>
    <col min="23" max="23" width="11.140625" bestFit="1" customWidth="1"/>
    <col min="24" max="24" width="12.140625" bestFit="1" customWidth="1"/>
  </cols>
  <sheetData>
    <row r="1" spans="3:24" x14ac:dyDescent="0.25">
      <c r="L1" s="1"/>
      <c r="M1" s="1"/>
      <c r="N1" s="1"/>
    </row>
    <row r="2" spans="3:24" x14ac:dyDescent="0.25">
      <c r="C2" s="82" t="s">
        <v>42</v>
      </c>
      <c r="D2" s="82"/>
    </row>
    <row r="3" spans="3:24" ht="33.75" customHeight="1" x14ac:dyDescent="0.25">
      <c r="C3" s="63" t="s">
        <v>98</v>
      </c>
      <c r="D3" s="64" t="s">
        <v>99</v>
      </c>
    </row>
    <row r="5" spans="3:24" x14ac:dyDescent="0.25">
      <c r="F5" s="77" t="s">
        <v>9</v>
      </c>
      <c r="G5" s="78"/>
      <c r="H5" s="78"/>
      <c r="I5" s="79"/>
      <c r="K5" s="83" t="s">
        <v>11</v>
      </c>
      <c r="L5" s="83"/>
      <c r="M5" s="83"/>
      <c r="N5" s="83"/>
      <c r="P5" s="71" t="s">
        <v>43</v>
      </c>
      <c r="Q5" s="72"/>
      <c r="R5" s="72"/>
      <c r="S5" s="73"/>
      <c r="U5" s="84" t="s">
        <v>69</v>
      </c>
      <c r="V5" s="84"/>
      <c r="W5" s="84"/>
      <c r="X5" s="84"/>
    </row>
    <row r="6" spans="3:24" x14ac:dyDescent="0.25">
      <c r="C6" s="80" t="s">
        <v>67</v>
      </c>
      <c r="D6" s="81"/>
      <c r="F6" s="4" t="s">
        <v>4</v>
      </c>
      <c r="G6" s="4" t="s">
        <v>3</v>
      </c>
      <c r="H6" s="4" t="s">
        <v>2</v>
      </c>
      <c r="I6" s="4" t="s">
        <v>8</v>
      </c>
      <c r="K6" s="13" t="s">
        <v>4</v>
      </c>
      <c r="L6" s="13" t="s">
        <v>3</v>
      </c>
      <c r="M6" s="13" t="s">
        <v>2</v>
      </c>
      <c r="N6" s="13" t="s">
        <v>8</v>
      </c>
      <c r="P6" s="32" t="s">
        <v>4</v>
      </c>
      <c r="Q6" s="32" t="s">
        <v>3</v>
      </c>
      <c r="R6" s="32" t="s">
        <v>2</v>
      </c>
      <c r="S6" s="32" t="s">
        <v>8</v>
      </c>
      <c r="U6" s="47" t="s">
        <v>4</v>
      </c>
      <c r="V6" s="47" t="s">
        <v>3</v>
      </c>
      <c r="W6" s="47" t="s">
        <v>2</v>
      </c>
      <c r="X6" s="47" t="s">
        <v>8</v>
      </c>
    </row>
    <row r="7" spans="3:24" x14ac:dyDescent="0.25">
      <c r="C7" s="39" t="s">
        <v>68</v>
      </c>
      <c r="D7" s="39" t="s">
        <v>2</v>
      </c>
      <c r="F7" s="5" t="s">
        <v>0</v>
      </c>
      <c r="G7" s="42">
        <v>10800</v>
      </c>
      <c r="H7" s="41">
        <v>43</v>
      </c>
      <c r="I7" s="7">
        <f>G7*H7</f>
        <v>464400</v>
      </c>
      <c r="K7" s="14" t="s">
        <v>12</v>
      </c>
      <c r="L7" s="44">
        <v>12987</v>
      </c>
      <c r="M7" s="43">
        <v>48</v>
      </c>
      <c r="N7" s="15">
        <f>L7*M7</f>
        <v>623376</v>
      </c>
      <c r="P7" s="33" t="s">
        <v>44</v>
      </c>
      <c r="Q7" s="30">
        <v>8000</v>
      </c>
      <c r="R7" s="38">
        <v>1452</v>
      </c>
      <c r="S7" s="36">
        <f t="shared" ref="S7:S15" si="0">Q7*R7</f>
        <v>11616000</v>
      </c>
      <c r="U7" s="45" t="s">
        <v>6</v>
      </c>
      <c r="V7" s="45">
        <f>V8*2</f>
        <v>20</v>
      </c>
      <c r="W7" s="46">
        <f>D8</f>
        <v>196</v>
      </c>
      <c r="X7" s="46">
        <f t="shared" ref="X7:X33" si="1">V7*W7</f>
        <v>3920</v>
      </c>
    </row>
    <row r="8" spans="3:24" x14ac:dyDescent="0.25">
      <c r="C8" s="39" t="s">
        <v>6</v>
      </c>
      <c r="D8" s="40">
        <v>196</v>
      </c>
      <c r="F8" s="5" t="s">
        <v>1</v>
      </c>
      <c r="G8" s="6">
        <f>G7/6</f>
        <v>1800</v>
      </c>
      <c r="H8" s="41">
        <v>545</v>
      </c>
      <c r="I8" s="7">
        <f>G8*H8</f>
        <v>981000</v>
      </c>
      <c r="J8" s="1"/>
      <c r="K8" s="14" t="s">
        <v>6</v>
      </c>
      <c r="L8" s="14">
        <f>L7/27</f>
        <v>481</v>
      </c>
      <c r="M8" s="15">
        <f>D8</f>
        <v>196</v>
      </c>
      <c r="N8" s="15">
        <f>L8*M8</f>
        <v>94276</v>
      </c>
      <c r="P8" s="33" t="s">
        <v>45</v>
      </c>
      <c r="Q8" s="33">
        <f>Q7</f>
        <v>8000</v>
      </c>
      <c r="R8" s="38">
        <v>1677</v>
      </c>
      <c r="S8" s="36">
        <f t="shared" si="0"/>
        <v>13416000</v>
      </c>
      <c r="U8" s="45" t="s">
        <v>70</v>
      </c>
      <c r="V8" s="29">
        <v>10</v>
      </c>
      <c r="W8" s="48">
        <v>87</v>
      </c>
      <c r="X8" s="46">
        <f t="shared" si="1"/>
        <v>870</v>
      </c>
    </row>
    <row r="9" spans="3:24" x14ac:dyDescent="0.25">
      <c r="C9" s="39" t="s">
        <v>52</v>
      </c>
      <c r="D9" s="40">
        <v>274</v>
      </c>
      <c r="F9" s="5" t="s">
        <v>6</v>
      </c>
      <c r="G9" s="6">
        <f>(G8/3)*2</f>
        <v>1200</v>
      </c>
      <c r="H9" s="7">
        <f>D8</f>
        <v>196</v>
      </c>
      <c r="I9" s="7">
        <f>G9*H9</f>
        <v>235200</v>
      </c>
      <c r="J9" s="1"/>
      <c r="K9" s="14" t="s">
        <v>14</v>
      </c>
      <c r="L9" s="14">
        <f>L7</f>
        <v>12987</v>
      </c>
      <c r="M9" s="43">
        <v>83</v>
      </c>
      <c r="N9" s="15">
        <f>L9*M9</f>
        <v>1077921</v>
      </c>
      <c r="P9" s="33" t="s">
        <v>46</v>
      </c>
      <c r="Q9" s="30">
        <v>8000</v>
      </c>
      <c r="R9" s="38">
        <v>1797</v>
      </c>
      <c r="S9" s="36">
        <f t="shared" si="0"/>
        <v>14376000</v>
      </c>
      <c r="U9" s="45" t="s">
        <v>73</v>
      </c>
      <c r="V9" s="45">
        <f t="shared" ref="V9:V33" si="2">$V$8</f>
        <v>10</v>
      </c>
      <c r="W9" s="48">
        <v>75</v>
      </c>
      <c r="X9" s="46">
        <f t="shared" si="1"/>
        <v>750</v>
      </c>
    </row>
    <row r="10" spans="3:24" x14ac:dyDescent="0.25">
      <c r="F10" s="5" t="s">
        <v>5</v>
      </c>
      <c r="G10" s="6">
        <f>(G7*1.6)</f>
        <v>17280</v>
      </c>
      <c r="H10" s="41">
        <v>153</v>
      </c>
      <c r="I10" s="7">
        <f>G10*H10</f>
        <v>2643840</v>
      </c>
      <c r="P10" s="33" t="s">
        <v>47</v>
      </c>
      <c r="Q10" s="33">
        <f>Q9</f>
        <v>8000</v>
      </c>
      <c r="R10" s="38">
        <v>2025</v>
      </c>
      <c r="S10" s="36">
        <f t="shared" si="0"/>
        <v>16200000</v>
      </c>
      <c r="U10" s="45" t="s">
        <v>71</v>
      </c>
      <c r="V10" s="45">
        <f t="shared" si="2"/>
        <v>10</v>
      </c>
      <c r="W10" s="48">
        <v>207</v>
      </c>
      <c r="X10" s="46">
        <f t="shared" si="1"/>
        <v>2070</v>
      </c>
    </row>
    <row r="11" spans="3:24" x14ac:dyDescent="0.25">
      <c r="F11" s="3"/>
      <c r="G11" s="3"/>
      <c r="H11" s="3"/>
      <c r="I11" s="3"/>
      <c r="K11" s="74" t="s">
        <v>13</v>
      </c>
      <c r="L11" s="75"/>
      <c r="M11" s="75"/>
      <c r="N11" s="76"/>
      <c r="P11" s="33" t="s">
        <v>48</v>
      </c>
      <c r="Q11" s="30">
        <v>8000</v>
      </c>
      <c r="R11" s="38">
        <v>2324</v>
      </c>
      <c r="S11" s="36">
        <f t="shared" si="0"/>
        <v>18592000</v>
      </c>
      <c r="U11" s="45" t="s">
        <v>74</v>
      </c>
      <c r="V11" s="45">
        <f t="shared" si="2"/>
        <v>10</v>
      </c>
      <c r="W11" s="48">
        <v>198</v>
      </c>
      <c r="X11" s="46">
        <f t="shared" si="1"/>
        <v>1980</v>
      </c>
    </row>
    <row r="12" spans="3:24" x14ac:dyDescent="0.25">
      <c r="F12" s="77" t="s">
        <v>10</v>
      </c>
      <c r="G12" s="78"/>
      <c r="H12" s="78"/>
      <c r="I12" s="79"/>
      <c r="K12" s="13" t="s">
        <v>4</v>
      </c>
      <c r="L12" s="13" t="s">
        <v>3</v>
      </c>
      <c r="M12" s="13" t="s">
        <v>2</v>
      </c>
      <c r="N12" s="13" t="s">
        <v>8</v>
      </c>
      <c r="P12" s="33" t="s">
        <v>49</v>
      </c>
      <c r="Q12" s="33">
        <f>Q11</f>
        <v>8000</v>
      </c>
      <c r="R12" s="38">
        <v>2575</v>
      </c>
      <c r="S12" s="36">
        <f t="shared" si="0"/>
        <v>20600000</v>
      </c>
      <c r="U12" s="45" t="s">
        <v>72</v>
      </c>
      <c r="V12" s="45">
        <f t="shared" si="2"/>
        <v>10</v>
      </c>
      <c r="W12" s="48">
        <v>94</v>
      </c>
      <c r="X12" s="46">
        <f t="shared" si="1"/>
        <v>940</v>
      </c>
    </row>
    <row r="13" spans="3:24" x14ac:dyDescent="0.25">
      <c r="F13" s="4" t="s">
        <v>4</v>
      </c>
      <c r="G13" s="4" t="s">
        <v>3</v>
      </c>
      <c r="H13" s="4" t="s">
        <v>2</v>
      </c>
      <c r="I13" s="4" t="s">
        <v>8</v>
      </c>
      <c r="K13" s="14" t="s">
        <v>12</v>
      </c>
      <c r="L13" s="14">
        <f>L7</f>
        <v>12987</v>
      </c>
      <c r="M13" s="15">
        <f>M7</f>
        <v>48</v>
      </c>
      <c r="N13" s="15">
        <f>N7</f>
        <v>623376</v>
      </c>
      <c r="P13" s="33" t="s">
        <v>50</v>
      </c>
      <c r="Q13" s="30">
        <v>8000</v>
      </c>
      <c r="R13" s="38">
        <v>3050</v>
      </c>
      <c r="S13" s="36">
        <f t="shared" si="0"/>
        <v>24400000</v>
      </c>
      <c r="U13" s="45" t="s">
        <v>75</v>
      </c>
      <c r="V13" s="45">
        <f t="shared" si="2"/>
        <v>10</v>
      </c>
      <c r="W13" s="48">
        <v>134</v>
      </c>
      <c r="X13" s="46">
        <f t="shared" si="1"/>
        <v>1340</v>
      </c>
    </row>
    <row r="14" spans="3:24" x14ac:dyDescent="0.25">
      <c r="F14" s="8" t="s">
        <v>0</v>
      </c>
      <c r="G14" s="6">
        <f t="shared" ref="G14:I15" si="3">G7</f>
        <v>10800</v>
      </c>
      <c r="H14" s="7">
        <f t="shared" si="3"/>
        <v>43</v>
      </c>
      <c r="I14" s="7">
        <f t="shared" si="3"/>
        <v>464400</v>
      </c>
      <c r="K14" s="14" t="s">
        <v>6</v>
      </c>
      <c r="L14" s="14">
        <f>L8</f>
        <v>481</v>
      </c>
      <c r="M14" s="15">
        <f>D8</f>
        <v>196</v>
      </c>
      <c r="N14" s="15">
        <f>N8</f>
        <v>94276</v>
      </c>
      <c r="P14" s="34" t="s">
        <v>51</v>
      </c>
      <c r="Q14" s="33">
        <f>Q13</f>
        <v>8000</v>
      </c>
      <c r="R14" s="38">
        <v>3280</v>
      </c>
      <c r="S14" s="36">
        <f t="shared" si="0"/>
        <v>26240000</v>
      </c>
      <c r="U14" s="45" t="s">
        <v>76</v>
      </c>
      <c r="V14" s="45">
        <f t="shared" si="2"/>
        <v>10</v>
      </c>
      <c r="W14" s="48">
        <v>444</v>
      </c>
      <c r="X14" s="46">
        <f t="shared" si="1"/>
        <v>4440</v>
      </c>
    </row>
    <row r="15" spans="3:24" x14ac:dyDescent="0.25">
      <c r="F15" s="8" t="s">
        <v>1</v>
      </c>
      <c r="G15" s="6">
        <f t="shared" si="3"/>
        <v>1800</v>
      </c>
      <c r="H15" s="7">
        <f t="shared" si="3"/>
        <v>545</v>
      </c>
      <c r="I15" s="7">
        <f t="shared" si="3"/>
        <v>981000</v>
      </c>
      <c r="K15" s="14" t="s">
        <v>14</v>
      </c>
      <c r="L15" s="14">
        <f>L7</f>
        <v>12987</v>
      </c>
      <c r="M15" s="15">
        <f>M9</f>
        <v>83</v>
      </c>
      <c r="N15" s="15">
        <f>L15*M15</f>
        <v>1077921</v>
      </c>
      <c r="P15" s="33" t="s">
        <v>6</v>
      </c>
      <c r="Q15" s="33">
        <f>Q7/2.5</f>
        <v>3200</v>
      </c>
      <c r="R15" s="36">
        <f>D8</f>
        <v>196</v>
      </c>
      <c r="S15" s="36">
        <f t="shared" si="0"/>
        <v>627200</v>
      </c>
      <c r="U15" s="45" t="s">
        <v>77</v>
      </c>
      <c r="V15" s="45">
        <f t="shared" si="2"/>
        <v>10</v>
      </c>
      <c r="W15" s="48">
        <v>437</v>
      </c>
      <c r="X15" s="46">
        <f t="shared" si="1"/>
        <v>4370</v>
      </c>
    </row>
    <row r="16" spans="3:24" x14ac:dyDescent="0.25">
      <c r="F16" s="8" t="s">
        <v>6</v>
      </c>
      <c r="G16" s="6">
        <f>G9</f>
        <v>1200</v>
      </c>
      <c r="H16" s="7">
        <f>D8</f>
        <v>196</v>
      </c>
      <c r="I16" s="7">
        <f>I9</f>
        <v>235200</v>
      </c>
      <c r="K16" s="14" t="s">
        <v>64</v>
      </c>
      <c r="L16" s="16"/>
      <c r="M16" s="16"/>
      <c r="N16" s="15">
        <f>N13+N14</f>
        <v>717652</v>
      </c>
      <c r="P16" s="33" t="s">
        <v>52</v>
      </c>
      <c r="Q16" s="33">
        <f>Q7/5</f>
        <v>1600</v>
      </c>
      <c r="R16" s="36">
        <f>D9</f>
        <v>274</v>
      </c>
      <c r="S16" s="36">
        <f>Q16*R16</f>
        <v>438400</v>
      </c>
      <c r="U16" s="45" t="s">
        <v>78</v>
      </c>
      <c r="V16" s="45">
        <f t="shared" si="2"/>
        <v>10</v>
      </c>
      <c r="W16" s="48">
        <v>437</v>
      </c>
      <c r="X16" s="46">
        <f t="shared" si="1"/>
        <v>4370</v>
      </c>
    </row>
    <row r="17" spans="6:24" x14ac:dyDescent="0.25">
      <c r="F17" s="9" t="s">
        <v>5</v>
      </c>
      <c r="G17" s="10">
        <f>G10</f>
        <v>17280</v>
      </c>
      <c r="H17" s="11">
        <f>H10</f>
        <v>153</v>
      </c>
      <c r="I17" s="11">
        <f>I10</f>
        <v>2643840</v>
      </c>
      <c r="K17" s="14" t="s">
        <v>63</v>
      </c>
      <c r="L17" s="16"/>
      <c r="M17" s="16"/>
      <c r="N17" s="15">
        <f>N15-N16</f>
        <v>360269</v>
      </c>
      <c r="U17" s="45" t="s">
        <v>79</v>
      </c>
      <c r="V17" s="45">
        <f t="shared" si="2"/>
        <v>10</v>
      </c>
      <c r="W17" s="48">
        <v>378</v>
      </c>
      <c r="X17" s="46">
        <f t="shared" si="1"/>
        <v>3780</v>
      </c>
    </row>
    <row r="18" spans="6:24" x14ac:dyDescent="0.25">
      <c r="F18" s="8" t="s">
        <v>64</v>
      </c>
      <c r="G18" s="12"/>
      <c r="H18" s="12"/>
      <c r="I18" s="11">
        <f>I14+I15+I16</f>
        <v>1680600</v>
      </c>
      <c r="P18" s="71" t="s">
        <v>53</v>
      </c>
      <c r="Q18" s="72"/>
      <c r="R18" s="72"/>
      <c r="S18" s="73"/>
      <c r="U18" s="45" t="s">
        <v>80</v>
      </c>
      <c r="V18" s="45">
        <f t="shared" si="2"/>
        <v>10</v>
      </c>
      <c r="W18" s="48">
        <v>628</v>
      </c>
      <c r="X18" s="46">
        <f t="shared" si="1"/>
        <v>6280</v>
      </c>
    </row>
    <row r="19" spans="6:24" x14ac:dyDescent="0.25">
      <c r="F19" s="8" t="s">
        <v>63</v>
      </c>
      <c r="G19" s="12"/>
      <c r="H19" s="12"/>
      <c r="I19" s="7">
        <f>I17-I18</f>
        <v>963240</v>
      </c>
      <c r="P19" s="32" t="s">
        <v>4</v>
      </c>
      <c r="Q19" s="32" t="s">
        <v>3</v>
      </c>
      <c r="R19" s="32" t="s">
        <v>2</v>
      </c>
      <c r="S19" s="32" t="s">
        <v>8</v>
      </c>
      <c r="U19" s="45" t="s">
        <v>81</v>
      </c>
      <c r="V19" s="45">
        <f t="shared" si="2"/>
        <v>10</v>
      </c>
      <c r="W19" s="48">
        <v>691</v>
      </c>
      <c r="X19" s="46">
        <f t="shared" si="1"/>
        <v>6910</v>
      </c>
    </row>
    <row r="20" spans="6:24" x14ac:dyDescent="0.25">
      <c r="P20" s="33" t="s">
        <v>6</v>
      </c>
      <c r="Q20" s="33">
        <f t="shared" ref="Q20:S21" si="4">Q15</f>
        <v>3200</v>
      </c>
      <c r="R20" s="36">
        <f t="shared" si="4"/>
        <v>196</v>
      </c>
      <c r="S20" s="36">
        <f t="shared" si="4"/>
        <v>627200</v>
      </c>
      <c r="U20" s="49" t="s">
        <v>83</v>
      </c>
      <c r="V20" s="45">
        <f t="shared" si="2"/>
        <v>10</v>
      </c>
      <c r="W20" s="48">
        <v>731</v>
      </c>
      <c r="X20" s="46">
        <f t="shared" si="1"/>
        <v>7310</v>
      </c>
    </row>
    <row r="21" spans="6:24" x14ac:dyDescent="0.25">
      <c r="P21" s="33" t="s">
        <v>52</v>
      </c>
      <c r="Q21" s="33">
        <f t="shared" si="4"/>
        <v>1600</v>
      </c>
      <c r="R21" s="36">
        <f t="shared" si="4"/>
        <v>274</v>
      </c>
      <c r="S21" s="36">
        <f t="shared" si="4"/>
        <v>438400</v>
      </c>
      <c r="U21" s="45" t="s">
        <v>82</v>
      </c>
      <c r="V21" s="45">
        <f t="shared" si="2"/>
        <v>10</v>
      </c>
      <c r="W21" s="48">
        <v>774</v>
      </c>
      <c r="X21" s="46">
        <f t="shared" si="1"/>
        <v>7740</v>
      </c>
    </row>
    <row r="22" spans="6:24" x14ac:dyDescent="0.25">
      <c r="P22" s="33" t="s">
        <v>44</v>
      </c>
      <c r="Q22" s="33">
        <f t="shared" ref="Q22:S23" si="5">Q7</f>
        <v>8000</v>
      </c>
      <c r="R22" s="36">
        <f t="shared" si="5"/>
        <v>1452</v>
      </c>
      <c r="S22" s="36">
        <f t="shared" si="5"/>
        <v>11616000</v>
      </c>
      <c r="U22" s="45" t="s">
        <v>84</v>
      </c>
      <c r="V22" s="45">
        <f t="shared" si="2"/>
        <v>10</v>
      </c>
      <c r="W22" s="48">
        <v>5745</v>
      </c>
      <c r="X22" s="46">
        <f t="shared" si="1"/>
        <v>57450</v>
      </c>
    </row>
    <row r="23" spans="6:24" x14ac:dyDescent="0.25">
      <c r="P23" s="33" t="s">
        <v>45</v>
      </c>
      <c r="Q23" s="33">
        <f t="shared" si="5"/>
        <v>8000</v>
      </c>
      <c r="R23" s="36">
        <f t="shared" si="5"/>
        <v>1677</v>
      </c>
      <c r="S23" s="36">
        <f t="shared" si="5"/>
        <v>13416000</v>
      </c>
      <c r="U23" s="45" t="s">
        <v>85</v>
      </c>
      <c r="V23" s="45">
        <f t="shared" si="2"/>
        <v>10</v>
      </c>
      <c r="W23" s="48">
        <v>6075</v>
      </c>
      <c r="X23" s="46">
        <f t="shared" si="1"/>
        <v>60750</v>
      </c>
    </row>
    <row r="24" spans="6:24" x14ac:dyDescent="0.25">
      <c r="P24" s="33" t="s">
        <v>54</v>
      </c>
      <c r="Q24" s="35"/>
      <c r="R24" s="37"/>
      <c r="S24" s="36">
        <f>S22+S21+S20</f>
        <v>12681600</v>
      </c>
      <c r="U24" s="45" t="s">
        <v>86</v>
      </c>
      <c r="V24" s="45">
        <f t="shared" si="2"/>
        <v>10</v>
      </c>
      <c r="W24" s="48">
        <v>1036</v>
      </c>
      <c r="X24" s="46">
        <f t="shared" si="1"/>
        <v>10360</v>
      </c>
    </row>
    <row r="25" spans="6:24" x14ac:dyDescent="0.25">
      <c r="P25" s="33" t="s">
        <v>55</v>
      </c>
      <c r="Q25" s="35"/>
      <c r="R25" s="37"/>
      <c r="S25" s="36">
        <f>S23-S24</f>
        <v>734400</v>
      </c>
      <c r="U25" s="45" t="s">
        <v>87</v>
      </c>
      <c r="V25" s="45">
        <f t="shared" si="2"/>
        <v>10</v>
      </c>
      <c r="W25" s="48">
        <v>1096</v>
      </c>
      <c r="X25" s="46">
        <f t="shared" si="1"/>
        <v>10960</v>
      </c>
    </row>
    <row r="26" spans="6:24" x14ac:dyDescent="0.25">
      <c r="P26" s="33" t="s">
        <v>46</v>
      </c>
      <c r="Q26" s="33">
        <f t="shared" ref="Q26:S27" si="6">Q9</f>
        <v>8000</v>
      </c>
      <c r="R26" s="36">
        <f t="shared" si="6"/>
        <v>1797</v>
      </c>
      <c r="S26" s="36">
        <f t="shared" si="6"/>
        <v>14376000</v>
      </c>
      <c r="U26" s="45" t="s">
        <v>88</v>
      </c>
      <c r="V26" s="45">
        <f t="shared" si="2"/>
        <v>10</v>
      </c>
      <c r="W26" s="48">
        <v>1920</v>
      </c>
      <c r="X26" s="46">
        <f t="shared" si="1"/>
        <v>19200</v>
      </c>
    </row>
    <row r="27" spans="6:24" x14ac:dyDescent="0.25">
      <c r="P27" s="33" t="s">
        <v>47</v>
      </c>
      <c r="Q27" s="33">
        <f t="shared" si="6"/>
        <v>8000</v>
      </c>
      <c r="R27" s="36">
        <f t="shared" si="6"/>
        <v>2025</v>
      </c>
      <c r="S27" s="36">
        <f t="shared" si="6"/>
        <v>16200000</v>
      </c>
      <c r="U27" s="45" t="s">
        <v>89</v>
      </c>
      <c r="V27" s="45">
        <f t="shared" si="2"/>
        <v>10</v>
      </c>
      <c r="W27" s="48">
        <v>2004</v>
      </c>
      <c r="X27" s="46">
        <f t="shared" si="1"/>
        <v>20040</v>
      </c>
    </row>
    <row r="28" spans="6:24" x14ac:dyDescent="0.25">
      <c r="P28" s="33" t="s">
        <v>56</v>
      </c>
      <c r="Q28" s="35"/>
      <c r="R28" s="37"/>
      <c r="S28" s="36">
        <f>S26+S20+S21</f>
        <v>15441600</v>
      </c>
      <c r="U28" s="45" t="s">
        <v>90</v>
      </c>
      <c r="V28" s="45">
        <f t="shared" si="2"/>
        <v>10</v>
      </c>
      <c r="W28" s="48">
        <v>11700</v>
      </c>
      <c r="X28" s="46">
        <f t="shared" si="1"/>
        <v>117000</v>
      </c>
    </row>
    <row r="29" spans="6:24" x14ac:dyDescent="0.25">
      <c r="P29" s="33" t="s">
        <v>57</v>
      </c>
      <c r="Q29" s="35"/>
      <c r="R29" s="37"/>
      <c r="S29" s="36">
        <f>S27-S28</f>
        <v>758400</v>
      </c>
      <c r="U29" s="45" t="s">
        <v>91</v>
      </c>
      <c r="V29" s="45">
        <f t="shared" si="2"/>
        <v>10</v>
      </c>
      <c r="W29" s="48">
        <v>11829</v>
      </c>
      <c r="X29" s="46">
        <f t="shared" si="1"/>
        <v>118290</v>
      </c>
    </row>
    <row r="30" spans="6:24" x14ac:dyDescent="0.25">
      <c r="P30" s="33" t="s">
        <v>48</v>
      </c>
      <c r="Q30" s="33">
        <f t="shared" ref="Q30:S31" si="7">Q11</f>
        <v>8000</v>
      </c>
      <c r="R30" s="36">
        <f t="shared" si="7"/>
        <v>2324</v>
      </c>
      <c r="S30" s="36">
        <f t="shared" si="7"/>
        <v>18592000</v>
      </c>
      <c r="U30" s="45" t="s">
        <v>93</v>
      </c>
      <c r="V30" s="45">
        <f t="shared" si="2"/>
        <v>10</v>
      </c>
      <c r="W30" s="48">
        <v>2748997</v>
      </c>
      <c r="X30" s="46">
        <f t="shared" si="1"/>
        <v>27489970</v>
      </c>
    </row>
    <row r="31" spans="6:24" x14ac:dyDescent="0.25">
      <c r="P31" s="33" t="s">
        <v>49</v>
      </c>
      <c r="Q31" s="33">
        <f t="shared" si="7"/>
        <v>8000</v>
      </c>
      <c r="R31" s="36">
        <f t="shared" si="7"/>
        <v>2575</v>
      </c>
      <c r="S31" s="36">
        <f t="shared" si="7"/>
        <v>20600000</v>
      </c>
      <c r="U31" s="45" t="s">
        <v>92</v>
      </c>
      <c r="V31" s="45">
        <f t="shared" si="2"/>
        <v>10</v>
      </c>
      <c r="W31" s="48">
        <v>2256182</v>
      </c>
      <c r="X31" s="46">
        <f t="shared" si="1"/>
        <v>22561820</v>
      </c>
    </row>
    <row r="32" spans="6:24" x14ac:dyDescent="0.25">
      <c r="P32" s="33" t="s">
        <v>58</v>
      </c>
      <c r="Q32" s="35"/>
      <c r="R32" s="37"/>
      <c r="S32" s="36">
        <f>S30+S20+S21</f>
        <v>19657600</v>
      </c>
      <c r="U32" s="45" t="s">
        <v>94</v>
      </c>
      <c r="V32" s="45">
        <f t="shared" si="2"/>
        <v>10</v>
      </c>
      <c r="W32" s="48">
        <v>13800000</v>
      </c>
      <c r="X32" s="46">
        <f t="shared" si="1"/>
        <v>138000000</v>
      </c>
    </row>
    <row r="33" spans="16:24" x14ac:dyDescent="0.25">
      <c r="P33" s="33" t="s">
        <v>59</v>
      </c>
      <c r="Q33" s="35"/>
      <c r="R33" s="37"/>
      <c r="S33" s="36">
        <f>S31-S32</f>
        <v>942400</v>
      </c>
      <c r="U33" s="45" t="s">
        <v>95</v>
      </c>
      <c r="V33" s="45">
        <f t="shared" si="2"/>
        <v>10</v>
      </c>
      <c r="W33" s="48">
        <v>15847135</v>
      </c>
      <c r="X33" s="46">
        <f t="shared" si="1"/>
        <v>158471350</v>
      </c>
    </row>
    <row r="34" spans="16:24" x14ac:dyDescent="0.25">
      <c r="P34" s="33" t="s">
        <v>50</v>
      </c>
      <c r="Q34" s="33">
        <f t="shared" ref="Q34:S35" si="8">Q13</f>
        <v>8000</v>
      </c>
      <c r="R34" s="36">
        <f t="shared" si="8"/>
        <v>3050</v>
      </c>
      <c r="S34" s="36">
        <f t="shared" si="8"/>
        <v>24400000</v>
      </c>
    </row>
    <row r="35" spans="16:24" x14ac:dyDescent="0.25">
      <c r="P35" s="34" t="s">
        <v>51</v>
      </c>
      <c r="Q35" s="33">
        <f t="shared" si="8"/>
        <v>8000</v>
      </c>
      <c r="R35" s="36">
        <f t="shared" si="8"/>
        <v>3280</v>
      </c>
      <c r="S35" s="36">
        <f t="shared" si="8"/>
        <v>26240000</v>
      </c>
      <c r="U35" s="68" t="s">
        <v>96</v>
      </c>
      <c r="V35" s="69"/>
      <c r="W35" s="69"/>
      <c r="X35" s="70"/>
    </row>
    <row r="36" spans="16:24" x14ac:dyDescent="0.25">
      <c r="P36" s="33" t="s">
        <v>60</v>
      </c>
      <c r="Q36" s="35"/>
      <c r="R36" s="37"/>
      <c r="S36" s="36">
        <f>S34+S20+S21</f>
        <v>25465600</v>
      </c>
      <c r="U36" s="47" t="s">
        <v>4</v>
      </c>
      <c r="V36" s="47" t="s">
        <v>3</v>
      </c>
      <c r="W36" s="47" t="s">
        <v>2</v>
      </c>
      <c r="X36" s="47" t="s">
        <v>8</v>
      </c>
    </row>
    <row r="37" spans="16:24" ht="15.75" thickBot="1" x14ac:dyDescent="0.3">
      <c r="P37" s="33" t="s">
        <v>61</v>
      </c>
      <c r="Q37" s="35"/>
      <c r="R37" s="37"/>
      <c r="S37" s="36">
        <f>S35-S36</f>
        <v>774400</v>
      </c>
      <c r="U37" s="51" t="s">
        <v>6</v>
      </c>
      <c r="V37" s="51">
        <f>V8*2</f>
        <v>20</v>
      </c>
      <c r="W37" s="52">
        <f>D8</f>
        <v>196</v>
      </c>
      <c r="X37" s="52">
        <f>V37*W37</f>
        <v>3920</v>
      </c>
    </row>
    <row r="38" spans="16:24" x14ac:dyDescent="0.25">
      <c r="U38" s="53" t="s">
        <v>70</v>
      </c>
      <c r="V38" s="54">
        <f>$V$8</f>
        <v>10</v>
      </c>
      <c r="W38" s="55">
        <f>W8</f>
        <v>87</v>
      </c>
      <c r="X38" s="56">
        <f>X8</f>
        <v>870</v>
      </c>
    </row>
    <row r="39" spans="16:24" x14ac:dyDescent="0.25">
      <c r="U39" s="57" t="s">
        <v>73</v>
      </c>
      <c r="V39" s="45">
        <f>$V$8</f>
        <v>10</v>
      </c>
      <c r="W39" s="46">
        <f>W9</f>
        <v>75</v>
      </c>
      <c r="X39" s="58">
        <f>X9</f>
        <v>750</v>
      </c>
    </row>
    <row r="40" spans="16:24" x14ac:dyDescent="0.25">
      <c r="U40" s="57" t="s">
        <v>64</v>
      </c>
      <c r="V40" s="50"/>
      <c r="W40" s="50"/>
      <c r="X40" s="58">
        <f>X37+X38</f>
        <v>4790</v>
      </c>
    </row>
    <row r="41" spans="16:24" ht="15.75" thickBot="1" x14ac:dyDescent="0.3">
      <c r="U41" s="59" t="s">
        <v>97</v>
      </c>
      <c r="V41" s="60"/>
      <c r="W41" s="60"/>
      <c r="X41" s="61">
        <f>X39-X40</f>
        <v>-4040</v>
      </c>
    </row>
    <row r="42" spans="16:24" x14ac:dyDescent="0.25">
      <c r="U42" s="53" t="s">
        <v>71</v>
      </c>
      <c r="V42" s="54">
        <f>$V$8</f>
        <v>10</v>
      </c>
      <c r="W42" s="55">
        <v>207</v>
      </c>
      <c r="X42" s="56">
        <f>V42*W42</f>
        <v>2070</v>
      </c>
    </row>
    <row r="43" spans="16:24" x14ac:dyDescent="0.25">
      <c r="U43" s="57" t="s">
        <v>74</v>
      </c>
      <c r="V43" s="45">
        <f>$V$8</f>
        <v>10</v>
      </c>
      <c r="W43" s="46">
        <v>198</v>
      </c>
      <c r="X43" s="58">
        <f>V43*W43</f>
        <v>1980</v>
      </c>
    </row>
    <row r="44" spans="16:24" x14ac:dyDescent="0.25">
      <c r="U44" s="57" t="s">
        <v>64</v>
      </c>
      <c r="V44" s="50"/>
      <c r="W44" s="50"/>
      <c r="X44" s="58">
        <f>X37+X42</f>
        <v>5990</v>
      </c>
    </row>
    <row r="45" spans="16:24" ht="15.75" thickBot="1" x14ac:dyDescent="0.3">
      <c r="U45" s="59" t="s">
        <v>97</v>
      </c>
      <c r="V45" s="60"/>
      <c r="W45" s="60"/>
      <c r="X45" s="61">
        <f>X43-X44</f>
        <v>-4010</v>
      </c>
    </row>
    <row r="46" spans="16:24" x14ac:dyDescent="0.25">
      <c r="U46" s="53" t="s">
        <v>72</v>
      </c>
      <c r="V46" s="54">
        <f>$V$8</f>
        <v>10</v>
      </c>
      <c r="W46" s="55">
        <v>94</v>
      </c>
      <c r="X46" s="56">
        <f>V46*W46</f>
        <v>940</v>
      </c>
    </row>
    <row r="47" spans="16:24" x14ac:dyDescent="0.25">
      <c r="U47" s="57" t="s">
        <v>75</v>
      </c>
      <c r="V47" s="45">
        <f>$V$8</f>
        <v>10</v>
      </c>
      <c r="W47" s="46">
        <v>134</v>
      </c>
      <c r="X47" s="58">
        <f>V47*W47</f>
        <v>1340</v>
      </c>
    </row>
    <row r="48" spans="16:24" x14ac:dyDescent="0.25">
      <c r="U48" s="57" t="s">
        <v>64</v>
      </c>
      <c r="V48" s="50"/>
      <c r="W48" s="50"/>
      <c r="X48" s="58">
        <f>X37+X46</f>
        <v>4860</v>
      </c>
    </row>
    <row r="49" spans="21:24" ht="15.75" thickBot="1" x14ac:dyDescent="0.3">
      <c r="U49" s="59" t="s">
        <v>97</v>
      </c>
      <c r="V49" s="60"/>
      <c r="W49" s="60"/>
      <c r="X49" s="61">
        <f>X47-X48</f>
        <v>-3520</v>
      </c>
    </row>
    <row r="50" spans="21:24" x14ac:dyDescent="0.25">
      <c r="U50" s="53" t="s">
        <v>76</v>
      </c>
      <c r="V50" s="54">
        <f>$V$8</f>
        <v>10</v>
      </c>
      <c r="W50" s="55">
        <v>444</v>
      </c>
      <c r="X50" s="56">
        <f>V50*W50</f>
        <v>4440</v>
      </c>
    </row>
    <row r="51" spans="21:24" x14ac:dyDescent="0.25">
      <c r="U51" s="57" t="s">
        <v>77</v>
      </c>
      <c r="V51" s="45">
        <f>$V$8</f>
        <v>10</v>
      </c>
      <c r="W51" s="46">
        <v>437</v>
      </c>
      <c r="X51" s="58">
        <f>V51*W51</f>
        <v>4370</v>
      </c>
    </row>
    <row r="52" spans="21:24" x14ac:dyDescent="0.25">
      <c r="U52" s="57" t="s">
        <v>64</v>
      </c>
      <c r="V52" s="50"/>
      <c r="W52" s="50"/>
      <c r="X52" s="58">
        <f>X37+X50</f>
        <v>8360</v>
      </c>
    </row>
    <row r="53" spans="21:24" ht="15.75" thickBot="1" x14ac:dyDescent="0.3">
      <c r="U53" s="59" t="s">
        <v>97</v>
      </c>
      <c r="V53" s="60"/>
      <c r="W53" s="60"/>
      <c r="X53" s="61">
        <f>X51-X52</f>
        <v>-3990</v>
      </c>
    </row>
    <row r="54" spans="21:24" x14ac:dyDescent="0.25">
      <c r="U54" s="53" t="s">
        <v>78</v>
      </c>
      <c r="V54" s="54">
        <f>$V$8</f>
        <v>10</v>
      </c>
      <c r="W54" s="55">
        <v>437</v>
      </c>
      <c r="X54" s="56">
        <f>V54*W54</f>
        <v>4370</v>
      </c>
    </row>
    <row r="55" spans="21:24" x14ac:dyDescent="0.25">
      <c r="U55" s="57" t="s">
        <v>79</v>
      </c>
      <c r="V55" s="45">
        <f>$V$8</f>
        <v>10</v>
      </c>
      <c r="W55" s="46">
        <v>378</v>
      </c>
      <c r="X55" s="58">
        <f>V55*W55</f>
        <v>3780</v>
      </c>
    </row>
    <row r="56" spans="21:24" x14ac:dyDescent="0.25">
      <c r="U56" s="57" t="s">
        <v>64</v>
      </c>
      <c r="V56" s="50"/>
      <c r="W56" s="50"/>
      <c r="X56" s="58">
        <f>X37+X54</f>
        <v>8290</v>
      </c>
    </row>
    <row r="57" spans="21:24" ht="15.75" thickBot="1" x14ac:dyDescent="0.3">
      <c r="U57" s="59" t="s">
        <v>97</v>
      </c>
      <c r="V57" s="60"/>
      <c r="W57" s="60"/>
      <c r="X57" s="61">
        <f>X55-X56</f>
        <v>-4510</v>
      </c>
    </row>
    <row r="58" spans="21:24" x14ac:dyDescent="0.25">
      <c r="U58" s="53" t="s">
        <v>80</v>
      </c>
      <c r="V58" s="54">
        <f>$V$8</f>
        <v>10</v>
      </c>
      <c r="W58" s="55">
        <v>628</v>
      </c>
      <c r="X58" s="56">
        <f>V58*W58</f>
        <v>6280</v>
      </c>
    </row>
    <row r="59" spans="21:24" x14ac:dyDescent="0.25">
      <c r="U59" s="57" t="s">
        <v>81</v>
      </c>
      <c r="V59" s="45">
        <f>$V$8</f>
        <v>10</v>
      </c>
      <c r="W59" s="46">
        <v>691</v>
      </c>
      <c r="X59" s="58">
        <f>V59*W59</f>
        <v>6910</v>
      </c>
    </row>
    <row r="60" spans="21:24" x14ac:dyDescent="0.25">
      <c r="U60" s="57" t="s">
        <v>64</v>
      </c>
      <c r="V60" s="50"/>
      <c r="W60" s="50"/>
      <c r="X60" s="58">
        <f>X37+X58</f>
        <v>10200</v>
      </c>
    </row>
    <row r="61" spans="21:24" ht="15.75" thickBot="1" x14ac:dyDescent="0.3">
      <c r="U61" s="59" t="s">
        <v>97</v>
      </c>
      <c r="V61" s="60"/>
      <c r="W61" s="60"/>
      <c r="X61" s="61">
        <f>X59-X60</f>
        <v>-3290</v>
      </c>
    </row>
    <row r="62" spans="21:24" x14ac:dyDescent="0.25">
      <c r="U62" s="62" t="s">
        <v>83</v>
      </c>
      <c r="V62" s="54">
        <f>$V$8</f>
        <v>10</v>
      </c>
      <c r="W62" s="55">
        <v>731</v>
      </c>
      <c r="X62" s="56">
        <f>V62*W62</f>
        <v>7310</v>
      </c>
    </row>
    <row r="63" spans="21:24" x14ac:dyDescent="0.25">
      <c r="U63" s="57" t="s">
        <v>82</v>
      </c>
      <c r="V63" s="45">
        <f>$V$8</f>
        <v>10</v>
      </c>
      <c r="W63" s="46">
        <v>774</v>
      </c>
      <c r="X63" s="58">
        <f>V63*W63</f>
        <v>7740</v>
      </c>
    </row>
    <row r="64" spans="21:24" x14ac:dyDescent="0.25">
      <c r="U64" s="57" t="s">
        <v>64</v>
      </c>
      <c r="V64" s="50"/>
      <c r="W64" s="50"/>
      <c r="X64" s="58">
        <f>X37+X62</f>
        <v>11230</v>
      </c>
    </row>
    <row r="65" spans="21:24" ht="15.75" thickBot="1" x14ac:dyDescent="0.3">
      <c r="U65" s="59" t="s">
        <v>97</v>
      </c>
      <c r="V65" s="60"/>
      <c r="W65" s="60"/>
      <c r="X65" s="61">
        <f>X63-X64</f>
        <v>-3490</v>
      </c>
    </row>
    <row r="66" spans="21:24" x14ac:dyDescent="0.25">
      <c r="U66" s="53" t="s">
        <v>84</v>
      </c>
      <c r="V66" s="54">
        <f>$V$8</f>
        <v>10</v>
      </c>
      <c r="W66" s="55">
        <v>5745</v>
      </c>
      <c r="X66" s="56">
        <f>V66*W66</f>
        <v>57450</v>
      </c>
    </row>
    <row r="67" spans="21:24" x14ac:dyDescent="0.25">
      <c r="U67" s="57" t="s">
        <v>85</v>
      </c>
      <c r="V67" s="45">
        <f>$V$8</f>
        <v>10</v>
      </c>
      <c r="W67" s="46">
        <v>6075</v>
      </c>
      <c r="X67" s="58">
        <f>V67*W67</f>
        <v>60750</v>
      </c>
    </row>
    <row r="68" spans="21:24" x14ac:dyDescent="0.25">
      <c r="U68" s="57" t="s">
        <v>64</v>
      </c>
      <c r="V68" s="50"/>
      <c r="W68" s="50"/>
      <c r="X68" s="58">
        <f>X37+X66</f>
        <v>61370</v>
      </c>
    </row>
    <row r="69" spans="21:24" ht="15.75" thickBot="1" x14ac:dyDescent="0.3">
      <c r="U69" s="59" t="s">
        <v>97</v>
      </c>
      <c r="V69" s="60"/>
      <c r="W69" s="60"/>
      <c r="X69" s="61">
        <f>X67-X68</f>
        <v>-620</v>
      </c>
    </row>
    <row r="70" spans="21:24" x14ac:dyDescent="0.25">
      <c r="U70" s="53" t="s">
        <v>86</v>
      </c>
      <c r="V70" s="54">
        <f>$V$8</f>
        <v>10</v>
      </c>
      <c r="W70" s="55">
        <v>1036</v>
      </c>
      <c r="X70" s="56">
        <f>V70*W70</f>
        <v>10360</v>
      </c>
    </row>
    <row r="71" spans="21:24" x14ac:dyDescent="0.25">
      <c r="U71" s="57" t="s">
        <v>87</v>
      </c>
      <c r="V71" s="45">
        <f>$V$8</f>
        <v>10</v>
      </c>
      <c r="W71" s="46">
        <v>1096</v>
      </c>
      <c r="X71" s="58">
        <f>V71*W71</f>
        <v>10960</v>
      </c>
    </row>
    <row r="72" spans="21:24" x14ac:dyDescent="0.25">
      <c r="U72" s="57" t="s">
        <v>64</v>
      </c>
      <c r="V72" s="50"/>
      <c r="W72" s="50"/>
      <c r="X72" s="58">
        <f>X37+X70</f>
        <v>14280</v>
      </c>
    </row>
    <row r="73" spans="21:24" ht="15.75" thickBot="1" x14ac:dyDescent="0.3">
      <c r="U73" s="59" t="s">
        <v>97</v>
      </c>
      <c r="V73" s="60"/>
      <c r="W73" s="60"/>
      <c r="X73" s="61">
        <f>X71-X72</f>
        <v>-3320</v>
      </c>
    </row>
    <row r="74" spans="21:24" x14ac:dyDescent="0.25">
      <c r="U74" s="53" t="s">
        <v>88</v>
      </c>
      <c r="V74" s="54">
        <f>$V$8</f>
        <v>10</v>
      </c>
      <c r="W74" s="55">
        <v>1920</v>
      </c>
      <c r="X74" s="56">
        <f>V74*W74</f>
        <v>19200</v>
      </c>
    </row>
    <row r="75" spans="21:24" x14ac:dyDescent="0.25">
      <c r="U75" s="57" t="s">
        <v>89</v>
      </c>
      <c r="V75" s="45">
        <f>$V$8</f>
        <v>10</v>
      </c>
      <c r="W75" s="46">
        <v>2004</v>
      </c>
      <c r="X75" s="58">
        <f>V75*W75</f>
        <v>20040</v>
      </c>
    </row>
    <row r="76" spans="21:24" x14ac:dyDescent="0.25">
      <c r="U76" s="57" t="s">
        <v>64</v>
      </c>
      <c r="V76" s="50"/>
      <c r="W76" s="50"/>
      <c r="X76" s="58">
        <f>X37+X74</f>
        <v>23120</v>
      </c>
    </row>
    <row r="77" spans="21:24" ht="15.75" thickBot="1" x14ac:dyDescent="0.3">
      <c r="U77" s="59" t="s">
        <v>97</v>
      </c>
      <c r="V77" s="60"/>
      <c r="W77" s="60"/>
      <c r="X77" s="61">
        <f>X75-X76</f>
        <v>-3080</v>
      </c>
    </row>
    <row r="78" spans="21:24" x14ac:dyDescent="0.25">
      <c r="U78" s="53" t="s">
        <v>90</v>
      </c>
      <c r="V78" s="54">
        <f>$V$8</f>
        <v>10</v>
      </c>
      <c r="W78" s="55">
        <v>11700</v>
      </c>
      <c r="X78" s="56">
        <f>V78*W78</f>
        <v>117000</v>
      </c>
    </row>
    <row r="79" spans="21:24" x14ac:dyDescent="0.25">
      <c r="U79" s="57" t="s">
        <v>91</v>
      </c>
      <c r="V79" s="45">
        <f>$V$8</f>
        <v>10</v>
      </c>
      <c r="W79" s="46">
        <v>11829</v>
      </c>
      <c r="X79" s="58">
        <f>V79*W79</f>
        <v>118290</v>
      </c>
    </row>
    <row r="80" spans="21:24" x14ac:dyDescent="0.25">
      <c r="U80" s="57" t="s">
        <v>64</v>
      </c>
      <c r="V80" s="50"/>
      <c r="W80" s="50"/>
      <c r="X80" s="58">
        <f>X37+X78</f>
        <v>120920</v>
      </c>
    </row>
    <row r="81" spans="21:24" ht="15.75" thickBot="1" x14ac:dyDescent="0.3">
      <c r="U81" s="59" t="s">
        <v>97</v>
      </c>
      <c r="V81" s="60"/>
      <c r="W81" s="60"/>
      <c r="X81" s="61">
        <f>X79-X80</f>
        <v>-2630</v>
      </c>
    </row>
    <row r="82" spans="21:24" x14ac:dyDescent="0.25">
      <c r="U82" s="53" t="s">
        <v>93</v>
      </c>
      <c r="V82" s="54">
        <f>$V$8</f>
        <v>10</v>
      </c>
      <c r="W82" s="55">
        <v>2748997</v>
      </c>
      <c r="X82" s="56">
        <f>V82*W82</f>
        <v>27489970</v>
      </c>
    </row>
    <row r="83" spans="21:24" x14ac:dyDescent="0.25">
      <c r="U83" s="57" t="s">
        <v>92</v>
      </c>
      <c r="V83" s="45">
        <f>$V$8</f>
        <v>10</v>
      </c>
      <c r="W83" s="46">
        <v>2256182</v>
      </c>
      <c r="X83" s="58">
        <f>V83*W83</f>
        <v>22561820</v>
      </c>
    </row>
    <row r="84" spans="21:24" x14ac:dyDescent="0.25">
      <c r="U84" s="57" t="s">
        <v>64</v>
      </c>
      <c r="V84" s="50"/>
      <c r="W84" s="50"/>
      <c r="X84" s="58">
        <f>X37+X82</f>
        <v>27493890</v>
      </c>
    </row>
    <row r="85" spans="21:24" ht="15.75" thickBot="1" x14ac:dyDescent="0.3">
      <c r="U85" s="59" t="s">
        <v>97</v>
      </c>
      <c r="V85" s="60"/>
      <c r="W85" s="60"/>
      <c r="X85" s="61">
        <f>X83-X84</f>
        <v>-4932070</v>
      </c>
    </row>
    <row r="86" spans="21:24" x14ac:dyDescent="0.25">
      <c r="U86" s="53" t="s">
        <v>94</v>
      </c>
      <c r="V86" s="54">
        <f>$V$8</f>
        <v>10</v>
      </c>
      <c r="W86" s="55">
        <v>13800000</v>
      </c>
      <c r="X86" s="56">
        <f>V86*W86</f>
        <v>138000000</v>
      </c>
    </row>
    <row r="87" spans="21:24" x14ac:dyDescent="0.25">
      <c r="U87" s="57" t="s">
        <v>95</v>
      </c>
      <c r="V87" s="45">
        <f>$V$8</f>
        <v>10</v>
      </c>
      <c r="W87" s="46">
        <v>15847135</v>
      </c>
      <c r="X87" s="58">
        <f>V87*W87</f>
        <v>158471350</v>
      </c>
    </row>
    <row r="88" spans="21:24" x14ac:dyDescent="0.25">
      <c r="U88" s="57" t="s">
        <v>64</v>
      </c>
      <c r="V88" s="50"/>
      <c r="W88" s="50"/>
      <c r="X88" s="58">
        <f>X37+X86</f>
        <v>138003920</v>
      </c>
    </row>
    <row r="89" spans="21:24" ht="15.75" thickBot="1" x14ac:dyDescent="0.3">
      <c r="U89" s="59" t="s">
        <v>97</v>
      </c>
      <c r="V89" s="60"/>
      <c r="W89" s="60"/>
      <c r="X89" s="61">
        <f>X87-X88</f>
        <v>20467430</v>
      </c>
    </row>
  </sheetData>
  <mergeCells count="10">
    <mergeCell ref="C2:D2"/>
    <mergeCell ref="F5:I5"/>
    <mergeCell ref="K5:N5"/>
    <mergeCell ref="P5:S5"/>
    <mergeCell ref="U5:X5"/>
    <mergeCell ref="U35:X35"/>
    <mergeCell ref="P18:S18"/>
    <mergeCell ref="K11:N11"/>
    <mergeCell ref="F12:I12"/>
    <mergeCell ref="C6:D6"/>
  </mergeCells>
  <pageMargins left="0.7" right="0.7" top="0.75" bottom="0.75" header="0.3" footer="0.3"/>
  <pageSetup orientation="portrait" horizontalDpi="300" verticalDpi="300" r:id="rId1"/>
  <ignoredErrors>
    <ignoredError sqref="H16 M14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Farming Data</vt:lpstr>
      <vt:lpstr>Spell 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Benca</dc:creator>
  <cp:lastModifiedBy>Patrick Benca</cp:lastModifiedBy>
  <dcterms:created xsi:type="dcterms:W3CDTF">2020-03-23T19:41:50Z</dcterms:created>
  <dcterms:modified xsi:type="dcterms:W3CDTF">2020-04-24T21:34:38Z</dcterms:modified>
</cp:coreProperties>
</file>