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4.xml" ContentType="application/vnd.ms-excel.controlproperti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atrick.franco\Documents\"/>
    </mc:Choice>
  </mc:AlternateContent>
  <xr:revisionPtr revIDLastSave="0" documentId="13_ncr:1_{07A827AE-34B6-4803-83F0-73216EB066C2}" xr6:coauthVersionLast="43" xr6:coauthVersionMax="43" xr10:uidLastSave="{00000000-0000-0000-0000-000000000000}"/>
  <bookViews>
    <workbookView xWindow="-120" yWindow="-120" windowWidth="19440" windowHeight="11160" tabRatio="820" activeTab="1" xr2:uid="{B12F0089-C27F-4E3E-91A8-0F441911518A}"/>
  </bookViews>
  <sheets>
    <sheet name="RAROC" sheetId="4" r:id="rId1"/>
    <sheet name="Botão" sheetId="8" r:id="rId2"/>
    <sheet name="Relógio" sheetId="5" r:id="rId3"/>
    <sheet name="Empirico" sheetId="1" r:id="rId4"/>
    <sheet name="SELIC" sheetId="3" r:id="rId5"/>
  </sheets>
  <definedNames>
    <definedName name="_xlnm.Print_Area" localSheetId="0">RAROC!$A$1:$AA$38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8" l="1"/>
  <c r="F25" i="4" l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2" i="3"/>
  <c r="B20" i="3"/>
  <c r="B21" i="3" s="1"/>
  <c r="B1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" i="3"/>
  <c r="C3" i="4"/>
  <c r="G24" i="4" s="1"/>
  <c r="C8" i="4"/>
  <c r="C5" i="4"/>
  <c r="C11" i="4" s="1"/>
  <c r="C12" i="4" s="1"/>
  <c r="C15" i="4" l="1"/>
  <c r="I24" i="4"/>
  <c r="I25" i="4" s="1"/>
  <c r="H24" i="4"/>
  <c r="H25" i="4" s="1"/>
  <c r="J24" i="4"/>
  <c r="J25" i="4" s="1"/>
  <c r="G25" i="4"/>
  <c r="B22" i="3"/>
  <c r="B23" i="3" s="1"/>
  <c r="C21" i="3"/>
  <c r="C14" i="4"/>
  <c r="C6" i="4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G2" i="1"/>
  <c r="H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B8" i="5" l="1"/>
  <c r="B5" i="5"/>
  <c r="B7" i="5"/>
  <c r="B6" i="5"/>
  <c r="C13" i="4"/>
  <c r="C16" i="4" s="1"/>
  <c r="C17" i="4" s="1"/>
  <c r="B24" i="3"/>
  <c r="C23" i="3"/>
  <c r="C22" i="3"/>
  <c r="H3" i="1"/>
  <c r="H4" i="1" s="1"/>
  <c r="H5" i="1" s="1"/>
  <c r="H6" i="1" s="1"/>
  <c r="H7" i="1" s="1"/>
  <c r="H8" i="1" s="1"/>
  <c r="H9" i="1" s="1"/>
  <c r="J5" i="4" l="1"/>
  <c r="J6" i="4" s="1"/>
  <c r="G5" i="4"/>
  <c r="G6" i="4" s="1"/>
  <c r="I5" i="4"/>
  <c r="I6" i="4" s="1"/>
  <c r="H5" i="4"/>
  <c r="H6" i="4" s="1"/>
  <c r="B16" i="5"/>
  <c r="B15" i="5"/>
  <c r="B13" i="5"/>
  <c r="B14" i="5"/>
  <c r="B4" i="5"/>
  <c r="B25" i="3"/>
  <c r="H10" i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J23" i="4" l="1"/>
  <c r="I23" i="4"/>
  <c r="G23" i="4"/>
  <c r="C3" i="5" s="1"/>
  <c r="B3" i="5" s="1"/>
  <c r="H23" i="4"/>
  <c r="B26" i="3"/>
  <c r="C24" i="3"/>
  <c r="B27" i="3" l="1"/>
  <c r="B28" i="3"/>
  <c r="C26" i="3"/>
  <c r="C25" i="3"/>
  <c r="B12" i="5" l="1"/>
  <c r="B23" i="5" s="1"/>
  <c r="B29" i="3"/>
  <c r="C27" i="3"/>
  <c r="A23" i="5" l="1"/>
  <c r="B30" i="3"/>
  <c r="C28" i="3"/>
  <c r="B31" i="3" l="1"/>
  <c r="C29" i="3"/>
  <c r="B32" i="3" l="1"/>
  <c r="C31" i="3"/>
  <c r="C30" i="3"/>
  <c r="B33" i="3" l="1"/>
  <c r="C32" i="3"/>
  <c r="B34" i="3" l="1"/>
  <c r="C33" i="3"/>
  <c r="B35" i="3" l="1"/>
  <c r="B36" i="3" s="1"/>
  <c r="B37" i="3"/>
  <c r="B38" i="3" s="1"/>
  <c r="B39" i="3"/>
  <c r="C36" i="3"/>
  <c r="C34" i="3"/>
  <c r="B40" i="3" l="1"/>
  <c r="C35" i="3"/>
  <c r="C37" i="3" l="1"/>
  <c r="C38" i="3" l="1"/>
  <c r="C39" i="3"/>
  <c r="C40" i="3"/>
</calcChain>
</file>

<file path=xl/sharedStrings.xml><?xml version="1.0" encoding="utf-8"?>
<sst xmlns="http://schemas.openxmlformats.org/spreadsheetml/2006/main" count="93" uniqueCount="75">
  <si>
    <t>DS_NVL_RCO</t>
  </si>
  <si>
    <t>VR_SLD_DVD</t>
  </si>
  <si>
    <t>R1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</si>
  <si>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</si>
  <si>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</si>
  <si>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</si>
  <si>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</si>
  <si>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</si>
  <si>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</si>
  <si>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</si>
  <si>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</si>
  <si>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</si>
  <si>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</si>
  <si>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</t>
  </si>
  <si>
    <t>R20</t>
  </si>
  <si>
    <t>R3</t>
  </si>
  <si>
    <t>R4</t>
  </si>
  <si>
    <t>R5</t>
  </si>
  <si>
    <t>R6</t>
  </si>
  <si>
    <t>R7</t>
  </si>
  <si>
    <t>R8</t>
  </si>
  <si>
    <t>R9</t>
  </si>
  <si>
    <t>VR_PD</t>
  </si>
  <si>
    <t>PD_STD</t>
  </si>
  <si>
    <t>PD_STD_VALOR</t>
  </si>
  <si>
    <t>ID</t>
  </si>
  <si>
    <t>PD_STD_TRATA</t>
  </si>
  <si>
    <t>P99</t>
  </si>
  <si>
    <t>P95_Empirico</t>
  </si>
  <si>
    <t>P99_Empirico</t>
  </si>
  <si>
    <t>P95</t>
  </si>
  <si>
    <t>Data</t>
  </si>
  <si>
    <t>Valor Liberado</t>
  </si>
  <si>
    <t>Prestação Price</t>
  </si>
  <si>
    <t>Montante</t>
  </si>
  <si>
    <t>Custo de Captação</t>
  </si>
  <si>
    <t>Custo Operacionais</t>
  </si>
  <si>
    <t>Spread</t>
  </si>
  <si>
    <t>RAROC</t>
  </si>
  <si>
    <t>Projeção da SELIC</t>
  </si>
  <si>
    <t>Paramétrico</t>
  </si>
  <si>
    <t>Lucro Presumido</t>
  </si>
  <si>
    <t>SELIC % a.a.</t>
  </si>
  <si>
    <t>SELIC % a.m.</t>
  </si>
  <si>
    <t>Selic a. m.</t>
  </si>
  <si>
    <t>Prazo (meses)</t>
  </si>
  <si>
    <t>Data de Hoje</t>
  </si>
  <si>
    <t>Mostrador</t>
  </si>
  <si>
    <t>Provisão Atual</t>
  </si>
  <si>
    <t>Observado</t>
  </si>
  <si>
    <t>Agulha1</t>
  </si>
  <si>
    <t>Base</t>
  </si>
  <si>
    <t>Extremidade</t>
  </si>
  <si>
    <t>Regular</t>
  </si>
  <si>
    <t>Bom</t>
  </si>
  <si>
    <t>Ótimo</t>
  </si>
  <si>
    <t>Ruim</t>
  </si>
  <si>
    <t>Valor em Risco (VaR)</t>
  </si>
  <si>
    <t>Confiança</t>
  </si>
  <si>
    <t>Perda Esperada</t>
  </si>
  <si>
    <t>Risco Cliente</t>
  </si>
  <si>
    <t>Juros (a. m.)</t>
  </si>
  <si>
    <t>Juros (a. a.)</t>
  </si>
  <si>
    <t>95% de Confiança</t>
  </si>
  <si>
    <t>99% de Confiança</t>
  </si>
  <si>
    <t>Empírico</t>
  </si>
  <si>
    <t>AA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</si>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</sst>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"/>
    <numFmt numFmtId="165" formatCode="#,##0.00_ ;\-#,##0.00\ "/>
    <numFmt numFmtId="166" formatCode="[$-416]mmmm\-yyyy;@"/>
    <numFmt numFmtId="167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8"/>
      <color indexed="8"/>
      <name val="Trebuchet MS"/>
      <family val="2"/>
    </font>
    <font>
      <sz val="8"/>
      <color indexed="8"/>
      <name val="Trebuchet MS"/>
      <family val="2"/>
    </font>
    <font>
      <sz val="14"/>
      <color theme="0"/>
      <name val="Arial Black"/>
      <family val="2"/>
    </font>
    <font>
      <i/>
      <sz val="14"/>
      <color theme="0"/>
      <name val="Arial Black"/>
      <family val="2"/>
    </font>
    <font>
      <sz val="14"/>
      <color theme="1"/>
      <name val="Arial Black"/>
      <family val="2"/>
    </font>
    <font>
      <b/>
      <sz val="14"/>
      <color theme="1"/>
      <name val="Arial Black"/>
      <family val="2"/>
    </font>
    <font>
      <sz val="14"/>
      <name val="Arial Black"/>
      <family val="2"/>
    </font>
    <font>
      <b/>
      <sz val="14"/>
      <name val="Arial Black"/>
      <family val="2"/>
    </font>
    <font>
      <sz val="14"/>
      <color theme="1" tint="0.34998626667073579"/>
      <name val="Arial Black"/>
      <family val="2"/>
    </font>
    <font>
      <sz val="12"/>
      <color theme="1"/>
      <name val="Arial Black"/>
      <family val="2"/>
    </font>
    <font>
      <sz val="14"/>
      <color theme="1"/>
      <name val="Verdana Pro"/>
      <family val="2"/>
    </font>
    <font>
      <b/>
      <sz val="14"/>
      <color theme="1"/>
      <name val="Verdana Pro"/>
      <family val="2"/>
    </font>
    <font>
      <sz val="14"/>
      <color theme="0"/>
      <name val="Verdana Pro"/>
      <family val="2"/>
    </font>
    <font>
      <b/>
      <sz val="14"/>
      <color theme="0"/>
      <name val="Verdana Pro"/>
      <family val="2"/>
    </font>
    <font>
      <i/>
      <sz val="14"/>
      <color theme="0"/>
      <name val="Verdana Pro"/>
      <family val="2"/>
    </font>
    <font>
      <sz val="1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6"/>
        <bgColor indexed="64"/>
      </patternFill>
    </fill>
    <fill>
      <patternFill patternType="mediumGray">
        <fgColor indexed="9"/>
        <bgColor indexed="46"/>
      </patternFill>
    </fill>
    <fill>
      <patternFill patternType="solid">
        <fgColor indexed="9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8B850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1"/>
      </left>
      <right/>
      <top style="medium">
        <color indexed="61"/>
      </top>
      <bottom style="thin">
        <color indexed="61"/>
      </bottom>
      <diagonal/>
    </border>
    <border>
      <left/>
      <right style="medium">
        <color indexed="61"/>
      </right>
      <top style="medium">
        <color indexed="61"/>
      </top>
      <bottom style="thin">
        <color indexed="61"/>
      </bottom>
      <diagonal/>
    </border>
    <border>
      <left style="medium">
        <color indexed="61"/>
      </left>
      <right/>
      <top style="thin">
        <color indexed="61"/>
      </top>
      <bottom style="thin">
        <color indexed="61"/>
      </bottom>
      <diagonal/>
    </border>
    <border>
      <left/>
      <right style="medium">
        <color indexed="61"/>
      </right>
      <top style="thin">
        <color indexed="61"/>
      </top>
      <bottom style="thin">
        <color indexed="61"/>
      </bottom>
      <diagonal/>
    </border>
    <border>
      <left style="medium">
        <color indexed="61"/>
      </left>
      <right style="hair">
        <color indexed="61"/>
      </right>
      <top/>
      <bottom style="hair">
        <color indexed="61"/>
      </bottom>
      <diagonal/>
    </border>
    <border>
      <left style="hair">
        <color indexed="61"/>
      </left>
      <right style="medium">
        <color indexed="61"/>
      </right>
      <top/>
      <bottom style="hair">
        <color indexed="61"/>
      </bottom>
      <diagonal/>
    </border>
    <border>
      <left style="medium">
        <color indexed="61"/>
      </left>
      <right style="hair">
        <color indexed="61"/>
      </right>
      <top style="hair">
        <color indexed="61"/>
      </top>
      <bottom style="medium">
        <color indexed="61"/>
      </bottom>
      <diagonal/>
    </border>
    <border>
      <left style="hair">
        <color indexed="61"/>
      </left>
      <right style="medium">
        <color indexed="61"/>
      </right>
      <top style="hair">
        <color indexed="61"/>
      </top>
      <bottom style="medium">
        <color indexed="61"/>
      </bottom>
      <diagonal/>
    </border>
    <border>
      <left style="thick">
        <color rgb="FFCAE3BB"/>
      </left>
      <right/>
      <top/>
      <bottom/>
      <diagonal/>
    </border>
    <border>
      <left style="thick">
        <color rgb="FFCAE3BB"/>
      </left>
      <right/>
      <top/>
      <bottom style="thick">
        <color rgb="FF263C18"/>
      </bottom>
      <diagonal/>
    </border>
    <border>
      <left/>
      <right/>
      <top/>
      <bottom style="thick">
        <color rgb="FF263C18"/>
      </bottom>
      <diagonal/>
    </border>
    <border>
      <left style="thick">
        <color rgb="FFBEDDAB"/>
      </left>
      <right/>
      <top style="thick">
        <color rgb="FFBEDDAB"/>
      </top>
      <bottom/>
      <diagonal/>
    </border>
    <border>
      <left/>
      <right/>
      <top style="thick">
        <color rgb="FFBEDDAB"/>
      </top>
      <bottom/>
      <diagonal/>
    </border>
    <border>
      <left style="thick">
        <color rgb="FFBEDDAB"/>
      </left>
      <right/>
      <top/>
      <bottom/>
      <diagonal/>
    </border>
    <border>
      <left/>
      <right style="thick">
        <color rgb="FF182610"/>
      </right>
      <top style="thick">
        <color rgb="FFBEDDAB"/>
      </top>
      <bottom/>
      <diagonal/>
    </border>
    <border>
      <left style="thick">
        <color rgb="FFBEDDAB"/>
      </left>
      <right/>
      <top/>
      <bottom style="thick">
        <color rgb="FF182610"/>
      </bottom>
      <diagonal/>
    </border>
    <border>
      <left/>
      <right/>
      <top/>
      <bottom style="thick">
        <color rgb="FF182610"/>
      </bottom>
      <diagonal/>
    </border>
    <border>
      <left/>
      <right style="thick">
        <color rgb="FF182610"/>
      </right>
      <top/>
      <bottom style="thick">
        <color rgb="FF182610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81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/>
    <xf numFmtId="0" fontId="3" fillId="0" borderId="0" xfId="8"/>
    <xf numFmtId="0" fontId="4" fillId="0" borderId="0" xfId="8" applyFont="1"/>
    <xf numFmtId="4" fontId="3" fillId="0" borderId="0" xfId="8" applyNumberFormat="1"/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166" fontId="4" fillId="0" borderId="0" xfId="8" applyNumberFormat="1" applyFont="1" applyAlignment="1">
      <alignment horizontal="center" vertical="center"/>
    </xf>
    <xf numFmtId="0" fontId="0" fillId="0" borderId="0" xfId="0" applyNumberFormat="1"/>
    <xf numFmtId="8" fontId="8" fillId="0" borderId="0" xfId="0" applyNumberFormat="1" applyFont="1" applyAlignment="1">
      <alignment horizontal="center" vertical="center"/>
    </xf>
    <xf numFmtId="164" fontId="4" fillId="0" borderId="0" xfId="8" applyNumberFormat="1" applyFont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/>
    <xf numFmtId="0" fontId="0" fillId="5" borderId="0" xfId="0" applyFill="1" applyAlignment="1">
      <alignment horizontal="right"/>
    </xf>
    <xf numFmtId="2" fontId="0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right"/>
    </xf>
    <xf numFmtId="2" fontId="0" fillId="6" borderId="0" xfId="2" applyNumberFormat="1" applyFont="1" applyFill="1" applyAlignment="1">
      <alignment horizontal="center" vertical="center"/>
    </xf>
    <xf numFmtId="0" fontId="9" fillId="7" borderId="3" xfId="0" applyFont="1" applyFill="1" applyBorder="1" applyAlignment="1">
      <alignment horizontal="left" vertical="center"/>
    </xf>
    <xf numFmtId="167" fontId="9" fillId="7" borderId="4" xfId="0" applyNumberFormat="1" applyFont="1" applyFill="1" applyBorder="1" applyAlignment="1">
      <alignment horizontal="right" vertical="center"/>
    </xf>
    <xf numFmtId="0" fontId="10" fillId="8" borderId="5" xfId="0" applyFont="1" applyFill="1" applyBorder="1" applyAlignment="1">
      <alignment horizontal="right" vertical="center"/>
    </xf>
    <xf numFmtId="0" fontId="10" fillId="8" borderId="6" xfId="0" applyFont="1" applyFill="1" applyBorder="1" applyAlignment="1">
      <alignment horizontal="right" vertical="center"/>
    </xf>
    <xf numFmtId="4" fontId="10" fillId="9" borderId="7" xfId="0" applyNumberFormat="1" applyFont="1" applyFill="1" applyBorder="1" applyAlignment="1">
      <alignment horizontal="right" vertical="center"/>
    </xf>
    <xf numFmtId="4" fontId="10" fillId="9" borderId="8" xfId="0" applyNumberFormat="1" applyFont="1" applyFill="1" applyBorder="1" applyAlignment="1">
      <alignment horizontal="right" vertical="center"/>
    </xf>
    <xf numFmtId="4" fontId="10" fillId="9" borderId="9" xfId="0" applyNumberFormat="1" applyFont="1" applyFill="1" applyBorder="1" applyAlignment="1">
      <alignment horizontal="right" vertical="center"/>
    </xf>
    <xf numFmtId="4" fontId="10" fillId="9" borderId="10" xfId="0" applyNumberFormat="1" applyFont="1" applyFill="1" applyBorder="1" applyAlignment="1">
      <alignment horizontal="right" vertical="center"/>
    </xf>
    <xf numFmtId="10" fontId="0" fillId="0" borderId="0" xfId="0" applyNumberFormat="1"/>
    <xf numFmtId="0" fontId="15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8" fontId="13" fillId="0" borderId="0" xfId="0" applyNumberFormat="1" applyFont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8" fontId="11" fillId="13" borderId="0" xfId="0" applyNumberFormat="1" applyFont="1" applyFill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0" fontId="14" fillId="0" borderId="0" xfId="2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4" fontId="20" fillId="2" borderId="0" xfId="0" applyNumberFormat="1" applyFont="1" applyFill="1" applyAlignment="1">
      <alignment horizontal="center"/>
    </xf>
    <xf numFmtId="165" fontId="20" fillId="3" borderId="1" xfId="6" applyNumberFormat="1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10" fontId="20" fillId="11" borderId="0" xfId="2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8" fontId="21" fillId="14" borderId="0" xfId="0" applyNumberFormat="1" applyFont="1" applyFill="1" applyBorder="1" applyAlignment="1">
      <alignment horizontal="center" vertical="center"/>
    </xf>
    <xf numFmtId="0" fontId="21" fillId="14" borderId="0" xfId="0" applyFont="1" applyFill="1" applyBorder="1" applyAlignment="1">
      <alignment horizontal="center"/>
    </xf>
    <xf numFmtId="0" fontId="21" fillId="14" borderId="14" xfId="0" applyFont="1" applyFill="1" applyBorder="1" applyAlignment="1">
      <alignment horizontal="center" vertical="center"/>
    </xf>
    <xf numFmtId="0" fontId="21" fillId="14" borderId="16" xfId="0" applyFont="1" applyFill="1" applyBorder="1" applyAlignment="1"/>
    <xf numFmtId="44" fontId="21" fillId="14" borderId="19" xfId="1" applyFont="1" applyFill="1" applyBorder="1" applyAlignment="1">
      <alignment horizontal="center" vertical="center"/>
    </xf>
    <xf numFmtId="44" fontId="21" fillId="14" borderId="20" xfId="1" applyFont="1" applyFill="1" applyBorder="1" applyAlignment="1">
      <alignment horizontal="center" vertical="center"/>
    </xf>
    <xf numFmtId="9" fontId="21" fillId="14" borderId="17" xfId="0" applyNumberFormat="1" applyFont="1" applyFill="1" applyBorder="1" applyAlignment="1">
      <alignment horizontal="center" vertical="center"/>
    </xf>
    <xf numFmtId="9" fontId="21" fillId="14" borderId="15" xfId="0" applyNumberFormat="1" applyFont="1" applyFill="1" applyBorder="1" applyAlignment="1">
      <alignment horizontal="center" vertical="center"/>
    </xf>
    <xf numFmtId="0" fontId="0" fillId="0" borderId="0" xfId="0" applyBorder="1"/>
    <xf numFmtId="10" fontId="11" fillId="0" borderId="0" xfId="2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2" fillId="14" borderId="14" xfId="0" applyFont="1" applyFill="1" applyBorder="1" applyAlignment="1">
      <alignment horizontal="center" vertical="center"/>
    </xf>
    <xf numFmtId="9" fontId="22" fillId="14" borderId="15" xfId="0" applyNumberFormat="1" applyFont="1" applyFill="1" applyBorder="1" applyAlignment="1">
      <alignment horizontal="center" vertical="center"/>
    </xf>
    <xf numFmtId="0" fontId="22" fillId="14" borderId="16" xfId="0" applyFont="1" applyFill="1" applyBorder="1" applyAlignment="1"/>
    <xf numFmtId="8" fontId="22" fillId="14" borderId="0" xfId="0" applyNumberFormat="1" applyFont="1" applyFill="1" applyBorder="1" applyAlignment="1">
      <alignment horizontal="center" vertical="center"/>
    </xf>
    <xf numFmtId="0" fontId="22" fillId="14" borderId="0" xfId="0" applyFont="1" applyFill="1" applyBorder="1" applyAlignment="1">
      <alignment horizontal="center"/>
    </xf>
    <xf numFmtId="0" fontId="22" fillId="10" borderId="11" xfId="0" applyFont="1" applyFill="1" applyBorder="1" applyAlignment="1">
      <alignment horizontal="center" vertical="center"/>
    </xf>
    <xf numFmtId="10" fontId="22" fillId="10" borderId="0" xfId="2" applyNumberFormat="1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10" fontId="22" fillId="10" borderId="13" xfId="2" applyNumberFormat="1" applyFont="1" applyFill="1" applyBorder="1" applyAlignment="1">
      <alignment horizontal="center" vertical="center"/>
    </xf>
    <xf numFmtId="0" fontId="23" fillId="14" borderId="18" xfId="0" applyFont="1" applyFill="1" applyBorder="1" applyAlignment="1">
      <alignment horizontal="center" vertical="center"/>
    </xf>
    <xf numFmtId="0" fontId="24" fillId="0" borderId="0" xfId="0" applyFont="1"/>
    <xf numFmtId="0" fontId="23" fillId="14" borderId="16" xfId="0" applyFont="1" applyFill="1" applyBorder="1" applyAlignment="1">
      <alignment horizontal="center" vertical="center"/>
    </xf>
    <xf numFmtId="0" fontId="23" fillId="14" borderId="0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15" borderId="0" xfId="0" applyFill="1"/>
  </cellXfs>
  <cellStyles count="9">
    <cellStyle name="Moeda" xfId="1" builtinId="4"/>
    <cellStyle name="Moeda 2" xfId="7" xr:uid="{61386788-CA09-4E69-B099-D5CE65ED95B5}"/>
    <cellStyle name="Moeda 3" xfId="5" xr:uid="{6E5AE225-EE0B-454F-98DB-F020C8319776}"/>
    <cellStyle name="Normal" xfId="0" builtinId="0"/>
    <cellStyle name="Normal 2" xfId="8" xr:uid="{2006B0E9-4269-4497-96CA-19F243D336B3}"/>
    <cellStyle name="Porcentagem" xfId="2" builtinId="5"/>
    <cellStyle name="Vírgula 2" xfId="6" xr:uid="{26570ED3-2D94-4493-9724-56BEFADA25B7}"/>
    <cellStyle name="Vírgula 3" xfId="4" xr:uid="{BAC9C821-12AE-4990-8F7E-551AC44D0EF8}"/>
    <cellStyle name="Vírgula 4" xfId="3" xr:uid="{6D8711CD-408D-48A1-9694-9E2F3C3B49F5}"/>
  </cellStyles>
  <dxfs count="0"/>
  <tableStyles count="0" defaultTableStyle="TableStyleMedium2" defaultPivotStyle="PivotStyleLight16"/>
  <colors>
    <mruColors>
      <color rgb="FF78B850"/>
      <color rgb="FF182610"/>
      <color rgb="FFBEDDAB"/>
      <color rgb="FF375623"/>
      <color rgb="FFE0E0E0"/>
      <color rgb="FF5A8B25"/>
      <color rgb="FF263C18"/>
      <color rgb="FF131E0C"/>
      <color rgb="FFCAE3BB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39479942251633E-2"/>
          <c:y val="3.0759919715917872E-3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Relógio!$B$14:$B$16</c:f>
              <c:strCache>
                <c:ptCount val="3"/>
                <c:pt idx="0">
                  <c:v>0,06</c:v>
                </c:pt>
                <c:pt idx="1">
                  <c:v>0,06</c:v>
                </c:pt>
                <c:pt idx="2">
                  <c:v>0,06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B192-415C-8E2B-890E484126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B192-415C-8E2B-890E484126B6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B192-415C-8E2B-890E484126B6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B192-415C-8E2B-890E484126B6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9-B192-415C-8E2B-890E484126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latin typeface="Arial Black" panose="020B0A040201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Relógio!$A$12:$A$16</c:f>
              <c:strCache>
                <c:ptCount val="5"/>
                <c:pt idx="1">
                  <c:v>Ótimo</c:v>
                </c:pt>
                <c:pt idx="2">
                  <c:v>Bom</c:v>
                </c:pt>
                <c:pt idx="3">
                  <c:v>Regular</c:v>
                </c:pt>
                <c:pt idx="4">
                  <c:v>Ruim</c:v>
                </c:pt>
              </c:strCache>
            </c:strRef>
          </c:cat>
          <c:val>
            <c:numRef>
              <c:f>Relógio!$B$12:$B$16</c:f>
              <c:numCache>
                <c:formatCode>0.00</c:formatCode>
                <c:ptCount val="5"/>
                <c:pt idx="0">
                  <c:v>0.44781000000000892</c:v>
                </c:pt>
                <c:pt idx="1">
                  <c:v>0.25960000000000516</c:v>
                </c:pt>
                <c:pt idx="2">
                  <c:v>6.490000000000129E-2</c:v>
                </c:pt>
                <c:pt idx="3">
                  <c:v>6.490000000000129E-2</c:v>
                </c:pt>
                <c:pt idx="4">
                  <c:v>5.8410000000001155E-2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92-415C-8E2B-890E48412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60710159439253E-3"/>
          <c:y val="6.3037591487126135E-2"/>
          <c:w val="0.90977097114878402"/>
          <c:h val="0.8801797355942834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Relógio!$A$20</c:f>
              <c:strCache>
                <c:ptCount val="1"/>
                <c:pt idx="0">
                  <c:v>Agulha1</c:v>
                </c:pt>
              </c:strCache>
            </c:strRef>
          </c:tx>
          <c:spPr>
            <a:ln w="41275" cmpd="sng">
              <a:solidFill>
                <a:schemeClr val="tx1"/>
              </a:solidFill>
              <a:headEnd type="oval" w="lg" len="lg"/>
              <a:tailEnd type="triangle" w="lg" len="lg"/>
            </a:ln>
          </c:spPr>
          <c:marker>
            <c:symbol val="none"/>
          </c:marker>
          <c:xVal>
            <c:numRef>
              <c:f>Relógio!$A$22:$A$23</c:f>
              <c:numCache>
                <c:formatCode>#,##0.00</c:formatCode>
                <c:ptCount val="2"/>
                <c:pt idx="0">
                  <c:v>0</c:v>
                </c:pt>
                <c:pt idx="1">
                  <c:v>0.93338511970064963</c:v>
                </c:pt>
              </c:numCache>
            </c:numRef>
          </c:xVal>
          <c:yVal>
            <c:numRef>
              <c:f>Relógio!$B$22:$B$23</c:f>
              <c:numCache>
                <c:formatCode>#,##0.00</c:formatCode>
                <c:ptCount val="2"/>
                <c:pt idx="0">
                  <c:v>0</c:v>
                </c:pt>
                <c:pt idx="1">
                  <c:v>0.35887632733492469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D-4A8E-8334-E26424B99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50032"/>
        <c:axId val="1"/>
      </c:scatterChart>
      <c:valAx>
        <c:axId val="943750032"/>
        <c:scaling>
          <c:orientation val="minMax"/>
          <c:max val="1.5"/>
          <c:min val="-1.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solidFill>
            <a:sysClr val="window" lastClr="FFFFFF"/>
          </a:solidFill>
          <a:ln w="6350">
            <a:noFill/>
          </a:ln>
        </c:spPr>
        <c:crossAx val="1"/>
        <c:crosses val="autoZero"/>
        <c:crossBetween val="midCat"/>
      </c:valAx>
      <c:valAx>
        <c:axId val="1"/>
        <c:scaling>
          <c:orientation val="minMax"/>
          <c:max val="1.5"/>
          <c:min val="-1.5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943750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pt-BR">
                <a:latin typeface="Arial Black" panose="020B0A04020102020204" pitchFamily="34" charset="0"/>
              </a:rPr>
              <a:t>Valor em Risco (VaR)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9264671194555808E-2"/>
          <c:y val="0.15617628471408584"/>
          <c:w val="0.94147065761088844"/>
          <c:h val="0.59755838641188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RAROC!$F$5</c:f>
              <c:strCache>
                <c:ptCount val="1"/>
                <c:pt idx="0">
                  <c:v>Valor em Risco (VaR)</c:v>
                </c:pt>
              </c:strCache>
            </c:strRef>
          </c:tx>
          <c:spPr>
            <a:solidFill>
              <a:srgbClr val="C00000">
                <a:alpha val="85000"/>
              </a:srgb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layout>
                <c:manualLayout>
                  <c:x val="-1.330212327025264E-2"/>
                  <c:y val="0.156471385449393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87-4A44-AF93-78154E31EA39}"/>
                </c:ext>
              </c:extLst>
            </c:dLbl>
            <c:dLbl>
              <c:idx val="1"/>
              <c:layout>
                <c:manualLayout>
                  <c:x val="-1.0641698616202112E-2"/>
                  <c:y val="0.173857094943770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87-4A44-AF93-78154E31EA39}"/>
                </c:ext>
              </c:extLst>
            </c:dLbl>
            <c:dLbl>
              <c:idx val="2"/>
              <c:layout>
                <c:manualLayout>
                  <c:x val="5.3208493081010558E-3"/>
                  <c:y val="0.199935659185335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87-4A44-AF93-78154E31EA39}"/>
                </c:ext>
              </c:extLst>
            </c:dLbl>
            <c:dLbl>
              <c:idx val="3"/>
              <c:layout>
                <c:manualLayout>
                  <c:x val="9.7547777101607539E-17"/>
                  <c:y val="0.152124958075798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87-4A44-AF93-78154E31E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RAROC!$G$3:$J$4</c:f>
              <c:multiLvlStrCache>
                <c:ptCount val="4"/>
                <c:lvl>
                  <c:pt idx="0">
                    <c:v>Paramétrico</c:v>
                  </c:pt>
                  <c:pt idx="1">
                    <c:v>Empírico</c:v>
                  </c:pt>
                  <c:pt idx="2">
                    <c:v>Paramétrico</c:v>
                  </c:pt>
                  <c:pt idx="3">
                    <c:v>Empírico</c:v>
                  </c:pt>
                </c:lvl>
                <c:lvl>
                  <c:pt idx="0">
                    <c:v>95% de Confiança</c:v>
                  </c:pt>
                  <c:pt idx="2">
                    <c:v>99% de Confiança</c:v>
                  </c:pt>
                </c:lvl>
              </c:multiLvlStrCache>
            </c:multiLvlStrRef>
          </c:cat>
          <c:val>
            <c:numRef>
              <c:f>RAROC!$G$6:$J$6</c:f>
              <c:numCache>
                <c:formatCode>_("R$"* #,##0.00_);_("R$"* \(#,##0.00\);_("R$"* "-"??_);_(@_)</c:formatCode>
                <c:ptCount val="4"/>
                <c:pt idx="0">
                  <c:v>-30573.471961862291</c:v>
                </c:pt>
                <c:pt idx="1">
                  <c:v>-35361.039337017603</c:v>
                </c:pt>
                <c:pt idx="2">
                  <c:v>-42506.451793772714</c:v>
                </c:pt>
                <c:pt idx="3">
                  <c:v>-79694.023808869781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7-4A44-AF93-78154E31E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3"/>
        <c:axId val="452954712"/>
        <c:axId val="452948480"/>
      </c:barChart>
      <c:catAx>
        <c:axId val="4529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52948480"/>
        <c:crosses val="autoZero"/>
        <c:auto val="1"/>
        <c:lblAlgn val="ctr"/>
        <c:lblOffset val="100"/>
        <c:noMultiLvlLbl val="0"/>
      </c:catAx>
      <c:valAx>
        <c:axId val="452948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5295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50800" h="50800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770528093493136E-2"/>
          <c:y val="0.22222222222222221"/>
          <c:w val="0.93645894381301376"/>
          <c:h val="0.52566276655879129"/>
        </c:manualLayout>
      </c:layout>
      <c:barChart>
        <c:barDir val="col"/>
        <c:grouping val="clustered"/>
        <c:varyColors val="0"/>
        <c:ser>
          <c:idx val="0"/>
          <c:order val="0"/>
          <c:tx>
            <c:v>RAROC</c:v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RAROC!$G$21:$J$22</c:f>
              <c:multiLvlStrCache>
                <c:ptCount val="4"/>
                <c:lvl>
                  <c:pt idx="0">
                    <c:v>Paramétrico</c:v>
                  </c:pt>
                  <c:pt idx="1">
                    <c:v>Empírico</c:v>
                  </c:pt>
                  <c:pt idx="2">
                    <c:v>Paramétrico</c:v>
                  </c:pt>
                  <c:pt idx="3">
                    <c:v>Empírico</c:v>
                  </c:pt>
                </c:lvl>
                <c:lvl>
                  <c:pt idx="0">
                    <c:v>95% de Confiança</c:v>
                  </c:pt>
                  <c:pt idx="2">
                    <c:v>99% de Confiança</c:v>
                  </c:pt>
                </c:lvl>
              </c:multiLvlStrCache>
            </c:multiLvlStrRef>
          </c:cat>
          <c:val>
            <c:numRef>
              <c:f>RAROC!$G$23:$J$23</c:f>
              <c:numCache>
                <c:formatCode>0.00%</c:formatCode>
                <c:ptCount val="4"/>
                <c:pt idx="0">
                  <c:v>5.2322129030964656E-2</c:v>
                </c:pt>
                <c:pt idx="1">
                  <c:v>4.5238182330193277E-2</c:v>
                </c:pt>
                <c:pt idx="2">
                  <c:v>3.7633560963267559E-2</c:v>
                </c:pt>
                <c:pt idx="3">
                  <c:v>2.0072636170933297E-2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0-4A30-9683-8B026726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100"/>
        <c:axId val="998626272"/>
        <c:axId val="998627584"/>
      </c:barChart>
      <c:lineChart>
        <c:grouping val="standard"/>
        <c:varyColors val="0"/>
        <c:ser>
          <c:idx val="1"/>
          <c:order val="1"/>
          <c:tx>
            <c:v>SELIC Acumulada</c:v>
          </c:tx>
          <c:spPr>
            <a:ln w="381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RAROC!$G$25:$J$25</c:f>
              <c:numCache>
                <c:formatCode>0.00%</c:formatCode>
                <c:ptCount val="4"/>
                <c:pt idx="0">
                  <c:v>6.490000000000129E-2</c:v>
                </c:pt>
                <c:pt idx="1">
                  <c:v>6.490000000000129E-2</c:v>
                </c:pt>
                <c:pt idx="2">
                  <c:v>6.490000000000129E-2</c:v>
                </c:pt>
                <c:pt idx="3">
                  <c:v>6.490000000000129E-2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0-4A30-9683-8B026726A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626272"/>
        <c:axId val="998627584"/>
      </c:lineChart>
      <c:catAx>
        <c:axId val="9986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627584"/>
        <c:crosses val="autoZero"/>
        <c:auto val="1"/>
        <c:lblAlgn val="ctr"/>
        <c:lblOffset val="100"/>
        <c:noMultiLvlLbl val="0"/>
      </c:catAx>
      <c:valAx>
        <c:axId val="998627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9986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76326612854624"/>
          <c:y val="6.596857684456113E-2"/>
          <c:w val="0.78158501049655504"/>
          <c:h val="0.10532771945173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50800" h="50800"/>
    </a:sp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39479942251633E-2"/>
          <c:y val="3.0759919715917872E-3"/>
          <c:w val="0.93500114135881518"/>
          <c:h val="0.9739608102437598"/>
        </c:manualLayout>
      </c:layout>
      <c:doughnutChart>
        <c:varyColors val="1"/>
        <c:ser>
          <c:idx val="0"/>
          <c:order val="0"/>
          <c:tx>
            <c:strRef>
              <c:f>Relógio!$B$14:$B$16</c:f>
              <c:strCache>
                <c:ptCount val="3"/>
                <c:pt idx="0">
                  <c:v>0,06</c:v>
                </c:pt>
                <c:pt idx="1">
                  <c:v>0,06</c:v>
                </c:pt>
                <c:pt idx="2">
                  <c:v>0,06</c:v>
                </c:pt>
              </c:strCache>
            </c:strRef>
          </c:tx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CCE4-460B-804F-9E4BB7506F7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CCE4-460B-804F-9E4BB7506F7B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CCE4-460B-804F-9E4BB7506F7B}"/>
              </c:ext>
            </c:extLst>
          </c:dPt>
          <c:dPt>
            <c:idx val="3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B28-43C7-BE02-7196F8FDAA01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6-0B28-43C7-BE02-7196F8FDA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>
                    <a:latin typeface="Arial Black" panose="020B0A04020102020204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Relógio!$A$12:$A$16</c:f>
              <c:strCache>
                <c:ptCount val="5"/>
                <c:pt idx="1">
                  <c:v>Ótimo</c:v>
                </c:pt>
                <c:pt idx="2">
                  <c:v>Bom</c:v>
                </c:pt>
                <c:pt idx="3">
                  <c:v>Regular</c:v>
                </c:pt>
                <c:pt idx="4">
                  <c:v>Ruim</c:v>
                </c:pt>
              </c:strCache>
            </c:strRef>
          </c:cat>
          <c:val>
            <c:numRef>
              <c:f>Relógio!$B$12:$B$16</c:f>
              <c:numCache>
                <c:formatCode>0.00</c:formatCode>
                <c:ptCount val="5"/>
                <c:pt idx="0">
                  <c:v>0.44781000000000892</c:v>
                </c:pt>
                <c:pt idx="1">
                  <c:v>0.25960000000000516</c:v>
                </c:pt>
                <c:pt idx="2">
                  <c:v>6.490000000000129E-2</c:v>
                </c:pt>
                <c:pt idx="3">
                  <c:v>6.490000000000129E-2</c:v>
                </c:pt>
                <c:pt idx="4">
                  <c:v>5.8410000000001155E-2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E4-460B-804F-9E4BB750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40"/>
      </c:doughnut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paperSize="0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79576378795066E-2"/>
          <c:y val="2.6243046513703308E-2"/>
          <c:w val="0.90977097114878402"/>
          <c:h val="0.88017973559428342"/>
        </c:manualLayout>
      </c:layout>
      <c:scatterChart>
        <c:scatterStyle val="lineMarker"/>
        <c:varyColors val="0"/>
        <c:ser>
          <c:idx val="0"/>
          <c:order val="0"/>
          <c:tx>
            <c:strRef>
              <c:f>Relógio!$A$20</c:f>
              <c:strCache>
                <c:ptCount val="1"/>
                <c:pt idx="0">
                  <c:v>Agulha1</c:v>
                </c:pt>
              </c:strCache>
            </c:strRef>
          </c:tx>
          <c:spPr>
            <a:ln w="41275" cmpd="sng">
              <a:solidFill>
                <a:schemeClr val="tx1"/>
              </a:solidFill>
              <a:headEnd type="oval" w="lg" len="lg"/>
              <a:tailEnd type="triangle" w="lg" len="lg"/>
            </a:ln>
          </c:spPr>
          <c:marker>
            <c:symbol val="none"/>
          </c:marker>
          <c:xVal>
            <c:numRef>
              <c:f>Relógio!$A$22:$A$23</c:f>
              <c:numCache>
                <c:formatCode>#,##0.00</c:formatCode>
                <c:ptCount val="2"/>
                <c:pt idx="0">
                  <c:v>0</c:v>
                </c:pt>
                <c:pt idx="1">
                  <c:v>0.93338511970064963</c:v>
                </c:pt>
              </c:numCache>
            </c:numRef>
          </c:xVal>
          <c:yVal>
            <c:numRef>
              <c:f>Relógio!$B$22:$B$23</c:f>
              <c:numCache>
                <c:formatCode>#,##0.00</c:formatCode>
                <c:ptCount val="2"/>
                <c:pt idx="0">
                  <c:v>0</c:v>
                </c:pt>
                <c:pt idx="1">
                  <c:v>0.35887632733492469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1-487E-928A-8DFA099C4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750032"/>
        <c:axId val="1"/>
      </c:scatterChart>
      <c:valAx>
        <c:axId val="943750032"/>
        <c:scaling>
          <c:orientation val="minMax"/>
          <c:max val="1.5"/>
          <c:min val="-1.5"/>
        </c:scaling>
        <c:delete val="0"/>
        <c:axPos val="b"/>
        <c:numFmt formatCode="#,##0.00" sourceLinked="1"/>
        <c:majorTickMark val="none"/>
        <c:minorTickMark val="none"/>
        <c:tickLblPos val="none"/>
        <c:spPr>
          <a:solidFill>
            <a:sysClr val="window" lastClr="FFFFFF"/>
          </a:solidFill>
          <a:ln w="6350">
            <a:noFill/>
          </a:ln>
        </c:spPr>
        <c:crossAx val="1"/>
        <c:crosses val="autoZero"/>
        <c:crossBetween val="midCat"/>
      </c:valAx>
      <c:valAx>
        <c:axId val="1"/>
        <c:scaling>
          <c:orientation val="minMax"/>
          <c:max val="1.5"/>
          <c:min val="-1.5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ln w="6350">
            <a:noFill/>
          </a:ln>
        </c:spPr>
        <c:crossAx val="943750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2" dropStyle="combo" dx="22" fmlaLink="$D$8" fmlaRange="Empirico!$A$2:$A$21" sel="7"/>
</file>

<file path=xl/ctrlProps/ctrlProp2.xml><?xml version="1.0" encoding="utf-8"?>
<formControlPr xmlns="http://schemas.microsoft.com/office/spreadsheetml/2009/9/main" objectType="Scroll" dx="22" fmlaLink="$C$9" horiz="1" max="65" min="3" page="10" val="12"/>
</file>

<file path=xl/ctrlProps/ctrlProp3.xml><?xml version="1.0" encoding="utf-8"?>
<formControlPr xmlns="http://schemas.microsoft.com/office/spreadsheetml/2009/9/main" objectType="Spin" dx="22" fmlaLink="D5" max="1000" min="50" page="10" val="283"/>
</file>

<file path=xl/ctrlProps/ctrlProp4.xml><?xml version="1.0" encoding="utf-8"?>
<formControlPr xmlns="http://schemas.microsoft.com/office/spreadsheetml/2009/9/main" objectType="Spin" dx="22" fmlaLink="$D$10" max="9" min="1" page="10" val="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23813</xdr:colOff>
      <xdr:row>6</xdr:row>
      <xdr:rowOff>300102</xdr:rowOff>
    </xdr:from>
    <xdr:to>
      <xdr:col>3</xdr:col>
      <xdr:colOff>1463813</xdr:colOff>
      <xdr:row>9</xdr:row>
      <xdr:rowOff>39143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F529EAFC-8C24-4B7A-95A9-A8F218D685F7}"/>
            </a:ext>
          </a:extLst>
        </xdr:cNvPr>
        <xdr:cNvSpPr/>
      </xdr:nvSpPr>
      <xdr:spPr>
        <a:xfrm>
          <a:off x="3899053" y="2179006"/>
          <a:ext cx="1440000" cy="678493"/>
        </a:xfrm>
        <a:prstGeom prst="roundRect">
          <a:avLst/>
        </a:prstGeom>
        <a:solidFill>
          <a:schemeClr val="bg1">
            <a:lumMod val="9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28576</xdr:colOff>
      <xdr:row>4</xdr:row>
      <xdr:rowOff>9525</xdr:rowOff>
    </xdr:from>
    <xdr:to>
      <xdr:col>3</xdr:col>
      <xdr:colOff>1468576</xdr:colOff>
      <xdr:row>6</xdr:row>
      <xdr:rowOff>19051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496201CE-8EAE-4DC4-BAD9-88B1A7B13C39}"/>
            </a:ext>
          </a:extLst>
        </xdr:cNvPr>
        <xdr:cNvSpPr/>
      </xdr:nvSpPr>
      <xdr:spPr>
        <a:xfrm>
          <a:off x="3903816" y="1262128"/>
          <a:ext cx="1440000" cy="635827"/>
        </a:xfrm>
        <a:prstGeom prst="roundRect">
          <a:avLst/>
        </a:prstGeom>
        <a:solidFill>
          <a:schemeClr val="bg1">
            <a:lumMod val="9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138791</xdr:colOff>
          <xdr:row>7</xdr:row>
          <xdr:rowOff>24255</xdr:rowOff>
        </xdr:from>
        <xdr:to>
          <xdr:col>3</xdr:col>
          <xdr:colOff>1368076</xdr:colOff>
          <xdr:row>8</xdr:row>
          <xdr:rowOff>15290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153641</xdr:colOff>
          <xdr:row>8</xdr:row>
          <xdr:rowOff>52192</xdr:rowOff>
        </xdr:from>
        <xdr:to>
          <xdr:col>3</xdr:col>
          <xdr:colOff>1351405</xdr:colOff>
          <xdr:row>8</xdr:row>
          <xdr:rowOff>242008</xdr:rowOff>
        </xdr:to>
        <xdr:sp macro="" textlink="">
          <xdr:nvSpPr>
            <xdr:cNvPr id="5123" name="Scroll Bar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1795398</xdr:colOff>
      <xdr:row>25</xdr:row>
      <xdr:rowOff>285470</xdr:rowOff>
    </xdr:from>
    <xdr:to>
      <xdr:col>8</xdr:col>
      <xdr:colOff>221816</xdr:colOff>
      <xdr:row>43</xdr:row>
      <xdr:rowOff>90120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56AA70A8-25CE-4115-B8C2-013FA324BDA8}"/>
            </a:ext>
          </a:extLst>
        </xdr:cNvPr>
        <xdr:cNvGrpSpPr/>
      </xdr:nvGrpSpPr>
      <xdr:grpSpPr>
        <a:xfrm>
          <a:off x="8241083" y="8114237"/>
          <a:ext cx="4102274" cy="3562458"/>
          <a:chOff x="2451519" y="1182802"/>
          <a:chExt cx="5566910" cy="3905250"/>
        </a:xfrm>
      </xdr:grpSpPr>
      <xdr:graphicFrame macro="">
        <xdr:nvGraphicFramePr>
          <xdr:cNvPr id="6" name="Gráfico 1">
            <a:extLst>
              <a:ext uri="{FF2B5EF4-FFF2-40B4-BE49-F238E27FC236}">
                <a16:creationId xmlns:a16="http://schemas.microsoft.com/office/drawing/2014/main" id="{29EC77B9-24E2-4E32-835C-11E772424FA0}"/>
              </a:ext>
            </a:extLst>
          </xdr:cNvPr>
          <xdr:cNvGraphicFramePr>
            <a:graphicFrameLocks/>
          </xdr:cNvGraphicFramePr>
        </xdr:nvGraphicFramePr>
        <xdr:xfrm>
          <a:off x="2451519" y="1182802"/>
          <a:ext cx="5566910" cy="3905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Gráfico 2">
            <a:extLst>
              <a:ext uri="{FF2B5EF4-FFF2-40B4-BE49-F238E27FC236}">
                <a16:creationId xmlns:a16="http://schemas.microsoft.com/office/drawing/2014/main" id="{C92B639B-1F2D-42BF-B24A-DB4C15EB7D08}"/>
              </a:ext>
            </a:extLst>
          </xdr:cNvPr>
          <xdr:cNvGraphicFramePr>
            <a:graphicFrameLocks/>
          </xdr:cNvGraphicFramePr>
        </xdr:nvGraphicFramePr>
        <xdr:xfrm>
          <a:off x="2726875" y="1204921"/>
          <a:ext cx="4871531" cy="3405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4</xdr:row>
          <xdr:rowOff>34577</xdr:rowOff>
        </xdr:from>
        <xdr:to>
          <xdr:col>3</xdr:col>
          <xdr:colOff>1381725</xdr:colOff>
          <xdr:row>5</xdr:row>
          <xdr:rowOff>249570</xdr:rowOff>
        </xdr:to>
        <xdr:sp macro="" textlink="">
          <xdr:nvSpPr>
            <xdr:cNvPr id="5124" name="Spinner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C20DB5E-BEA0-485B-BF30-46AA26C3FC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14923</xdr:colOff>
      <xdr:row>5</xdr:row>
      <xdr:rowOff>158352</xdr:rowOff>
    </xdr:from>
    <xdr:to>
      <xdr:col>7</xdr:col>
      <xdr:colOff>1148220</xdr:colOff>
      <xdr:row>19</xdr:row>
      <xdr:rowOff>156575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B24DC58-4FD5-46EC-A3CF-4C570A550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1265650</xdr:colOff>
      <xdr:row>5</xdr:row>
      <xdr:rowOff>168058</xdr:rowOff>
    </xdr:from>
    <xdr:to>
      <xdr:col>9</xdr:col>
      <xdr:colOff>2022431</xdr:colOff>
      <xdr:row>19</xdr:row>
      <xdr:rowOff>169623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2B1301-7E0B-4BD0-8E7C-DE695B004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6</xdr:row>
          <xdr:rowOff>152400</xdr:rowOff>
        </xdr:from>
        <xdr:to>
          <xdr:col>5</xdr:col>
          <xdr:colOff>257175</xdr:colOff>
          <xdr:row>8</xdr:row>
          <xdr:rowOff>171450</xdr:rowOff>
        </xdr:to>
        <xdr:sp macro="" textlink="">
          <xdr:nvSpPr>
            <xdr:cNvPr id="11266" name="Spinner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ED6E38E9-D011-440F-80AF-60224D8E3B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12372</xdr:rowOff>
    </xdr:from>
    <xdr:to>
      <xdr:col>11</xdr:col>
      <xdr:colOff>66675</xdr:colOff>
      <xdr:row>23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F0629E8-D51E-40E8-963B-C3D7A306D81D}"/>
            </a:ext>
          </a:extLst>
        </xdr:cNvPr>
        <xdr:cNvGrpSpPr/>
      </xdr:nvGrpSpPr>
      <xdr:grpSpPr>
        <a:xfrm>
          <a:off x="2905125" y="393372"/>
          <a:ext cx="4867275" cy="4007178"/>
          <a:chOff x="2277892" y="63667"/>
          <a:chExt cx="5566910" cy="3905250"/>
        </a:xfrm>
      </xdr:grpSpPr>
      <xdr:graphicFrame macro="">
        <xdr:nvGraphicFramePr>
          <xdr:cNvPr id="3" name="Gráfico 1">
            <a:extLst>
              <a:ext uri="{FF2B5EF4-FFF2-40B4-BE49-F238E27FC236}">
                <a16:creationId xmlns:a16="http://schemas.microsoft.com/office/drawing/2014/main" id="{0382D622-568A-427F-96F8-A5F3596FFFA3}"/>
              </a:ext>
            </a:extLst>
          </xdr:cNvPr>
          <xdr:cNvGraphicFramePr>
            <a:graphicFrameLocks/>
          </xdr:cNvGraphicFramePr>
        </xdr:nvGraphicFramePr>
        <xdr:xfrm>
          <a:off x="2277892" y="63667"/>
          <a:ext cx="5566910" cy="3905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áfico 2">
            <a:extLst>
              <a:ext uri="{FF2B5EF4-FFF2-40B4-BE49-F238E27FC236}">
                <a16:creationId xmlns:a16="http://schemas.microsoft.com/office/drawing/2014/main" id="{309668FD-22DE-47E4-A512-2C6D6A1F5B80}"/>
              </a:ext>
            </a:extLst>
          </xdr:cNvPr>
          <xdr:cNvGraphicFramePr>
            <a:graphicFrameLocks/>
          </xdr:cNvGraphicFramePr>
        </xdr:nvGraphicFramePr>
        <xdr:xfrm>
          <a:off x="2476805" y="326456"/>
          <a:ext cx="4871531" cy="3405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B5D5-6497-497D-9221-535300222AF9}">
  <sheetPr codeName="Planilha1"/>
  <dimension ref="B1:L27"/>
  <sheetViews>
    <sheetView view="pageBreakPreview" zoomScale="73" zoomScaleNormal="100" zoomScaleSheetLayoutView="73" workbookViewId="0">
      <selection activeCell="G5" sqref="G5"/>
    </sheetView>
  </sheetViews>
  <sheetFormatPr defaultRowHeight="15" x14ac:dyDescent="0.25"/>
  <cols>
    <col min="2" max="2" width="27.42578125" style="10" bestFit="1" customWidth="1"/>
    <col min="3" max="3" width="21.42578125" style="10" bestFit="1" customWidth="1"/>
    <col min="4" max="4" width="22.28515625" style="10" customWidth="1"/>
    <col min="5" max="5" width="16.28515625" style="10" customWidth="1"/>
    <col min="6" max="6" width="31.28515625" bestFit="1" customWidth="1"/>
    <col min="7" max="7" width="25.140625" bestFit="1" customWidth="1"/>
    <col min="8" max="8" width="28.7109375" style="10" customWidth="1"/>
    <col min="9" max="9" width="25.5703125" bestFit="1" customWidth="1"/>
    <col min="10" max="10" width="30.5703125" customWidth="1"/>
    <col min="11" max="11" width="23.28515625" bestFit="1" customWidth="1"/>
  </cols>
  <sheetData>
    <row r="1" spans="2:11" ht="24.95" customHeight="1" x14ac:dyDescent="0.25"/>
    <row r="2" spans="2:11" ht="24.95" customHeight="1" thickBot="1" x14ac:dyDescent="0.3"/>
    <row r="3" spans="2:11" ht="24.95" customHeight="1" thickTop="1" thickBot="1" x14ac:dyDescent="0.3">
      <c r="B3" s="46" t="s">
        <v>46</v>
      </c>
      <c r="C3" s="47">
        <f ca="1">NOW()</f>
        <v>43642.627706134263</v>
      </c>
      <c r="D3" s="17"/>
      <c r="E3" s="17"/>
      <c r="F3" s="55" t="s">
        <v>58</v>
      </c>
      <c r="G3" s="60" t="s">
        <v>63</v>
      </c>
      <c r="H3" s="60"/>
      <c r="I3" s="60" t="s">
        <v>64</v>
      </c>
      <c r="J3" s="59"/>
    </row>
    <row r="4" spans="2:11" ht="24.95" customHeight="1" thickTop="1" x14ac:dyDescent="0.25">
      <c r="B4" s="46" t="s">
        <v>32</v>
      </c>
      <c r="C4" s="48">
        <v>26186</v>
      </c>
      <c r="F4" s="56"/>
      <c r="G4" s="53" t="s">
        <v>40</v>
      </c>
      <c r="H4" s="54" t="s">
        <v>65</v>
      </c>
      <c r="I4" s="53" t="s">
        <v>40</v>
      </c>
      <c r="J4" s="54" t="s">
        <v>65</v>
      </c>
    </row>
    <row r="5" spans="2:11" ht="24.95" customHeight="1" thickBot="1" x14ac:dyDescent="0.3">
      <c r="B5" s="49" t="s">
        <v>61</v>
      </c>
      <c r="C5" s="50">
        <f>(D5/100)/100</f>
        <v>2.8300000000000002E-2</v>
      </c>
      <c r="D5" s="10">
        <v>283</v>
      </c>
      <c r="F5" s="73" t="s">
        <v>57</v>
      </c>
      <c r="G5" s="57">
        <f xml:space="preserve"> IF( C8="R1", C15 + C4*1.645*Empirico!H2,
   IF( C8="R2", C15 + C4*1.645*Empirico!H3,
   IF( C8="R3", C15 + C4*1.645*Empirico!H4,
   IF( C8="R4", C15 + C4*1.645*Empirico!H5,
   IF( C8="R5", C15 + C4*1.645*Empirico!H6,
   IF( C8="R6", C15 + C4*1.645*Empirico!H7,
   IF( C8="R7", C15 + C4*1.645*Empirico!H8,
   IF( C8="R8", C15 + C4*1.645*Empirico!H9,
   IF( C8="R9", C15 + C4*1.645*Empirico!H10,
   IF( C8="R10", C15 + C4*1.645*Empirico!H11,
   IF( C8="R11", C15 + C4*1.645*Empirico!H12,
   IF( C8="R12", C15 + C4*1.645*Empirico!H13,
   IF( C8="R13", C15 + C4*1.645*Empirico!H14,
   IF( C8="R14", C15 + C4*1.645*Empirico!H15,
   IF( C8="R15", C15 + C4*1.645*Empirico!H16,
   IF( C8="R16", C15 + C4*1.645*Empirico!H17,
   IF( C8="R17", C15 + C4*1.645*Empirico!H18,
   IF( C8="R18", C15 + C4*1.645*Empirico!H19,
   IF( C8="R19", C15 + C4*1.645*Empirico!H20,
   IF( C8="R20", C15 + C4*1.645*Empirico!H21   ))))))))))))))))))))</f>
        <v>30573.471961862291</v>
      </c>
      <c r="H5" s="57">
        <f xml:space="preserve"> IF( C8="R1", C15 + C4 *Empirico!J2  *Empirico!H2,
   IF( C8="R2", C15 + C4 *Empirico!J3  *Empirico!H3,
   IF( C8="R3", C15 + C4 *Empirico!J4  *Empirico!H4,
   IF( C8="R4", C15 + C4 *Empirico!J5  *Empirico!H5,
   IF( C8="R5", C15 + C4 *Empirico!J6  *Empirico!H6,
   IF( C8="R6", C15 + C4 *Empirico!J7  *Empirico!H7,
   IF( C8="R7", C15 + C4 *Empirico!J8  *Empirico!H8,
   IF( C8="R8", C15 + C4 *Empirico!J9  *Empirico!H9,
   IF( C8="R9", C15 + C4 *Empirico!J10*Empirico!H10,
   IF( C8="R10", C15 + C4 *Empirico!J11 *Empirico!H11,
   IF( C8="R11", C15 + C4 *Empirico!J12 *Empirico!H12,
   IF( C8="R12", C15 + C4 *Empirico!J13 *Empirico!H13,
   IF( C8="R13", C15 + C4 *Empirico!J14 *Empirico!H14,
   IF( C8="R14", C15 + C4 *Empirico!J15 *Empirico!H15,
   IF( C8="R15", C15 + C4 *Empirico!J16 *Empirico!H16,
   IF( C8="R16", C15 + C4 *Empirico!J17 *Empirico!H17,
   IF( C8="R17", C15 + C4 *Empirico!J18 *Empirico!H18,
   IF( C8="R18", C15 + C4 *Empirico!J19 *Empirico!H19,
   IF( C8="R19", C15 + C4 *Empirico!J20 *Empirico!H20,
   IF( C8="R20", C15 + C4 *Empirico!J21 *Empirico!H21   ))))))))))))))))))))</f>
        <v>35361.039337017603</v>
      </c>
      <c r="I5" s="57">
        <f xml:space="preserve"> IF( C8="R1", C15 + C4*2.325*Empirico!H2,
   IF( C8="R2", C15 + C4*2.325*Empirico!H3,
   IF( C8="R3", C15 + C4*2.325*Empirico!H4,
   IF( C8="R4", C15 + C4*2.325*Empirico!H5,
   IF( C8="R5", C15 + C4*2.325*Empirico!H6,
   IF( C8="R6", C15 + C4*2.325*Empirico!H7,
   IF( C8="R7", C15 + C4*2.325*Empirico!H8,
   IF( C8="R8", C15 + C4*2.325*Empirico!H9,
   IF( C8="R9", C15 + C4*2.325*Empirico!H10,
   IF( C8="R10", C15 + C4*2.325*Empirico!H11,
   IF( C8="R11", C15 + C4*2.325*Empirico!H12,
   IF( C8="R12", C15 + C4*2.325*Empirico!H13,
   IF( C8="R13", C15 + C4*2.325*Empirico!H14,
   IF( C8="R14", C15 + C4*2.325*Empirico!H15,
   IF( C8="R15", C15 + C4*2.325*Empirico!H16,
   IF( C8="R16", C15 + C4*2.325*Empirico!H17,
   IF( C8="R17", C15 + C4*2.325*Empirico!H18,
   IF( C8="R18", C15 + C4*2.325*Empirico!H19,
   IF( C8="R19", C15 + C4*2.325*Empirico!H20,
   IF( C8="R20", C15 + C4*2.325*Empirico!H21   ))))))))))))))))))))</f>
        <v>42506.451793772714</v>
      </c>
      <c r="J5" s="58">
        <f xml:space="preserve"> IF( C8="R1", C15 + C4 *Empirico!L2  *Empirico!H2,
   IF( C8="R2", C15 + C4 *Empirico!L3  *Empirico!H3,
   IF( C8="R3", C15 + C4 *Empirico!L4  *Empirico!H4,
   IF( C8="R4", C15 + C4 *Empirico!L5  *Empirico!H5,
   IF( C8="R5", C15 + C4 *Empirico!L6  *Empirico!H6,
   IF( C8="R6", C15 + C4 *Empirico!L7  *Empirico!H7,
   IF( C8="R7", C15 + C4 *Empirico!L8  *Empirico!H8,
   IF( C8="R8", C15 + C4 *Empirico!L9  *Empirico!H9,
   IF( C8="R9", C15 + C4 *Empirico!L10*Empirico!H10,
   IF( C8="R10", C15 + C4 *Empirico!L11 *Empirico!H11,
   IF( C8="R11", C15 + C4 *Empirico!L12 *Empirico!H12,
   IF( C8="R12", C15 + C4 *Empirico!L13 *Empirico!H13,
   IF( C8="R13", C15 + C4 *Empirico!L14 *Empirico!H14,
   IF( C8="R14", C15 + C4 *Empirico!L15 *Empirico!H15,
   IF( C8="R15", C15 + C4 *Empirico!L16 *Empirico!H16,
   IF( C8="R16", C15 + C4 *Empirico!L17 *Empirico!H17,
   IF( C8="R17", C15 + C4 *Empirico!L18 *Empirico!H18,
   IF( C8="R18", C15 + C4 *Empirico!L19 *Empirico!H19,
   IF( C8="R19", C15 + C4 *Empirico!L20 *Empirico!H20,
   IF( C8="R20", C15 + C4 *Empirico!L21 *Empirico!H21   ))))))))))))))))))))</f>
        <v>79694.023808869781</v>
      </c>
    </row>
    <row r="6" spans="2:11" ht="24.95" customHeight="1" thickTop="1" x14ac:dyDescent="0.25">
      <c r="B6" s="49" t="s">
        <v>62</v>
      </c>
      <c r="C6" s="50">
        <f>POWER(1 + C5, 12) - 1</f>
        <v>0.39777744943984406</v>
      </c>
      <c r="F6" s="41"/>
      <c r="G6" s="40">
        <f>-1*G5</f>
        <v>-30573.471961862291</v>
      </c>
      <c r="H6" s="40">
        <f>-1*H5</f>
        <v>-35361.039337017603</v>
      </c>
      <c r="I6" s="40">
        <f>-1*I5</f>
        <v>-42506.451793772714</v>
      </c>
      <c r="J6" s="40">
        <f>-1*J5</f>
        <v>-79694.023808869781</v>
      </c>
    </row>
    <row r="7" spans="2:11" s="10" customFormat="1" ht="24.95" customHeight="1" x14ac:dyDescent="0.25">
      <c r="B7" s="44"/>
      <c r="C7" s="45"/>
      <c r="F7" s="41"/>
      <c r="G7" s="42"/>
      <c r="H7" s="42"/>
      <c r="I7" s="42"/>
      <c r="J7" s="42"/>
      <c r="K7" s="42"/>
    </row>
    <row r="8" spans="2:11" ht="24.95" customHeight="1" x14ac:dyDescent="0.25">
      <c r="B8" s="35" t="s">
        <v>60</v>
      </c>
      <c r="C8" s="36" t="str">
        <f>CONCATENATE("R",D8)</f>
        <v>R7</v>
      </c>
      <c r="D8" s="10">
        <v>7</v>
      </c>
      <c r="F8" s="41"/>
      <c r="G8" s="40"/>
      <c r="H8" s="40"/>
      <c r="I8" s="40"/>
      <c r="J8" s="40"/>
      <c r="K8" s="40"/>
    </row>
    <row r="9" spans="2:11" ht="24.95" customHeight="1" x14ac:dyDescent="0.25">
      <c r="B9" s="35" t="s">
        <v>45</v>
      </c>
      <c r="C9" s="36">
        <v>12</v>
      </c>
      <c r="F9" s="41"/>
      <c r="G9" s="40"/>
      <c r="H9" s="40"/>
      <c r="I9" s="40"/>
      <c r="J9" s="40"/>
      <c r="K9" s="40"/>
    </row>
    <row r="10" spans="2:11" s="10" customFormat="1" ht="24.95" customHeight="1" x14ac:dyDescent="0.25">
      <c r="B10" s="51"/>
      <c r="C10" s="52"/>
      <c r="F10" s="41"/>
      <c r="G10" s="40"/>
      <c r="H10" s="40"/>
      <c r="I10" s="40"/>
      <c r="J10" s="40"/>
      <c r="K10" s="40"/>
    </row>
    <row r="11" spans="2:11" ht="24.95" customHeight="1" x14ac:dyDescent="0.25">
      <c r="B11" s="43" t="s">
        <v>33</v>
      </c>
      <c r="C11" s="37">
        <f>PMT(C5,C9,-C4)</f>
        <v>2604.0748908589162</v>
      </c>
      <c r="F11" s="41"/>
      <c r="G11" s="40"/>
      <c r="H11" s="40"/>
      <c r="I11" s="40"/>
      <c r="J11" s="40"/>
      <c r="K11" s="40"/>
    </row>
    <row r="12" spans="2:11" ht="24.95" customHeight="1" x14ac:dyDescent="0.25">
      <c r="B12" s="43" t="s">
        <v>34</v>
      </c>
      <c r="C12" s="37">
        <f>C11*C9</f>
        <v>31248.898690306996</v>
      </c>
      <c r="F12" s="41"/>
      <c r="G12" s="40"/>
      <c r="H12" s="40"/>
      <c r="I12" s="40"/>
      <c r="J12" s="40"/>
      <c r="K12" s="40"/>
    </row>
    <row r="13" spans="2:11" ht="24.95" customHeight="1" x14ac:dyDescent="0.25">
      <c r="B13" s="43" t="s">
        <v>35</v>
      </c>
      <c r="C13" s="37">
        <f ca="1">C4*(1+G25*0.85)</f>
        <v>27630.550690000025</v>
      </c>
      <c r="D13" s="18"/>
      <c r="E13" s="18"/>
      <c r="F13" s="41"/>
      <c r="G13" s="40"/>
      <c r="H13" s="40"/>
      <c r="I13" s="40"/>
      <c r="J13" s="40"/>
      <c r="K13" s="40"/>
    </row>
    <row r="14" spans="2:11" ht="24.95" customHeight="1" x14ac:dyDescent="0.25">
      <c r="B14" s="43" t="s">
        <v>36</v>
      </c>
      <c r="C14" s="37">
        <f>C12*0.01</f>
        <v>312.48898690306999</v>
      </c>
      <c r="F14" s="41"/>
      <c r="G14" s="40"/>
      <c r="H14" s="40"/>
      <c r="I14" s="40"/>
      <c r="J14" s="40"/>
      <c r="K14" s="40"/>
    </row>
    <row r="15" spans="2:11" ht="24.95" customHeight="1" x14ac:dyDescent="0.25">
      <c r="B15" s="43" t="s">
        <v>59</v>
      </c>
      <c r="C15" s="37">
        <f>IF(C8="R1",C12*Empirico!E2/100,
IF(C8="R2",C12*Empirico!E3/100,
IF(C8="R3",C12*Empirico!E4/100,
IF(C8="R4",C12*Empirico!E5/100,
IF(C8="R5",C12*Empirico!E6/100,
IF(C8="R6",C12*Empirico!E7/100,
IF(C8="R7",C12*Empirico!E8/100,
IF(C8="R8",C12*Empirico!E9/100,
IF(C8="R9",C12*Empirico!E10/100,
IF(C8="R10",C12*Empirico!E11/100,
IF(C8="R11",C12*Empirico!E12/100,
IF(C8="R12",C12*Empirico!E13/100,
IF(C8="R13",C12*Empirico!E14/100,
IF(C8="R14",C12*Empirico!E15/100,
IF(C8="R15",C12*Empirico!E16/100,
IF(C8="R16",C12*Empirico!E17/100,
IF(C8="R17",C12*Empirico!E18/100,
IF(C8="R18",C12*Empirico!E19/100,
IF(C8="R19",C12*Empirico!E20/100,
IF(C8="R20",C12*Empirico!E21/100))))))))))))))))))))</f>
        <v>1706.1898684907619</v>
      </c>
      <c r="F15" s="41"/>
      <c r="G15" s="40"/>
      <c r="H15" s="40"/>
      <c r="I15" s="40"/>
      <c r="J15" s="40"/>
      <c r="K15" s="40"/>
    </row>
    <row r="16" spans="2:11" ht="24.95" customHeight="1" x14ac:dyDescent="0.25">
      <c r="B16" s="43" t="s">
        <v>37</v>
      </c>
      <c r="C16" s="37">
        <f ca="1">C12-C13</f>
        <v>3618.3480003069708</v>
      </c>
      <c r="F16" s="41"/>
      <c r="G16" s="40"/>
      <c r="H16" s="40"/>
      <c r="I16" s="40"/>
      <c r="J16" s="40"/>
      <c r="K16" s="40"/>
    </row>
    <row r="17" spans="2:12" ht="24.95" customHeight="1" x14ac:dyDescent="0.25">
      <c r="B17" s="38" t="s">
        <v>41</v>
      </c>
      <c r="C17" s="39">
        <f ca="1">C16-C14-C15</f>
        <v>1599.669144913139</v>
      </c>
      <c r="F17" s="41"/>
      <c r="G17" s="40"/>
      <c r="H17" s="40"/>
      <c r="I17" s="40"/>
      <c r="J17" s="40"/>
      <c r="K17" s="40"/>
    </row>
    <row r="18" spans="2:12" ht="24.95" customHeight="1" x14ac:dyDescent="0.25">
      <c r="B18" s="14"/>
      <c r="C18" s="15"/>
      <c r="F18" s="41"/>
      <c r="G18" s="40"/>
      <c r="H18" s="40"/>
      <c r="I18" s="40"/>
      <c r="J18" s="40"/>
      <c r="K18" s="40"/>
    </row>
    <row r="19" spans="2:12" ht="24.95" customHeight="1" x14ac:dyDescent="0.25">
      <c r="B19" s="75" t="s">
        <v>57</v>
      </c>
      <c r="C19" s="76"/>
      <c r="F19" s="41"/>
      <c r="G19" s="40"/>
      <c r="H19" s="40"/>
      <c r="I19" s="40"/>
      <c r="J19" s="40"/>
      <c r="K19" s="40"/>
    </row>
    <row r="20" spans="2:12" ht="24.95" customHeight="1" thickBot="1" x14ac:dyDescent="0.3">
      <c r="F20" s="41"/>
      <c r="G20" s="40"/>
      <c r="H20" s="40"/>
      <c r="I20" s="40"/>
      <c r="J20" s="40"/>
      <c r="K20" s="40"/>
      <c r="L20" s="61"/>
    </row>
    <row r="21" spans="2:12" ht="24.95" customHeight="1" thickTop="1" x14ac:dyDescent="0.25">
      <c r="F21" s="64" t="s">
        <v>58</v>
      </c>
      <c r="G21" s="65" t="s">
        <v>63</v>
      </c>
      <c r="H21" s="65"/>
      <c r="I21" s="65" t="s">
        <v>64</v>
      </c>
      <c r="J21" s="65"/>
      <c r="K21" s="40"/>
      <c r="L21" s="61"/>
    </row>
    <row r="22" spans="2:12" ht="24.95" customHeight="1" x14ac:dyDescent="0.25">
      <c r="F22" s="66"/>
      <c r="G22" s="67" t="s">
        <v>40</v>
      </c>
      <c r="H22" s="68" t="s">
        <v>65</v>
      </c>
      <c r="I22" s="67" t="s">
        <v>40</v>
      </c>
      <c r="J22" s="68" t="s">
        <v>65</v>
      </c>
      <c r="K22" s="62"/>
      <c r="L22" s="61"/>
    </row>
    <row r="23" spans="2:12" ht="24.95" customHeight="1" x14ac:dyDescent="0.25">
      <c r="F23" s="69" t="s">
        <v>38</v>
      </c>
      <c r="G23" s="70">
        <f ca="1">C17/G5</f>
        <v>5.2322129030964656E-2</v>
      </c>
      <c r="H23" s="70">
        <f ca="1">C17/H5</f>
        <v>4.5238182330193277E-2</v>
      </c>
      <c r="I23" s="70">
        <f ca="1">C17/I5</f>
        <v>3.7633560963267559E-2</v>
      </c>
      <c r="J23" s="70">
        <f ca="1">C17/J5</f>
        <v>2.0072636170933297E-2</v>
      </c>
      <c r="K23" s="63"/>
      <c r="L23" s="61"/>
    </row>
    <row r="24" spans="2:12" ht="24.95" customHeight="1" x14ac:dyDescent="0.25">
      <c r="F24" s="69" t="s">
        <v>44</v>
      </c>
      <c r="G24" s="70">
        <f ca="1">VLOOKUP($C$3,SELIC!$A$1:$D$40,4)</f>
        <v>5.2538280408596094E-3</v>
      </c>
      <c r="H24" s="70">
        <f ca="1">VLOOKUP($C$3,SELIC!$A$1:$D$40,4)</f>
        <v>5.2538280408596094E-3</v>
      </c>
      <c r="I24" s="70">
        <f ca="1">VLOOKUP($C$3,SELIC!$A$1:$D$40,4)</f>
        <v>5.2538280408596094E-3</v>
      </c>
      <c r="J24" s="70">
        <f ca="1">VLOOKUP($C$3,SELIC!$A$1:$D$40,4)</f>
        <v>5.2538280408596094E-3</v>
      </c>
      <c r="K24" s="63"/>
      <c r="L24" s="61"/>
    </row>
    <row r="25" spans="2:12" ht="24.95" customHeight="1" thickBot="1" x14ac:dyDescent="0.3">
      <c r="F25" s="71" t="str">
        <f>CONCATENATE("Selic em: ",C9," meses")</f>
        <v>Selic em: 12 meses</v>
      </c>
      <c r="G25" s="72">
        <f ca="1">(POWER(1 + G24, $C$9) - 1)</f>
        <v>6.490000000000129E-2</v>
      </c>
      <c r="H25" s="72">
        <f t="shared" ref="H25:J25" ca="1" si="0">(POWER(1 + H24, $C$9) - 1)</f>
        <v>6.490000000000129E-2</v>
      </c>
      <c r="I25" s="72">
        <f t="shared" ca="1" si="0"/>
        <v>6.490000000000129E-2</v>
      </c>
      <c r="J25" s="72">
        <f t="shared" ca="1" si="0"/>
        <v>6.490000000000129E-2</v>
      </c>
      <c r="K25" s="61"/>
      <c r="L25" s="61"/>
    </row>
    <row r="26" spans="2:12" ht="24.95" customHeight="1" thickTop="1" x14ac:dyDescent="0.25">
      <c r="G26" s="34"/>
      <c r="H26" s="34"/>
    </row>
    <row r="27" spans="2:12" ht="24.95" customHeight="1" x14ac:dyDescent="0.25"/>
  </sheetData>
  <mergeCells count="5">
    <mergeCell ref="B19:C19"/>
    <mergeCell ref="I3:J3"/>
    <mergeCell ref="G3:H3"/>
    <mergeCell ref="G21:H21"/>
    <mergeCell ref="I21:J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3</xdr:col>
                    <xdr:colOff>142875</xdr:colOff>
                    <xdr:row>7</xdr:row>
                    <xdr:rowOff>28575</xdr:rowOff>
                  </from>
                  <to>
                    <xdr:col>3</xdr:col>
                    <xdr:colOff>1371600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Scroll Bar 3">
              <controlPr defaultSize="0" autoPict="0">
                <anchor moveWithCells="1">
                  <from>
                    <xdr:col>3</xdr:col>
                    <xdr:colOff>152400</xdr:colOff>
                    <xdr:row>8</xdr:row>
                    <xdr:rowOff>47625</xdr:rowOff>
                  </from>
                  <to>
                    <xdr:col>3</xdr:col>
                    <xdr:colOff>1352550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Spinner 4">
              <controlPr defaultSize="0" autoPict="0">
                <anchor moveWithCells="1" sizeWithCells="1">
                  <from>
                    <xdr:col>3</xdr:col>
                    <xdr:colOff>85725</xdr:colOff>
                    <xdr:row>4</xdr:row>
                    <xdr:rowOff>38100</xdr:rowOff>
                  </from>
                  <to>
                    <xdr:col>3</xdr:col>
                    <xdr:colOff>1381125</xdr:colOff>
                    <xdr:row>5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BF359-0AB9-4AAD-AC5A-5321A5274DF8}">
  <dimension ref="A2:E10"/>
  <sheetViews>
    <sheetView tabSelected="1" workbookViewId="0">
      <selection activeCell="K6" sqref="K6"/>
    </sheetView>
  </sheetViews>
  <sheetFormatPr defaultRowHeight="15" x14ac:dyDescent="0.25"/>
  <cols>
    <col min="1" max="1" width="9.140625" style="10"/>
  </cols>
  <sheetData>
    <row r="2" spans="1:5" ht="19.5" x14ac:dyDescent="0.3">
      <c r="A2" s="10">
        <v>1</v>
      </c>
      <c r="B2" t="s">
        <v>66</v>
      </c>
      <c r="D2" s="74" t="s">
        <v>72</v>
      </c>
    </row>
    <row r="3" spans="1:5" x14ac:dyDescent="0.25">
      <c r="A3" s="10">
        <v>2</v>
      </c>
      <c r="B3" t="s">
        <v>67</v>
      </c>
    </row>
    <row r="4" spans="1:5" x14ac:dyDescent="0.25">
      <c r="A4" s="10">
        <v>3</v>
      </c>
      <c r="B4" t="s">
        <v>68</v>
      </c>
    </row>
    <row r="5" spans="1:5" x14ac:dyDescent="0.25">
      <c r="A5" s="10">
        <v>4</v>
      </c>
      <c r="B5" t="s">
        <v>69</v>
      </c>
    </row>
    <row r="6" spans="1:5" x14ac:dyDescent="0.25">
      <c r="A6" s="10">
        <v>5</v>
      </c>
      <c r="B6" t="s">
        <v>70</v>
      </c>
    </row>
    <row r="7" spans="1:5" x14ac:dyDescent="0.25">
      <c r="A7" s="10">
        <v>6</v>
      </c>
      <c r="B7" t="s">
        <v>71</v>
      </c>
    </row>
    <row r="8" spans="1:5" x14ac:dyDescent="0.25">
      <c r="A8" s="10">
        <v>7</v>
      </c>
      <c r="B8" t="s">
        <v>72</v>
      </c>
    </row>
    <row r="9" spans="1:5" x14ac:dyDescent="0.25">
      <c r="A9" s="10">
        <v>8</v>
      </c>
      <c r="B9" t="s">
        <v>73</v>
      </c>
    </row>
    <row r="10" spans="1:5" x14ac:dyDescent="0.25">
      <c r="A10" s="10">
        <v>9</v>
      </c>
      <c r="B10" t="s">
        <v>74</v>
      </c>
      <c r="D10" s="80">
        <v>9</v>
      </c>
      <c r="E10" t="str">
        <f>VLOOKUP(D10,A2:B10,2,FALSE)</f>
        <v>H</v>
      </c>
    </row>
  </sheetData>
  <dataValidations count="1">
    <dataValidation type="list" allowBlank="1" showInputMessage="1" showErrorMessage="1" sqref="D2" xr:uid="{E988050A-0B75-4DDE-ADC8-9C95FD54C2F4}">
      <formula1>$B$2:$B$10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Spinner 2">
              <controlPr defaultSize="0" autoPict="0">
                <anchor moveWithCells="1" siz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5</xdr:col>
                    <xdr:colOff>257175</xdr:colOff>
                    <xdr:row>8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CD2C-F0E3-4AA3-9316-68AFC2F4147D}">
  <sheetPr codeName="Planilha4"/>
  <dimension ref="A2:C23"/>
  <sheetViews>
    <sheetView zoomScaleNormal="100" workbookViewId="0">
      <selection activeCell="M9" sqref="M9"/>
    </sheetView>
  </sheetViews>
  <sheetFormatPr defaultRowHeight="15" x14ac:dyDescent="0.25"/>
  <cols>
    <col min="1" max="1" width="19.42578125" style="10" customWidth="1"/>
    <col min="2" max="2" width="13.85546875" style="10" bestFit="1" customWidth="1"/>
    <col min="3" max="16384" width="9.140625" style="10"/>
  </cols>
  <sheetData>
    <row r="2" spans="1:3" x14ac:dyDescent="0.25">
      <c r="A2" s="20" t="s">
        <v>47</v>
      </c>
      <c r="B2" s="21" t="s">
        <v>38</v>
      </c>
    </row>
    <row r="3" spans="1:3" x14ac:dyDescent="0.25">
      <c r="A3" s="22" t="s">
        <v>49</v>
      </c>
      <c r="B3" s="23">
        <f ca="1">IF(C3&lt;0,0,IF(C3&gt;1,1,C3))</f>
        <v>5.2322129030964656E-2</v>
      </c>
      <c r="C3" s="34">
        <f ca="1">RAROC!G23</f>
        <v>5.2322129030964656E-2</v>
      </c>
    </row>
    <row r="4" spans="1:3" x14ac:dyDescent="0.25">
      <c r="A4" s="24"/>
      <c r="B4" s="25">
        <f ca="1">SUM(B5:B8)</f>
        <v>0.65549000000001301</v>
      </c>
    </row>
    <row r="5" spans="1:3" x14ac:dyDescent="0.25">
      <c r="A5" s="24" t="s">
        <v>55</v>
      </c>
      <c r="B5" s="25">
        <f ca="1">RAROC!$G$25*4</f>
        <v>0.25960000000000516</v>
      </c>
      <c r="C5" s="1"/>
    </row>
    <row r="6" spans="1:3" x14ac:dyDescent="0.25">
      <c r="A6" s="24" t="s">
        <v>54</v>
      </c>
      <c r="B6" s="25">
        <f ca="1">RAROC!$G$25*3</f>
        <v>0.19470000000000387</v>
      </c>
      <c r="C6" s="1"/>
    </row>
    <row r="7" spans="1:3" x14ac:dyDescent="0.25">
      <c r="A7" s="24" t="s">
        <v>53</v>
      </c>
      <c r="B7" s="25">
        <f ca="1">RAROC!$G$25*2</f>
        <v>0.12980000000000258</v>
      </c>
      <c r="C7" s="1"/>
    </row>
    <row r="8" spans="1:3" x14ac:dyDescent="0.25">
      <c r="A8" s="24" t="s">
        <v>56</v>
      </c>
      <c r="B8" s="25">
        <f ca="1">RAROC!$G$25*1.1</f>
        <v>7.1390000000001425E-2</v>
      </c>
      <c r="C8" s="1"/>
    </row>
    <row r="11" spans="1:3" x14ac:dyDescent="0.25">
      <c r="A11" s="20" t="s">
        <v>47</v>
      </c>
      <c r="B11" s="21" t="s">
        <v>48</v>
      </c>
    </row>
    <row r="12" spans="1:3" x14ac:dyDescent="0.25">
      <c r="A12" s="24"/>
      <c r="B12" s="25">
        <f ca="1">SUM(B13:B16)</f>
        <v>0.44781000000000892</v>
      </c>
    </row>
    <row r="13" spans="1:3" x14ac:dyDescent="0.25">
      <c r="A13" s="24" t="s">
        <v>55</v>
      </c>
      <c r="B13" s="25">
        <f ca="1">B5</f>
        <v>0.25960000000000516</v>
      </c>
    </row>
    <row r="14" spans="1:3" x14ac:dyDescent="0.25">
      <c r="A14" s="24" t="s">
        <v>54</v>
      </c>
      <c r="B14" s="25">
        <f ca="1">ABS(B5-B6)</f>
        <v>6.490000000000129E-2</v>
      </c>
    </row>
    <row r="15" spans="1:3" x14ac:dyDescent="0.25">
      <c r="A15" s="24" t="s">
        <v>53</v>
      </c>
      <c r="B15" s="25">
        <f ca="1">ABS(B6-B7)</f>
        <v>6.490000000000129E-2</v>
      </c>
    </row>
    <row r="16" spans="1:3" x14ac:dyDescent="0.25">
      <c r="A16" s="24" t="s">
        <v>56</v>
      </c>
      <c r="B16" s="25">
        <f ca="1">ABS(B7-B8)</f>
        <v>5.8410000000001155E-2</v>
      </c>
    </row>
    <row r="19" spans="1:2" ht="15.75" thickBot="1" x14ac:dyDescent="0.3"/>
    <row r="20" spans="1:2" x14ac:dyDescent="0.25">
      <c r="A20" s="26" t="s">
        <v>50</v>
      </c>
      <c r="B20" s="27"/>
    </row>
    <row r="21" spans="1:2" x14ac:dyDescent="0.25">
      <c r="A21" s="28" t="s">
        <v>51</v>
      </c>
      <c r="B21" s="29" t="s">
        <v>52</v>
      </c>
    </row>
    <row r="22" spans="1:2" x14ac:dyDescent="0.25">
      <c r="A22" s="30">
        <v>0</v>
      </c>
      <c r="B22" s="31">
        <v>0</v>
      </c>
    </row>
    <row r="23" spans="1:2" ht="15.75" thickBot="1" x14ac:dyDescent="0.3">
      <c r="A23" s="32">
        <f ca="1" xml:space="preserve">  COS(PI() * ABS($B$3 / $B$12))</f>
        <v>0.93338511970064963</v>
      </c>
      <c r="B23" s="33">
        <f ca="1" xml:space="preserve"> SIN(PI() * ABS($B$3/$B$12))</f>
        <v>0.35887632733492469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5812-419B-424D-B72F-D12C28F225AF}">
  <sheetPr codeName="Planilha21"/>
  <dimension ref="A1:L21"/>
  <sheetViews>
    <sheetView workbookViewId="0">
      <selection activeCell="G2" sqref="G2"/>
    </sheetView>
  </sheetViews>
  <sheetFormatPr defaultRowHeight="15" x14ac:dyDescent="0.25"/>
  <cols>
    <col min="1" max="1" width="12.5703125" bestFit="1" customWidth="1"/>
    <col min="2" max="2" width="3" style="2" bestFit="1" customWidth="1"/>
    <col min="3" max="3" width="12.7109375" bestFit="1" customWidth="1"/>
    <col min="4" max="4" width="9.140625" bestFit="1" customWidth="1"/>
    <col min="5" max="5" width="7.7109375" style="1" bestFit="1" customWidth="1"/>
    <col min="6" max="6" width="14.85546875" bestFit="1" customWidth="1"/>
    <col min="7" max="7" width="9.140625" bestFit="1" customWidth="1"/>
    <col min="8" max="8" width="14.5703125" bestFit="1" customWidth="1"/>
    <col min="9" max="9" width="12.85546875" bestFit="1" customWidth="1"/>
    <col min="10" max="10" width="5.5703125" style="3" bestFit="1" customWidth="1"/>
    <col min="11" max="11" width="12.85546875" bestFit="1" customWidth="1"/>
    <col min="12" max="12" width="5.5703125" bestFit="1" customWidth="1"/>
  </cols>
  <sheetData>
    <row r="1" spans="1:12" x14ac:dyDescent="0.25">
      <c r="A1" s="14" t="s">
        <v>0</v>
      </c>
      <c r="B1" s="14" t="s">
        <v>25</v>
      </c>
      <c r="C1" s="14" t="s">
        <v>1</v>
      </c>
      <c r="D1" s="14" t="s">
        <v>22</v>
      </c>
      <c r="E1" s="4" t="s">
        <v>23</v>
      </c>
      <c r="F1" s="14" t="s">
        <v>24</v>
      </c>
      <c r="G1" s="14" t="s">
        <v>23</v>
      </c>
      <c r="H1" s="14" t="s">
        <v>26</v>
      </c>
      <c r="I1" s="14" t="s">
        <v>28</v>
      </c>
      <c r="J1" s="14" t="s">
        <v>30</v>
      </c>
      <c r="K1" s="14" t="s">
        <v>29</v>
      </c>
      <c r="L1" s="14" t="s">
        <v>27</v>
      </c>
    </row>
    <row r="2" spans="1:12" x14ac:dyDescent="0.25">
      <c r="A2" s="5" t="s">
        <v>2</v>
      </c>
      <c r="B2" s="6">
        <v>1</v>
      </c>
      <c r="C2" s="77">
        <v>54430488.669999994</v>
      </c>
      <c r="D2" s="77">
        <v>5805.164027999771</v>
      </c>
      <c r="E2" s="8">
        <v>0.22</v>
      </c>
      <c r="F2" s="77">
        <v>3275106.840481698</v>
      </c>
      <c r="G2" s="78">
        <f>F2/C2</f>
        <v>6.0170447124550837E-2</v>
      </c>
      <c r="H2" s="7">
        <f>G2</f>
        <v>6.0170447124550837E-2</v>
      </c>
      <c r="I2" s="79">
        <v>1.7890806926282339</v>
      </c>
      <c r="J2" s="9">
        <f>I2</f>
        <v>1.7890806926282339</v>
      </c>
      <c r="K2" s="79">
        <v>4.1675611297286039</v>
      </c>
      <c r="L2" s="9">
        <f>K2</f>
        <v>4.1675611297286039</v>
      </c>
    </row>
    <row r="3" spans="1:12" x14ac:dyDescent="0.25">
      <c r="A3" s="5" t="s">
        <v>13</v>
      </c>
      <c r="B3" s="6">
        <v>2</v>
      </c>
      <c r="C3" s="77">
        <v>80868726.99999997</v>
      </c>
      <c r="D3" s="77">
        <v>10870.709029945785</v>
      </c>
      <c r="E3" s="8">
        <v>0.48</v>
      </c>
      <c r="F3" s="77">
        <v>6996265.3924166784</v>
      </c>
      <c r="G3" s="78">
        <f>F3/C3</f>
        <v>8.6513855874307016E-2</v>
      </c>
      <c r="H3" s="7">
        <f>IF(G3&gt;H2,G3,H2)</f>
        <v>8.6513855874307016E-2</v>
      </c>
      <c r="I3" s="79">
        <v>1.8870577192806051</v>
      </c>
      <c r="J3" s="9">
        <f>IF(I3&gt;J2,I3,J2)</f>
        <v>1.8870577192806051</v>
      </c>
      <c r="K3" s="79">
        <v>4.3075285973004105</v>
      </c>
      <c r="L3" s="9">
        <f>IF(K3&gt;L2,K3,L2)</f>
        <v>4.3075285973004105</v>
      </c>
    </row>
    <row r="4" spans="1:12" x14ac:dyDescent="0.25">
      <c r="A4" s="5" t="s">
        <v>15</v>
      </c>
      <c r="B4" s="6">
        <v>3</v>
      </c>
      <c r="C4" s="77">
        <v>49148205.489999987</v>
      </c>
      <c r="D4" s="77">
        <v>10499.88545970735</v>
      </c>
      <c r="E4" s="8">
        <v>0.7</v>
      </c>
      <c r="F4" s="77">
        <v>6203325.9124264242</v>
      </c>
      <c r="G4" s="78">
        <f>F4/C4</f>
        <v>0.12621673264731087</v>
      </c>
      <c r="H4" s="7">
        <f t="shared" ref="H4:H21" si="0">IF(G4&gt;H3,G4,H3)</f>
        <v>0.12621673264731087</v>
      </c>
      <c r="I4" s="79">
        <v>1.9178191835537874</v>
      </c>
      <c r="J4" s="9">
        <f t="shared" ref="J4:J21" si="1">IF(I4&gt;J3,I4,J3)</f>
        <v>1.9178191835537874</v>
      </c>
      <c r="K4" s="79">
        <v>4.1264210876384242</v>
      </c>
      <c r="L4" s="9">
        <f t="shared" ref="L4:L20" si="2">IF(K4&gt;L3,K4,L3)</f>
        <v>4.3075285973004105</v>
      </c>
    </row>
    <row r="5" spans="1:12" x14ac:dyDescent="0.25">
      <c r="A5" s="5" t="s">
        <v>16</v>
      </c>
      <c r="B5" s="6">
        <v>4</v>
      </c>
      <c r="C5" s="77">
        <v>107937432.42000008</v>
      </c>
      <c r="D5" s="77">
        <v>20047.58551414073</v>
      </c>
      <c r="E5" s="8">
        <v>1.03</v>
      </c>
      <c r="F5" s="77">
        <v>12429856.659132021</v>
      </c>
      <c r="G5" s="78">
        <f>F5/C5</f>
        <v>0.11515797977077739</v>
      </c>
      <c r="H5" s="7">
        <f t="shared" si="0"/>
        <v>0.12621673264731087</v>
      </c>
      <c r="I5" s="79">
        <v>1.8236575851142252</v>
      </c>
      <c r="J5" s="9">
        <f t="shared" si="1"/>
        <v>1.9178191835537874</v>
      </c>
      <c r="K5" s="79">
        <v>4.2191287287543746</v>
      </c>
      <c r="L5" s="9">
        <f t="shared" si="2"/>
        <v>4.3075285973004105</v>
      </c>
    </row>
    <row r="6" spans="1:12" x14ac:dyDescent="0.25">
      <c r="A6" s="5" t="s">
        <v>17</v>
      </c>
      <c r="B6" s="6">
        <v>5</v>
      </c>
      <c r="C6" s="77">
        <v>144876714.51000002</v>
      </c>
      <c r="D6" s="77">
        <v>50451.041382584801</v>
      </c>
      <c r="E6" s="8">
        <v>2.0699999999999998</v>
      </c>
      <c r="F6" s="77">
        <v>29435160.053897638</v>
      </c>
      <c r="G6" s="78">
        <f>F6/C6</f>
        <v>0.20317385132215912</v>
      </c>
      <c r="H6" s="7">
        <f t="shared" si="0"/>
        <v>0.20317385132215912</v>
      </c>
      <c r="I6" s="79">
        <v>1.7516198430020984</v>
      </c>
      <c r="J6" s="9">
        <f t="shared" si="1"/>
        <v>1.9178191835537874</v>
      </c>
      <c r="K6" s="79">
        <v>4.1591884610750895</v>
      </c>
      <c r="L6" s="9">
        <f t="shared" si="2"/>
        <v>4.3075285973004105</v>
      </c>
    </row>
    <row r="7" spans="1:12" x14ac:dyDescent="0.25">
      <c r="A7" s="5" t="s">
        <v>18</v>
      </c>
      <c r="B7" s="6">
        <v>6</v>
      </c>
      <c r="C7" s="77">
        <v>75528632.509999946</v>
      </c>
      <c r="D7" s="77">
        <v>42271.699812676015</v>
      </c>
      <c r="E7" s="8">
        <v>3.22</v>
      </c>
      <c r="F7" s="77">
        <v>19063331.645980425</v>
      </c>
      <c r="G7" s="78">
        <f>F7/C7</f>
        <v>0.25239873955690184</v>
      </c>
      <c r="H7" s="7">
        <f t="shared" si="0"/>
        <v>0.25239873955690184</v>
      </c>
      <c r="I7" s="79">
        <v>1.5810474324437875</v>
      </c>
      <c r="J7" s="9">
        <f t="shared" si="1"/>
        <v>1.9178191835537874</v>
      </c>
      <c r="K7" s="79">
        <v>3.6954743016747811</v>
      </c>
      <c r="L7" s="9">
        <f t="shared" si="2"/>
        <v>4.3075285973004105</v>
      </c>
    </row>
    <row r="8" spans="1:12" x14ac:dyDescent="0.25">
      <c r="A8" s="5" t="s">
        <v>19</v>
      </c>
      <c r="B8" s="6">
        <v>7</v>
      </c>
      <c r="C8" s="77">
        <v>117010944.01000008</v>
      </c>
      <c r="D8" s="77">
        <v>146748.65691276279</v>
      </c>
      <c r="E8" s="8">
        <v>5.46</v>
      </c>
      <c r="F8" s="77">
        <v>78414668.984781399</v>
      </c>
      <c r="G8" s="78">
        <f>F8/C8</f>
        <v>0.6701481613384801</v>
      </c>
      <c r="H8" s="7">
        <f t="shared" si="0"/>
        <v>0.6701481613384801</v>
      </c>
      <c r="I8" s="79">
        <v>1.8394927339992393</v>
      </c>
      <c r="J8" s="9">
        <f t="shared" si="1"/>
        <v>1.9178191835537874</v>
      </c>
      <c r="K8" s="79">
        <v>4.4441311245363577</v>
      </c>
      <c r="L8" s="9">
        <f t="shared" si="2"/>
        <v>4.4441311245363577</v>
      </c>
    </row>
    <row r="9" spans="1:12" x14ac:dyDescent="0.25">
      <c r="A9" s="5" t="s">
        <v>20</v>
      </c>
      <c r="B9" s="6">
        <v>8</v>
      </c>
      <c r="C9" s="77">
        <v>89742433.73999995</v>
      </c>
      <c r="D9" s="77">
        <v>117664.90891037967</v>
      </c>
      <c r="E9" s="8">
        <v>7</v>
      </c>
      <c r="F9" s="77">
        <v>57698142.360466011</v>
      </c>
      <c r="G9" s="78">
        <f>F9/C9</f>
        <v>0.64293043943546213</v>
      </c>
      <c r="H9" s="7">
        <f t="shared" si="0"/>
        <v>0.6701481613384801</v>
      </c>
      <c r="I9" s="79">
        <v>1.6779934856805581</v>
      </c>
      <c r="J9" s="9">
        <f t="shared" si="1"/>
        <v>1.9178191835537874</v>
      </c>
      <c r="K9" s="79">
        <v>4.1556241175075437</v>
      </c>
      <c r="L9" s="9">
        <f t="shared" si="2"/>
        <v>4.4441311245363577</v>
      </c>
    </row>
    <row r="10" spans="1:12" x14ac:dyDescent="0.25">
      <c r="A10" s="5" t="s">
        <v>21</v>
      </c>
      <c r="B10" s="6">
        <v>9</v>
      </c>
      <c r="C10" s="77">
        <v>134778522.55999991</v>
      </c>
      <c r="D10" s="77">
        <v>247163.82324562414</v>
      </c>
      <c r="E10" s="8">
        <v>10.46</v>
      </c>
      <c r="F10" s="77">
        <v>118271342.89296328</v>
      </c>
      <c r="G10" s="78">
        <f>F10/C10</f>
        <v>0.87752366361125478</v>
      </c>
      <c r="H10" s="7">
        <f t="shared" si="0"/>
        <v>0.87752366361125478</v>
      </c>
      <c r="I10" s="79">
        <v>1.7623948034486239</v>
      </c>
      <c r="J10" s="9">
        <f t="shared" si="1"/>
        <v>1.9178191835537874</v>
      </c>
      <c r="K10" s="79">
        <v>3.765230857707778</v>
      </c>
      <c r="L10" s="9">
        <f t="shared" si="2"/>
        <v>4.4441311245363577</v>
      </c>
    </row>
    <row r="11" spans="1:12" x14ac:dyDescent="0.25">
      <c r="A11" s="5" t="s">
        <v>3</v>
      </c>
      <c r="B11" s="6">
        <v>10</v>
      </c>
      <c r="C11" s="77">
        <v>116533241.60999998</v>
      </c>
      <c r="D11" s="77">
        <v>521997.42864249117</v>
      </c>
      <c r="E11" s="8">
        <v>13</v>
      </c>
      <c r="F11" s="77">
        <v>281326473.10396218</v>
      </c>
      <c r="G11" s="78">
        <f>F11/C11</f>
        <v>2.414130673936568</v>
      </c>
      <c r="H11" s="7">
        <f t="shared" si="0"/>
        <v>2.414130673936568</v>
      </c>
      <c r="I11" s="79">
        <v>1.5808022030387661</v>
      </c>
      <c r="J11" s="9">
        <f t="shared" si="1"/>
        <v>1.9178191835537874</v>
      </c>
      <c r="K11" s="79">
        <v>4.5248089796426276</v>
      </c>
      <c r="L11" s="9">
        <f t="shared" si="2"/>
        <v>4.5248089796426276</v>
      </c>
    </row>
    <row r="12" spans="1:12" x14ac:dyDescent="0.25">
      <c r="A12" s="5" t="s">
        <v>4</v>
      </c>
      <c r="B12" s="6">
        <v>11</v>
      </c>
      <c r="C12" s="77">
        <v>92985096.22999993</v>
      </c>
      <c r="D12" s="77">
        <v>232306.88874952082</v>
      </c>
      <c r="E12" s="8">
        <v>15.6</v>
      </c>
      <c r="F12" s="77">
        <v>99046633.72051309</v>
      </c>
      <c r="G12" s="78">
        <f>F12/C12</f>
        <v>1.0651882692632793</v>
      </c>
      <c r="H12" s="7">
        <f t="shared" si="0"/>
        <v>2.414130673936568</v>
      </c>
      <c r="I12" s="79">
        <v>1.7905241781287002</v>
      </c>
      <c r="J12" s="9">
        <f t="shared" si="1"/>
        <v>1.9178191835537874</v>
      </c>
      <c r="K12" s="79">
        <v>4.144163982090677</v>
      </c>
      <c r="L12" s="9">
        <f t="shared" si="2"/>
        <v>4.5248089796426276</v>
      </c>
    </row>
    <row r="13" spans="1:12" x14ac:dyDescent="0.25">
      <c r="A13" s="5" t="s">
        <v>5</v>
      </c>
      <c r="B13" s="6">
        <v>12</v>
      </c>
      <c r="C13" s="77">
        <v>104601772.57000004</v>
      </c>
      <c r="D13" s="77">
        <v>270320.78918385401</v>
      </c>
      <c r="E13" s="8">
        <v>20</v>
      </c>
      <c r="F13" s="77">
        <v>108114731.59229203</v>
      </c>
      <c r="G13" s="78">
        <f>F13/C13</f>
        <v>1.0335841251632816</v>
      </c>
      <c r="H13" s="7">
        <f t="shared" si="0"/>
        <v>2.414130673936568</v>
      </c>
      <c r="I13" s="79">
        <v>1.8744092316204981</v>
      </c>
      <c r="J13" s="9">
        <f t="shared" si="1"/>
        <v>1.9178191835537874</v>
      </c>
      <c r="K13" s="79">
        <v>3.9079168189287992</v>
      </c>
      <c r="L13" s="9">
        <f t="shared" si="2"/>
        <v>4.5248089796426276</v>
      </c>
    </row>
    <row r="14" spans="1:12" x14ac:dyDescent="0.25">
      <c r="A14" s="5" t="s">
        <v>6</v>
      </c>
      <c r="B14" s="6">
        <v>13</v>
      </c>
      <c r="C14" s="77">
        <v>83476520.159999967</v>
      </c>
      <c r="D14" s="77">
        <v>248041.84454650013</v>
      </c>
      <c r="E14" s="8">
        <v>25</v>
      </c>
      <c r="F14" s="77">
        <v>87989012.765184313</v>
      </c>
      <c r="G14" s="78">
        <f>F14/C14</f>
        <v>1.0540570282102706</v>
      </c>
      <c r="H14" s="7">
        <f t="shared" si="0"/>
        <v>2.414130673936568</v>
      </c>
      <c r="I14" s="79">
        <v>1.600096186347796</v>
      </c>
      <c r="J14" s="9">
        <f t="shared" si="1"/>
        <v>1.9178191835537874</v>
      </c>
      <c r="K14" s="79">
        <v>3.4071902706014301</v>
      </c>
      <c r="L14" s="9">
        <f t="shared" si="2"/>
        <v>4.5248089796426276</v>
      </c>
    </row>
    <row r="15" spans="1:12" x14ac:dyDescent="0.25">
      <c r="A15" s="5" t="s">
        <v>7</v>
      </c>
      <c r="B15" s="6">
        <v>14</v>
      </c>
      <c r="C15" s="77">
        <v>75075121.089999989</v>
      </c>
      <c r="D15" s="77">
        <v>303114.20653900289</v>
      </c>
      <c r="E15" s="8">
        <v>30</v>
      </c>
      <c r="F15" s="77">
        <v>108716097.51520935</v>
      </c>
      <c r="G15" s="78">
        <f>F15/C15</f>
        <v>1.4480975313363875</v>
      </c>
      <c r="H15" s="7">
        <f t="shared" si="0"/>
        <v>2.414130673936568</v>
      </c>
      <c r="I15" s="79">
        <v>1.708533975588338</v>
      </c>
      <c r="J15" s="9">
        <f t="shared" si="1"/>
        <v>1.9178191835537874</v>
      </c>
      <c r="K15" s="79">
        <v>4.196709831294573</v>
      </c>
      <c r="L15" s="9">
        <f t="shared" si="2"/>
        <v>4.5248089796426276</v>
      </c>
    </row>
    <row r="16" spans="1:12" x14ac:dyDescent="0.25">
      <c r="A16" s="5" t="s">
        <v>8</v>
      </c>
      <c r="B16" s="6">
        <v>15</v>
      </c>
      <c r="C16" s="77">
        <v>76467958.629999951</v>
      </c>
      <c r="D16" s="77">
        <v>540817.44823000731</v>
      </c>
      <c r="E16" s="8">
        <v>40</v>
      </c>
      <c r="F16" s="77">
        <v>261244441.86534658</v>
      </c>
      <c r="G16" s="78">
        <f>F16/C16</f>
        <v>3.4163909504817749</v>
      </c>
      <c r="H16" s="7">
        <f t="shared" si="0"/>
        <v>3.4163909504817749</v>
      </c>
      <c r="I16" s="79">
        <v>1.7549659753741307</v>
      </c>
      <c r="J16" s="9">
        <f t="shared" si="1"/>
        <v>1.9178191835537874</v>
      </c>
      <c r="K16" s="79">
        <v>4.007242681535403</v>
      </c>
      <c r="L16" s="9">
        <f t="shared" si="2"/>
        <v>4.5248089796426276</v>
      </c>
    </row>
    <row r="17" spans="1:12" x14ac:dyDescent="0.25">
      <c r="A17" s="5" t="s">
        <v>9</v>
      </c>
      <c r="B17" s="6">
        <v>16</v>
      </c>
      <c r="C17" s="77">
        <v>64675089.950000055</v>
      </c>
      <c r="D17" s="77">
        <v>668255.41994740593</v>
      </c>
      <c r="E17" s="8">
        <v>50</v>
      </c>
      <c r="F17" s="77">
        <v>292782180.04990405</v>
      </c>
      <c r="G17" s="78">
        <f>F17/C17</f>
        <v>4.5269698159871492</v>
      </c>
      <c r="H17" s="7">
        <f t="shared" si="0"/>
        <v>4.5269698159871492</v>
      </c>
      <c r="I17" s="79">
        <v>1.706320353265518</v>
      </c>
      <c r="J17" s="9">
        <f t="shared" si="1"/>
        <v>1.9178191835537874</v>
      </c>
      <c r="K17" s="79">
        <v>4.1023912442023711</v>
      </c>
      <c r="L17" s="9">
        <f t="shared" si="2"/>
        <v>4.5248089796426276</v>
      </c>
    </row>
    <row r="18" spans="1:12" x14ac:dyDescent="0.25">
      <c r="A18" s="5" t="s">
        <v>10</v>
      </c>
      <c r="B18" s="6">
        <v>17</v>
      </c>
      <c r="C18" s="77">
        <v>9396384.7000000048</v>
      </c>
      <c r="D18" s="77">
        <v>154317.91075650329</v>
      </c>
      <c r="E18" s="8">
        <v>60</v>
      </c>
      <c r="F18" s="77">
        <v>44932887.445664473</v>
      </c>
      <c r="G18" s="78">
        <f>F18/C18</f>
        <v>4.7819335712877367</v>
      </c>
      <c r="H18" s="7">
        <f t="shared" si="0"/>
        <v>4.7819335712877367</v>
      </c>
      <c r="I18" s="79">
        <v>1.6347083509424407</v>
      </c>
      <c r="J18" s="9">
        <f t="shared" si="1"/>
        <v>1.9178191835537874</v>
      </c>
      <c r="K18" s="79">
        <v>3.3633944415373254</v>
      </c>
      <c r="L18" s="9">
        <f t="shared" si="2"/>
        <v>4.5248089796426276</v>
      </c>
    </row>
    <row r="19" spans="1:12" x14ac:dyDescent="0.25">
      <c r="A19" s="5" t="s">
        <v>11</v>
      </c>
      <c r="B19" s="6">
        <v>18</v>
      </c>
      <c r="C19" s="77">
        <v>9264066.3199999984</v>
      </c>
      <c r="D19" s="77">
        <v>163093.17454480534</v>
      </c>
      <c r="E19" s="8">
        <v>70</v>
      </c>
      <c r="F19" s="77">
        <v>41768247.882216312</v>
      </c>
      <c r="G19" s="78">
        <f>F19/C19</f>
        <v>4.5086300593556548</v>
      </c>
      <c r="H19" s="7">
        <f t="shared" si="0"/>
        <v>4.7819335712877367</v>
      </c>
      <c r="I19" s="79">
        <v>1.6455115510654164</v>
      </c>
      <c r="J19" s="9">
        <f t="shared" si="1"/>
        <v>1.9178191835537874</v>
      </c>
      <c r="K19" s="79">
        <v>3.5504574496666184</v>
      </c>
      <c r="L19" s="9">
        <f t="shared" si="2"/>
        <v>4.5248089796426276</v>
      </c>
    </row>
    <row r="20" spans="1:12" x14ac:dyDescent="0.25">
      <c r="A20" s="5" t="s">
        <v>12</v>
      </c>
      <c r="B20" s="6">
        <v>19</v>
      </c>
      <c r="C20" s="77">
        <v>5370450.8899999987</v>
      </c>
      <c r="D20" s="77">
        <v>174723.59853625455</v>
      </c>
      <c r="E20" s="8">
        <v>85</v>
      </c>
      <c r="F20" s="77">
        <v>46005989.49016317</v>
      </c>
      <c r="G20" s="78">
        <f>F20/C20</f>
        <v>8.566504085500199</v>
      </c>
      <c r="H20" s="7">
        <f t="shared" si="0"/>
        <v>8.566504085500199</v>
      </c>
      <c r="I20" s="79">
        <v>1.9945456667465413</v>
      </c>
      <c r="J20" s="9">
        <f t="shared" si="1"/>
        <v>1.9945456667465413</v>
      </c>
      <c r="K20" s="79">
        <v>4.2864700939171199</v>
      </c>
      <c r="L20" s="9">
        <f t="shared" si="2"/>
        <v>4.5248089796426276</v>
      </c>
    </row>
    <row r="21" spans="1:12" x14ac:dyDescent="0.25">
      <c r="A21" s="5" t="s">
        <v>14</v>
      </c>
      <c r="B21" s="6">
        <v>20</v>
      </c>
      <c r="C21" s="77">
        <v>12391801.719999988</v>
      </c>
      <c r="D21" s="77">
        <v>491024.06122795172</v>
      </c>
      <c r="E21" s="8">
        <v>100</v>
      </c>
      <c r="F21" s="77">
        <v>174137742.23524213</v>
      </c>
      <c r="G21" s="78">
        <f>F21/C21</f>
        <v>14.0526572462977</v>
      </c>
      <c r="H21" s="7">
        <f t="shared" si="0"/>
        <v>14.0526572462977</v>
      </c>
      <c r="I21" s="79">
        <v>1.6123903509323951</v>
      </c>
      <c r="J21" s="9">
        <f t="shared" si="1"/>
        <v>1.9945456667465413</v>
      </c>
      <c r="K21" s="79">
        <v>4.3412041211939005</v>
      </c>
      <c r="L21" s="9">
        <f>IF(K21&gt;L20,K21,L20)</f>
        <v>4.5248089796426276</v>
      </c>
    </row>
  </sheetData>
  <sortState xmlns:xlrd2="http://schemas.microsoft.com/office/spreadsheetml/2017/richdata2" ref="A2:G21">
    <sortCondition ref="B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DC05-4129-42BD-9843-057F2346E55A}">
  <sheetPr codeName="Planilha3"/>
  <dimension ref="A1:D40"/>
  <sheetViews>
    <sheetView workbookViewId="0">
      <selection activeCell="C2" sqref="C2:C17"/>
    </sheetView>
  </sheetViews>
  <sheetFormatPr defaultRowHeight="15" x14ac:dyDescent="0.25"/>
  <cols>
    <col min="1" max="1" width="15.85546875" customWidth="1"/>
    <col min="2" max="2" width="16.85546875" bestFit="1" customWidth="1"/>
    <col min="3" max="4" width="12.28515625" bestFit="1" customWidth="1"/>
  </cols>
  <sheetData>
    <row r="1" spans="1:4" x14ac:dyDescent="0.25">
      <c r="A1" s="12" t="s">
        <v>31</v>
      </c>
      <c r="B1" s="11" t="s">
        <v>39</v>
      </c>
      <c r="C1" s="11" t="s">
        <v>42</v>
      </c>
      <c r="D1" s="11" t="s">
        <v>43</v>
      </c>
    </row>
    <row r="2" spans="1:4" x14ac:dyDescent="0.25">
      <c r="A2" s="16">
        <v>43617</v>
      </c>
      <c r="B2" s="13">
        <v>6.49</v>
      </c>
      <c r="C2" s="19">
        <f>B2/100</f>
        <v>6.4899999999999999E-2</v>
      </c>
      <c r="D2">
        <f>POWER(1 + C2, 1/12) - 1</f>
        <v>5.2538280408596094E-3</v>
      </c>
    </row>
    <row r="3" spans="1:4" x14ac:dyDescent="0.25">
      <c r="A3" s="16">
        <v>43647</v>
      </c>
      <c r="B3" s="13">
        <v>6.49</v>
      </c>
      <c r="C3" s="19">
        <f t="shared" ref="C3:C40" si="0">B3/100</f>
        <v>6.4899999999999999E-2</v>
      </c>
      <c r="D3" s="10">
        <f t="shared" ref="D3:D40" si="1">POWER(1 + C3, 1/12) - 1</f>
        <v>5.2538280408596094E-3</v>
      </c>
    </row>
    <row r="4" spans="1:4" x14ac:dyDescent="0.25">
      <c r="A4" s="16">
        <v>43678</v>
      </c>
      <c r="B4" s="13">
        <v>6.44</v>
      </c>
      <c r="C4" s="19">
        <f t="shared" si="0"/>
        <v>6.4399999999999999E-2</v>
      </c>
      <c r="D4" s="10">
        <f t="shared" si="1"/>
        <v>5.2144867011501006E-3</v>
      </c>
    </row>
    <row r="5" spans="1:4" x14ac:dyDescent="0.25">
      <c r="A5" s="16">
        <v>43709</v>
      </c>
      <c r="B5" s="13">
        <v>6.37</v>
      </c>
      <c r="C5" s="19">
        <f t="shared" si="0"/>
        <v>6.3700000000000007E-2</v>
      </c>
      <c r="D5" s="10">
        <f t="shared" si="1"/>
        <v>5.1593803560010532E-3</v>
      </c>
    </row>
    <row r="6" spans="1:4" x14ac:dyDescent="0.25">
      <c r="A6" s="16">
        <v>43739</v>
      </c>
      <c r="B6" s="13">
        <v>6.33</v>
      </c>
      <c r="C6" s="19">
        <f t="shared" si="0"/>
        <v>6.3299999999999995E-2</v>
      </c>
      <c r="D6" s="10">
        <f t="shared" si="1"/>
        <v>5.1278760889585939E-3</v>
      </c>
    </row>
    <row r="7" spans="1:4" x14ac:dyDescent="0.25">
      <c r="A7" s="16">
        <v>43770</v>
      </c>
      <c r="B7" s="13">
        <v>6.32</v>
      </c>
      <c r="C7" s="19">
        <f t="shared" si="0"/>
        <v>6.3200000000000006E-2</v>
      </c>
      <c r="D7" s="10">
        <f t="shared" si="1"/>
        <v>5.1199983247298686E-3</v>
      </c>
    </row>
    <row r="8" spans="1:4" x14ac:dyDescent="0.25">
      <c r="A8" s="16">
        <v>43800</v>
      </c>
      <c r="B8" s="13">
        <v>6.35</v>
      </c>
      <c r="C8" s="19">
        <f t="shared" si="0"/>
        <v>6.3500000000000001E-2</v>
      </c>
      <c r="D8" s="10">
        <f t="shared" si="1"/>
        <v>5.143629580209641E-3</v>
      </c>
    </row>
    <row r="9" spans="1:4" x14ac:dyDescent="0.25">
      <c r="A9" s="16">
        <v>43831</v>
      </c>
      <c r="B9" s="13">
        <v>6.41</v>
      </c>
      <c r="C9" s="19">
        <f t="shared" si="0"/>
        <v>6.4100000000000004E-2</v>
      </c>
      <c r="D9" s="10">
        <f t="shared" si="1"/>
        <v>5.1908737651189529E-3</v>
      </c>
    </row>
    <row r="10" spans="1:4" x14ac:dyDescent="0.25">
      <c r="A10" s="16">
        <v>43862</v>
      </c>
      <c r="B10" s="13">
        <v>6.52</v>
      </c>
      <c r="C10" s="19">
        <f t="shared" si="0"/>
        <v>6.5199999999999994E-2</v>
      </c>
      <c r="D10" s="10">
        <f t="shared" si="1"/>
        <v>5.2774247178459799E-3</v>
      </c>
    </row>
    <row r="11" spans="1:4" x14ac:dyDescent="0.25">
      <c r="A11" s="16">
        <v>43891</v>
      </c>
      <c r="B11" s="13">
        <v>6.61</v>
      </c>
      <c r="C11" s="19">
        <f t="shared" si="0"/>
        <v>6.6100000000000006E-2</v>
      </c>
      <c r="D11" s="10">
        <f t="shared" si="1"/>
        <v>5.3481782152988711E-3</v>
      </c>
    </row>
    <row r="12" spans="1:4" x14ac:dyDescent="0.25">
      <c r="A12" s="16">
        <v>43922</v>
      </c>
      <c r="B12" s="13">
        <v>6.71</v>
      </c>
      <c r="C12" s="19">
        <f t="shared" si="0"/>
        <v>6.7099999999999993E-2</v>
      </c>
      <c r="D12" s="10">
        <f t="shared" si="1"/>
        <v>5.4267290252520972E-3</v>
      </c>
    </row>
    <row r="13" spans="1:4" x14ac:dyDescent="0.25">
      <c r="A13" s="16">
        <v>43952</v>
      </c>
      <c r="B13" s="13">
        <v>6.83</v>
      </c>
      <c r="C13" s="19">
        <f t="shared" si="0"/>
        <v>6.83E-2</v>
      </c>
      <c r="D13" s="10">
        <f t="shared" si="1"/>
        <v>5.5209009761847394E-3</v>
      </c>
    </row>
    <row r="14" spans="1:4" x14ac:dyDescent="0.25">
      <c r="A14" s="16">
        <v>43983</v>
      </c>
      <c r="B14" s="13">
        <v>6.92</v>
      </c>
      <c r="C14" s="19">
        <f t="shared" si="0"/>
        <v>6.9199999999999998E-2</v>
      </c>
      <c r="D14" s="10">
        <f t="shared" si="1"/>
        <v>5.5914663265468345E-3</v>
      </c>
    </row>
    <row r="15" spans="1:4" x14ac:dyDescent="0.25">
      <c r="A15" s="16">
        <v>44013</v>
      </c>
      <c r="B15" s="13">
        <v>6.96</v>
      </c>
      <c r="C15" s="19">
        <f t="shared" si="0"/>
        <v>6.9599999999999995E-2</v>
      </c>
      <c r="D15" s="10">
        <f t="shared" si="1"/>
        <v>5.6228112286857979E-3</v>
      </c>
    </row>
    <row r="16" spans="1:4" x14ac:dyDescent="0.25">
      <c r="A16" s="16">
        <v>44044</v>
      </c>
      <c r="B16" s="13">
        <v>6.99</v>
      </c>
      <c r="C16" s="19">
        <f t="shared" si="0"/>
        <v>6.9900000000000004E-2</v>
      </c>
      <c r="D16" s="10">
        <f t="shared" si="1"/>
        <v>5.6463128544999019E-3</v>
      </c>
    </row>
    <row r="17" spans="1:4" x14ac:dyDescent="0.25">
      <c r="A17" s="16">
        <v>44075</v>
      </c>
      <c r="B17" s="13">
        <v>7.05</v>
      </c>
      <c r="C17" s="19">
        <f t="shared" si="0"/>
        <v>7.0499999999999993E-2</v>
      </c>
      <c r="D17" s="10">
        <f t="shared" si="1"/>
        <v>5.6932979895953917E-3</v>
      </c>
    </row>
    <row r="18" spans="1:4" x14ac:dyDescent="0.25">
      <c r="A18" s="16">
        <v>44105</v>
      </c>
      <c r="B18" s="13">
        <v>6.13</v>
      </c>
      <c r="C18" s="19">
        <f t="shared" si="0"/>
        <v>6.13E-2</v>
      </c>
      <c r="D18" s="10">
        <f t="shared" si="1"/>
        <v>4.9701916105215904E-3</v>
      </c>
    </row>
    <row r="19" spans="1:4" x14ac:dyDescent="0.25">
      <c r="A19" s="16">
        <v>44136</v>
      </c>
      <c r="B19" s="13">
        <f>AVERAGE(B11:B18)</f>
        <v>6.7750000000000004</v>
      </c>
      <c r="C19" s="19">
        <f t="shared" si="0"/>
        <v>6.7750000000000005E-2</v>
      </c>
      <c r="D19" s="10">
        <f t="shared" si="1"/>
        <v>5.4777508750325499E-3</v>
      </c>
    </row>
    <row r="20" spans="1:4" x14ac:dyDescent="0.25">
      <c r="A20" s="16">
        <v>44166</v>
      </c>
      <c r="B20" s="13">
        <f t="shared" ref="B20:B40" si="2">AVERAGE(B12:B19)</f>
        <v>6.7956250000000002</v>
      </c>
      <c r="C20" s="19">
        <f t="shared" si="0"/>
        <v>6.7956249999999996E-2</v>
      </c>
      <c r="D20" s="10">
        <f t="shared" si="1"/>
        <v>5.493934550081514E-3</v>
      </c>
    </row>
    <row r="21" spans="1:4" x14ac:dyDescent="0.25">
      <c r="A21" s="16">
        <v>44197</v>
      </c>
      <c r="B21" s="13">
        <f t="shared" si="2"/>
        <v>6.8063281250000003</v>
      </c>
      <c r="C21" s="19">
        <f t="shared" si="0"/>
        <v>6.8063281249999996E-2</v>
      </c>
      <c r="D21" s="10">
        <f t="shared" si="1"/>
        <v>5.5023317674742778E-3</v>
      </c>
    </row>
    <row r="22" spans="1:4" x14ac:dyDescent="0.25">
      <c r="A22" s="16">
        <v>44228</v>
      </c>
      <c r="B22" s="13">
        <f t="shared" si="2"/>
        <v>6.8033691406249996</v>
      </c>
      <c r="C22" s="19">
        <f t="shared" si="0"/>
        <v>6.8033691406249999E-2</v>
      </c>
      <c r="D22" s="10">
        <f t="shared" si="1"/>
        <v>5.5000103511304577E-3</v>
      </c>
    </row>
    <row r="23" spans="1:4" x14ac:dyDescent="0.25">
      <c r="A23" s="16">
        <v>44256</v>
      </c>
      <c r="B23" s="13">
        <f t="shared" si="2"/>
        <v>6.7887902832031255</v>
      </c>
      <c r="C23" s="19">
        <f t="shared" si="0"/>
        <v>6.7887902832031249E-2</v>
      </c>
      <c r="D23" s="10">
        <f t="shared" si="1"/>
        <v>5.4885719178947578E-3</v>
      </c>
    </row>
    <row r="24" spans="1:4" x14ac:dyDescent="0.25">
      <c r="A24" s="16">
        <v>44287</v>
      </c>
      <c r="B24" s="13">
        <f t="shared" si="2"/>
        <v>6.7673890686035163</v>
      </c>
      <c r="C24" s="19">
        <f t="shared" si="0"/>
        <v>6.767389068603516E-2</v>
      </c>
      <c r="D24" s="10">
        <f t="shared" si="1"/>
        <v>5.4717781346864669E-3</v>
      </c>
    </row>
    <row r="25" spans="1:4" x14ac:dyDescent="0.25">
      <c r="A25" s="16">
        <v>44317</v>
      </c>
      <c r="B25" s="13">
        <f t="shared" si="2"/>
        <v>6.7395627021789553</v>
      </c>
      <c r="C25" s="19">
        <f t="shared" si="0"/>
        <v>6.7395627021789556E-2</v>
      </c>
      <c r="D25" s="10">
        <f t="shared" si="1"/>
        <v>5.4499378447214752E-3</v>
      </c>
    </row>
    <row r="26" spans="1:4" x14ac:dyDescent="0.25">
      <c r="A26" s="16">
        <v>44348</v>
      </c>
      <c r="B26" s="13">
        <f t="shared" si="2"/>
        <v>6.7007580399513254</v>
      </c>
      <c r="C26" s="19">
        <f t="shared" si="0"/>
        <v>6.7007580399513253E-2</v>
      </c>
      <c r="D26" s="10">
        <f t="shared" si="1"/>
        <v>5.4194722213471991E-3</v>
      </c>
    </row>
    <row r="27" spans="1:4" x14ac:dyDescent="0.25">
      <c r="A27" s="16">
        <v>44378</v>
      </c>
      <c r="B27" s="13">
        <f t="shared" si="2"/>
        <v>6.7721027949452406</v>
      </c>
      <c r="C27" s="19">
        <f t="shared" si="0"/>
        <v>6.7721027949452409E-2</v>
      </c>
      <c r="D27" s="10">
        <f t="shared" si="1"/>
        <v>5.4754773157952297E-3</v>
      </c>
    </row>
    <row r="28" spans="1:4" x14ac:dyDescent="0.25">
      <c r="A28" s="16">
        <v>44409</v>
      </c>
      <c r="B28" s="13">
        <f t="shared" si="2"/>
        <v>6.7717406443133958</v>
      </c>
      <c r="C28" s="19">
        <f t="shared" si="0"/>
        <v>6.7717406443133954E-2</v>
      </c>
      <c r="D28" s="10">
        <f t="shared" si="1"/>
        <v>5.4751931169143564E-3</v>
      </c>
    </row>
    <row r="29" spans="1:4" x14ac:dyDescent="0.25">
      <c r="A29" s="16">
        <v>44440</v>
      </c>
      <c r="B29" s="13">
        <f t="shared" si="2"/>
        <v>6.7687550998525703</v>
      </c>
      <c r="C29" s="19">
        <f t="shared" si="0"/>
        <v>6.7687550998525706E-2</v>
      </c>
      <c r="D29" s="10">
        <f t="shared" si="1"/>
        <v>5.4728501675629371E-3</v>
      </c>
    </row>
    <row r="30" spans="1:4" x14ac:dyDescent="0.25">
      <c r="A30" s="16">
        <v>44470</v>
      </c>
      <c r="B30" s="13">
        <f t="shared" si="2"/>
        <v>6.7640584717091414</v>
      </c>
      <c r="C30" s="19">
        <f t="shared" si="0"/>
        <v>6.7640584717091418E-2</v>
      </c>
      <c r="D30" s="10">
        <f t="shared" si="1"/>
        <v>5.4691642989044276E-3</v>
      </c>
    </row>
    <row r="31" spans="1:4" x14ac:dyDescent="0.25">
      <c r="A31" s="16">
        <v>44501</v>
      </c>
      <c r="B31" s="13">
        <f t="shared" si="2"/>
        <v>6.759144638094658</v>
      </c>
      <c r="C31" s="19">
        <f t="shared" si="0"/>
        <v>6.7591446380946579E-2</v>
      </c>
      <c r="D31" s="10">
        <f t="shared" si="1"/>
        <v>5.4653078103730213E-3</v>
      </c>
    </row>
    <row r="32" spans="1:4" x14ac:dyDescent="0.25">
      <c r="A32" s="16">
        <v>44531</v>
      </c>
      <c r="B32" s="13">
        <f t="shared" si="2"/>
        <v>6.7554389324561006</v>
      </c>
      <c r="C32" s="19">
        <f t="shared" si="0"/>
        <v>6.7554389324561009E-2</v>
      </c>
      <c r="D32" s="10">
        <f t="shared" si="1"/>
        <v>5.4623993805680282E-3</v>
      </c>
    </row>
    <row r="33" spans="1:4" x14ac:dyDescent="0.25">
      <c r="A33" s="16">
        <v>44562</v>
      </c>
      <c r="B33" s="13">
        <f t="shared" si="2"/>
        <v>6.7539451654376741</v>
      </c>
      <c r="C33" s="19">
        <f t="shared" si="0"/>
        <v>6.7539451654376748E-2</v>
      </c>
      <c r="D33" s="10">
        <f t="shared" si="1"/>
        <v>5.4612269686378223E-3</v>
      </c>
    </row>
    <row r="34" spans="1:4" x14ac:dyDescent="0.25">
      <c r="A34" s="16">
        <v>44593</v>
      </c>
      <c r="B34" s="13">
        <f t="shared" si="2"/>
        <v>6.7557429733450132</v>
      </c>
      <c r="C34" s="19">
        <f t="shared" si="0"/>
        <v>6.7557429733450136E-2</v>
      </c>
      <c r="D34" s="10">
        <f t="shared" si="1"/>
        <v>5.4626380110973649E-3</v>
      </c>
    </row>
    <row r="35" spans="1:4" x14ac:dyDescent="0.25">
      <c r="A35" s="16">
        <v>44621</v>
      </c>
      <c r="B35" s="13">
        <f t="shared" si="2"/>
        <v>6.7626160900192245</v>
      </c>
      <c r="C35" s="19">
        <f t="shared" si="0"/>
        <v>6.7626160900192245E-2</v>
      </c>
      <c r="D35" s="10">
        <f t="shared" si="1"/>
        <v>5.4680323017748389E-3</v>
      </c>
    </row>
    <row r="36" spans="1:4" x14ac:dyDescent="0.25">
      <c r="A36" s="16">
        <v>44652</v>
      </c>
      <c r="B36" s="13">
        <f t="shared" si="2"/>
        <v>6.7614302519034721</v>
      </c>
      <c r="C36" s="19">
        <f t="shared" si="0"/>
        <v>6.7614302519034719E-2</v>
      </c>
      <c r="D36" s="10">
        <f t="shared" si="1"/>
        <v>5.4671016323839527E-3</v>
      </c>
    </row>
    <row r="37" spans="1:4" x14ac:dyDescent="0.25">
      <c r="A37" s="16">
        <v>44682</v>
      </c>
      <c r="B37" s="13">
        <f t="shared" si="2"/>
        <v>6.7601414528522312</v>
      </c>
      <c r="C37" s="19">
        <f t="shared" si="0"/>
        <v>6.7601414528522308E-2</v>
      </c>
      <c r="D37" s="10">
        <f t="shared" si="1"/>
        <v>5.4660901464524958E-3</v>
      </c>
    </row>
    <row r="38" spans="1:4" x14ac:dyDescent="0.25">
      <c r="A38" s="16">
        <v>44713</v>
      </c>
      <c r="B38" s="13">
        <f t="shared" si="2"/>
        <v>6.759064746977189</v>
      </c>
      <c r="C38" s="19">
        <f t="shared" si="0"/>
        <v>6.7590647469771892E-2</v>
      </c>
      <c r="D38" s="10">
        <f t="shared" si="1"/>
        <v>5.4652451086605325E-3</v>
      </c>
    </row>
    <row r="39" spans="1:4" x14ac:dyDescent="0.25">
      <c r="A39" s="16">
        <v>44743</v>
      </c>
      <c r="B39" s="13">
        <f t="shared" si="2"/>
        <v>6.7584405313856948</v>
      </c>
      <c r="C39" s="19">
        <f t="shared" si="0"/>
        <v>6.7584405313856954E-2</v>
      </c>
      <c r="D39" s="10">
        <f t="shared" si="1"/>
        <v>5.4647551980642195E-3</v>
      </c>
    </row>
    <row r="40" spans="1:4" x14ac:dyDescent="0.25">
      <c r="A40" s="16">
        <v>44774</v>
      </c>
      <c r="B40" s="13">
        <f t="shared" si="2"/>
        <v>6.7583525180470749</v>
      </c>
      <c r="C40" s="19">
        <f t="shared" si="0"/>
        <v>6.7583525180470755E-2</v>
      </c>
      <c r="D40" s="10">
        <f t="shared" si="1"/>
        <v>5.4646861212908071E-3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RAROC</vt:lpstr>
      <vt:lpstr>Botão</vt:lpstr>
      <vt:lpstr>Relógio</vt:lpstr>
      <vt:lpstr>Empirico</vt:lpstr>
      <vt:lpstr>SELIC</vt:lpstr>
      <vt:lpstr>RAROC!Area_de_impressao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Franco Alves</dc:creator>
  <cp:lastModifiedBy>Patrick Franco Alves</cp:lastModifiedBy>
  <dcterms:created xsi:type="dcterms:W3CDTF">2019-06-25T15:21:47Z</dcterms:created>
  <dcterms:modified xsi:type="dcterms:W3CDTF">2019-06-26T18:04:10Z</dcterms:modified>
</cp:coreProperties>
</file>