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3ADCC84-AA80-4D41-9F51-AABD2F421B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2" i="1" l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G45" i="1"/>
  <c r="G44" i="1"/>
  <c r="G43" i="1"/>
  <c r="G42" i="1"/>
  <c r="G31" i="1"/>
  <c r="G30" i="1"/>
  <c r="G29" i="1"/>
  <c r="G28" i="1"/>
  <c r="G27" i="1"/>
  <c r="G26" i="1"/>
  <c r="G25" i="1"/>
  <c r="G24" i="1"/>
  <c r="I23" i="1"/>
  <c r="H23" i="1"/>
  <c r="F23" i="1"/>
  <c r="I22" i="1"/>
  <c r="H22" i="1"/>
  <c r="F22" i="1"/>
  <c r="F21" i="1"/>
  <c r="F20" i="1"/>
  <c r="I19" i="1"/>
  <c r="H19" i="1"/>
  <c r="F19" i="1"/>
  <c r="I18" i="1"/>
  <c r="H18" i="1"/>
  <c r="F18" i="1"/>
  <c r="I17" i="1"/>
  <c r="H17" i="1"/>
  <c r="F17" i="1"/>
  <c r="I16" i="1"/>
  <c r="H16" i="1"/>
  <c r="F16" i="1"/>
  <c r="I15" i="1"/>
  <c r="H15" i="1"/>
  <c r="F15" i="1"/>
  <c r="I14" i="1"/>
  <c r="H14" i="1"/>
  <c r="F14" i="1"/>
  <c r="I13" i="1"/>
  <c r="H13" i="1"/>
  <c r="F13" i="1"/>
  <c r="I12" i="1"/>
  <c r="G12" i="1"/>
  <c r="F12" i="1"/>
  <c r="I11" i="1"/>
  <c r="G11" i="1"/>
  <c r="F11" i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I2" i="1"/>
  <c r="F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<sst xmlns="http://schemas.openxmlformats.org/spreadsheetml/2006/main" count="252" uniqueCount="28">
  <si>
    <t>2020 EU GDP %</t>
  </si>
  <si>
    <t>2020 GDP Ranking</t>
  </si>
  <si>
    <t>Nation</t>
  </si>
  <si>
    <t>Bank</t>
  </si>
  <si>
    <t>Year</t>
  </si>
  <si>
    <t>NPLR</t>
  </si>
  <si>
    <t>CAR</t>
  </si>
  <si>
    <t>ROE</t>
  </si>
  <si>
    <t>ROA</t>
  </si>
  <si>
    <t>Share Price EUR</t>
  </si>
  <si>
    <t>France</t>
  </si>
  <si>
    <t>BNP Paribas</t>
  </si>
  <si>
    <t>Credit Agricole</t>
  </si>
  <si>
    <t>Spain</t>
  </si>
  <si>
    <t>Banco Santander, S.A.</t>
  </si>
  <si>
    <t>Banco Bilbao Vizcaya Argentaria, S.A.</t>
  </si>
  <si>
    <t>Poland</t>
  </si>
  <si>
    <t xml:space="preserve"> Powszechna Kasa Oszczędności Bank Polski S.A.</t>
  </si>
  <si>
    <t>Sweden</t>
  </si>
  <si>
    <t>Skandinaviska Enskilda Banken AB</t>
  </si>
  <si>
    <t>Belgium</t>
  </si>
  <si>
    <t xml:space="preserve">KBC Group N.V. </t>
  </si>
  <si>
    <t>Austria</t>
  </si>
  <si>
    <t>Erste Group Bank AG</t>
  </si>
  <si>
    <t>Ireland</t>
  </si>
  <si>
    <t>AIB</t>
  </si>
  <si>
    <t>Bank of Ireland</t>
  </si>
  <si>
    <t>PTSB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</si>
</sst>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Rati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Ratios"/>
    </sheet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J2" sqref="J2"/>
    </sheetView>
  </sheetViews>
  <sheetFormatPr defaultRowHeight="15"/>
  <cols>
    <col min="10" max="10" width="15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17.2</v>
      </c>
      <c r="B2">
        <v>2</v>
      </c>
      <c r="C2" s="2" t="s">
        <v>10</v>
      </c>
      <c r="D2" s="2" t="s">
        <v>11</v>
      </c>
      <c r="E2">
        <v>2021</v>
      </c>
      <c r="F2">
        <f>20028/855779</f>
        <v>2.3403238452918335E-2</v>
      </c>
      <c r="G2">
        <v>0.1643</v>
      </c>
      <c r="H2">
        <v>0.1</v>
      </c>
      <c r="I2">
        <f>13637/2634444</f>
        <v>5.1764243233107252E-3</v>
      </c>
      <c r="J2">
        <v>60.77</v>
      </c>
    </row>
    <row r="3" spans="1:10">
      <c r="C3" s="2" t="s">
        <v>10</v>
      </c>
      <c r="D3" s="2" t="s">
        <v>11</v>
      </c>
      <c r="E3">
        <v>2020</v>
      </c>
      <c r="F3">
        <f>21546/850061</f>
        <v>2.5346416316005559E-2</v>
      </c>
      <c r="G3">
        <v>0.16370000000000001</v>
      </c>
      <c r="H3">
        <v>7.5999999999999998E-2</v>
      </c>
      <c r="I3">
        <f>11394/2488491</f>
        <v>4.5786784039001946E-3</v>
      </c>
      <c r="J3">
        <v>43.104999999999997</v>
      </c>
    </row>
    <row r="4" spans="1:10">
      <c r="C4" s="2" t="s">
        <v>10</v>
      </c>
      <c r="D4" s="2" t="s">
        <v>11</v>
      </c>
      <c r="E4">
        <v>2019</v>
      </c>
      <c r="F4">
        <f>21277/848746</f>
        <v>2.506874848305618E-2</v>
      </c>
      <c r="G4">
        <v>0.155</v>
      </c>
      <c r="H4">
        <v>8.5000000000000006E-2</v>
      </c>
      <c r="I4">
        <f>9822/2164713</f>
        <v>4.5373220376096045E-3</v>
      </c>
      <c r="J4">
        <v>52.83</v>
      </c>
    </row>
    <row r="5" spans="1:10">
      <c r="C5" s="2" t="s">
        <v>10</v>
      </c>
      <c r="D5" s="2" t="s">
        <v>11</v>
      </c>
      <c r="E5">
        <v>2018</v>
      </c>
      <c r="F5">
        <f>(24081+151)/(789952+19707)</f>
        <v>2.9928648974444798E-2</v>
      </c>
      <c r="G5">
        <v>0.15</v>
      </c>
      <c r="H5">
        <v>8.2000000000000003E-2</v>
      </c>
      <c r="I5">
        <f>10208/2040836</f>
        <v>5.0018717819560223E-3</v>
      </c>
      <c r="J5">
        <v>39.475000000000001</v>
      </c>
    </row>
    <row r="6" spans="1:10">
      <c r="C6" s="2" t="s">
        <v>10</v>
      </c>
      <c r="D6" s="2" t="s">
        <v>11</v>
      </c>
      <c r="E6">
        <v>2017</v>
      </c>
      <c r="F6">
        <f>25093/774539</f>
        <v>3.2397335705497077E-2</v>
      </c>
      <c r="G6">
        <v>0.14799999999999999</v>
      </c>
      <c r="H6">
        <v>8.8999999999999996E-2</v>
      </c>
      <c r="I6">
        <f>11310/1952166</f>
        <v>5.7935646866096426E-3</v>
      </c>
      <c r="J6">
        <v>62.25</v>
      </c>
    </row>
    <row r="7" spans="1:10">
      <c r="C7" s="2" t="s">
        <v>10</v>
      </c>
      <c r="D7" s="2" t="s">
        <v>11</v>
      </c>
      <c r="E7">
        <v>2016</v>
      </c>
      <c r="F7">
        <f>(188+27045)/(47599+739278)</f>
        <v>3.460896683979834E-2</v>
      </c>
      <c r="G7">
        <v>0.14499999999999999</v>
      </c>
      <c r="H7">
        <v>9.2999999999999999E-2</v>
      </c>
      <c r="I7">
        <f>11210/2076959</f>
        <v>5.3973140538643273E-3</v>
      </c>
      <c r="J7">
        <v>60.55</v>
      </c>
    </row>
    <row r="8" spans="1:10">
      <c r="C8" s="2" t="s">
        <v>10</v>
      </c>
      <c r="D8" s="2" t="s">
        <v>11</v>
      </c>
      <c r="E8">
        <v>2015</v>
      </c>
      <c r="F8">
        <f>(26194+241)/(43688+708691)</f>
        <v>3.513521775594481E-2</v>
      </c>
      <c r="G8">
        <v>0.13600000000000001</v>
      </c>
      <c r="H8">
        <v>8.3000000000000004E-2</v>
      </c>
      <c r="I8">
        <f>10379/1994193</f>
        <v>5.2046115897508415E-3</v>
      </c>
      <c r="J8">
        <v>52.23</v>
      </c>
    </row>
    <row r="9" spans="1:10">
      <c r="C9" s="2" t="s">
        <v>10</v>
      </c>
      <c r="D9" s="2" t="s">
        <v>11</v>
      </c>
      <c r="E9">
        <v>2014</v>
      </c>
      <c r="F9">
        <f>(26418+257)/(43605+683821)</f>
        <v>3.667039671389255E-2</v>
      </c>
      <c r="G9">
        <v>0.126</v>
      </c>
      <c r="H9">
        <v>7.6999999999999999E-2</v>
      </c>
      <c r="I9">
        <f>3149/1897856</f>
        <v>1.6592407432386863E-3</v>
      </c>
      <c r="J9">
        <v>49.26</v>
      </c>
    </row>
    <row r="10" spans="1:10">
      <c r="C10" s="2" t="s">
        <v>10</v>
      </c>
      <c r="D10" s="2" t="s">
        <v>11</v>
      </c>
      <c r="E10">
        <v>2013</v>
      </c>
      <c r="F10">
        <f>(25336+392)/(57937+637791)</f>
        <v>3.6979969183359017E-2</v>
      </c>
      <c r="G10">
        <v>0.125</v>
      </c>
      <c r="H10">
        <v>6.0999999999999999E-2</v>
      </c>
      <c r="I10">
        <f>8239/1656056</f>
        <v>4.9750733066997732E-3</v>
      </c>
      <c r="J10">
        <v>56.65</v>
      </c>
    </row>
    <row r="11" spans="1:10">
      <c r="C11" s="2" t="s">
        <v>10</v>
      </c>
      <c r="D11" s="2" t="s">
        <v>11</v>
      </c>
      <c r="E11">
        <v>2012</v>
      </c>
      <c r="F11">
        <f>(537+26525)/(40943+657045)</f>
        <v>3.87714401966796E-2</v>
      </c>
      <c r="G11">
        <f>85857/551839</f>
        <v>0.15558342197633729</v>
      </c>
      <c r="H11">
        <v>8.8999999999999996E-2</v>
      </c>
      <c r="I11">
        <f>10372/1907290</f>
        <v>5.4380823052603434E-3</v>
      </c>
      <c r="J11">
        <v>42.59</v>
      </c>
    </row>
    <row r="12" spans="1:10">
      <c r="C12" s="2" t="s">
        <v>10</v>
      </c>
      <c r="D12" s="2" t="s">
        <v>11</v>
      </c>
      <c r="E12">
        <v>2011</v>
      </c>
      <c r="F12">
        <f>(707+27958)/(50076+693792)</f>
        <v>3.8535062672409623E-2</v>
      </c>
      <c r="G12">
        <f>58962/613567</f>
        <v>9.6097084751950473E-2</v>
      </c>
      <c r="H12">
        <v>8.7999999999999995E-2</v>
      </c>
      <c r="I12">
        <f>9651/1965283</f>
        <v>4.9107431347037555E-3</v>
      </c>
      <c r="J12">
        <v>30.35</v>
      </c>
    </row>
    <row r="13" spans="1:10">
      <c r="C13" s="2" t="s">
        <v>10</v>
      </c>
      <c r="D13" s="2" t="s">
        <v>12</v>
      </c>
      <c r="E13">
        <v>2021</v>
      </c>
      <c r="F13">
        <f>(10801+12342)/568916</f>
        <v>4.0679116073374627E-2</v>
      </c>
      <c r="G13">
        <v>0.17699999999999999</v>
      </c>
      <c r="H13">
        <f>6849/76916</f>
        <v>8.9045192157678504E-2</v>
      </c>
      <c r="I13">
        <f>8080/2073955</f>
        <v>3.8959379542950548E-3</v>
      </c>
      <c r="J13">
        <v>12.55</v>
      </c>
    </row>
    <row r="14" spans="1:10">
      <c r="C14" s="2" t="s">
        <v>10</v>
      </c>
      <c r="D14" s="2" t="s">
        <v>12</v>
      </c>
      <c r="E14">
        <v>2020</v>
      </c>
      <c r="F14">
        <f>(7197+13814)/508688</f>
        <v>4.1304296543264243E-2</v>
      </c>
      <c r="G14">
        <v>0.185</v>
      </c>
      <c r="H14">
        <f>3238/73495</f>
        <v>4.4057418872032114E-2</v>
      </c>
      <c r="I14">
        <f>4588/1961062</f>
        <v>2.3395486731169132E-3</v>
      </c>
      <c r="J14">
        <v>10.32</v>
      </c>
    </row>
    <row r="15" spans="1:10">
      <c r="C15" s="2" t="s">
        <v>10</v>
      </c>
      <c r="D15" s="2" t="s">
        <v>12</v>
      </c>
      <c r="E15">
        <v>2019</v>
      </c>
      <c r="F15">
        <f>(7649+13638)/508856</f>
        <v>4.1833052965868534E-2</v>
      </c>
      <c r="G15">
        <v>0.16900000000000001</v>
      </c>
      <c r="H15">
        <f>5458/70843</f>
        <v>7.7043603461174712E-2</v>
      </c>
      <c r="I15">
        <f>5952/1767643</f>
        <v>3.3671957516308438E-3</v>
      </c>
      <c r="J15">
        <v>12.93</v>
      </c>
    </row>
    <row r="16" spans="1:10">
      <c r="C16" s="2" t="s">
        <v>10</v>
      </c>
      <c r="D16" s="2" t="s">
        <v>12</v>
      </c>
      <c r="E16">
        <v>2018</v>
      </c>
      <c r="F16">
        <f>(7389+13427)/479313</f>
        <v>4.3428824171261787E-2</v>
      </c>
      <c r="G16">
        <v>0.17199999999999999</v>
      </c>
      <c r="H16">
        <f>4400/65516</f>
        <v>6.7159167226326394E-2</v>
      </c>
      <c r="I16">
        <f>6496/1624394</f>
        <v>3.9990297920332136E-3</v>
      </c>
      <c r="J16">
        <v>9.43</v>
      </c>
    </row>
    <row r="17" spans="1:10">
      <c r="C17" s="2" t="s">
        <v>10</v>
      </c>
      <c r="D17" s="2" t="s">
        <v>12</v>
      </c>
      <c r="E17">
        <v>2017</v>
      </c>
      <c r="F17">
        <f>(5485+15697)/465040</f>
        <v>4.5548769998279719E-2</v>
      </c>
      <c r="G17">
        <v>0.17399999999999999</v>
      </c>
      <c r="H17">
        <f>3649/64706</f>
        <v>5.6393533829938489E-2</v>
      </c>
      <c r="I17">
        <f>5929/1550283</f>
        <v>3.8244630173974686E-3</v>
      </c>
      <c r="J17">
        <v>13.8</v>
      </c>
    </row>
    <row r="18" spans="1:10">
      <c r="C18" s="2" t="s">
        <v>10</v>
      </c>
      <c r="D18" s="2" t="s">
        <v>12</v>
      </c>
      <c r="E18">
        <v>2016</v>
      </c>
      <c r="F18">
        <f>(2445+8795)/455993</f>
        <v>2.464950119848331E-2</v>
      </c>
      <c r="G18">
        <v>0.186</v>
      </c>
      <c r="H18">
        <f>3955/63937</f>
        <v>6.1857766238641164E-2</v>
      </c>
      <c r="I18">
        <f>3347/1524232</f>
        <v>2.1958599478294643E-3</v>
      </c>
      <c r="J18">
        <v>11.78</v>
      </c>
    </row>
    <row r="19" spans="1:10">
      <c r="C19" s="2" t="s">
        <v>10</v>
      </c>
      <c r="D19" s="2" t="s">
        <v>12</v>
      </c>
      <c r="E19">
        <v>2015</v>
      </c>
      <c r="F19">
        <f>(2607+8602)/434531</f>
        <v>2.5795627929883023E-2</v>
      </c>
      <c r="G19">
        <v>0.17899999999999999</v>
      </c>
      <c r="H19">
        <f>3540/59435</f>
        <v>5.9560864810296966E-2</v>
      </c>
      <c r="I19">
        <f>3811/1529294</f>
        <v>2.4919995762750654E-3</v>
      </c>
      <c r="J19">
        <v>10.88</v>
      </c>
    </row>
    <row r="20" spans="1:10">
      <c r="C20" s="2" t="s">
        <v>10</v>
      </c>
      <c r="D20" s="2" t="s">
        <v>12</v>
      </c>
      <c r="E20">
        <v>2014</v>
      </c>
      <c r="F20">
        <f>(8802+2653)/428719</f>
        <v>2.6719133045188106E-2</v>
      </c>
      <c r="G20">
        <v>1.61E-2</v>
      </c>
      <c r="H20">
        <v>5.3999999999999999E-2</v>
      </c>
      <c r="I20">
        <v>1.5E-3</v>
      </c>
      <c r="J20">
        <v>10.76</v>
      </c>
    </row>
    <row r="21" spans="1:10">
      <c r="C21" s="2" t="s">
        <v>10</v>
      </c>
      <c r="D21" s="2" t="s">
        <v>12</v>
      </c>
      <c r="E21">
        <v>2013</v>
      </c>
      <c r="F21">
        <f>(9011+2653)/411233</f>
        <v>2.836348250262017E-2</v>
      </c>
      <c r="G21">
        <v>0.1613</v>
      </c>
      <c r="H21">
        <v>6.0999999999999999E-2</v>
      </c>
      <c r="I21">
        <v>1.6999999999999999E-3</v>
      </c>
      <c r="J21">
        <v>9.31</v>
      </c>
    </row>
    <row r="22" spans="1:10">
      <c r="C22" s="2" t="s">
        <v>10</v>
      </c>
      <c r="D22" s="2" t="s">
        <v>12</v>
      </c>
      <c r="E22">
        <v>2012</v>
      </c>
      <c r="F22">
        <f>(9950+2863)/460902</f>
        <v>2.779983597380788E-2</v>
      </c>
      <c r="G22">
        <v>0.13200000000000001</v>
      </c>
      <c r="H22">
        <f>-6513/45232</f>
        <v>-0.14399097983728334</v>
      </c>
      <c r="I22">
        <f>-2162/1842361</f>
        <v>-1.1734942283298442E-3</v>
      </c>
      <c r="J22">
        <v>6.08</v>
      </c>
    </row>
    <row r="23" spans="1:10">
      <c r="C23" s="2" t="s">
        <v>10</v>
      </c>
      <c r="D23" s="2" t="s">
        <v>12</v>
      </c>
      <c r="E23">
        <v>2011</v>
      </c>
      <c r="F23">
        <f>(13464+3541)/520995</f>
        <v>3.2639468708912753E-2</v>
      </c>
      <c r="G23">
        <v>0.13400000000000001</v>
      </c>
      <c r="H23">
        <f>-1198/49292</f>
        <v>-2.4304146717520084E-2</v>
      </c>
      <c r="I23">
        <f>1392/1723608</f>
        <v>8.0760822646448608E-4</v>
      </c>
      <c r="J23">
        <v>4.3600000000000003</v>
      </c>
    </row>
    <row r="24" spans="1:10">
      <c r="A24">
        <v>8.4</v>
      </c>
      <c r="B24">
        <v>4</v>
      </c>
      <c r="C24" s="2" t="s">
        <v>13</v>
      </c>
      <c r="D24" s="2" t="s">
        <v>14</v>
      </c>
      <c r="E24">
        <v>2021</v>
      </c>
      <c r="F24">
        <v>3.1600000000000003E-2</v>
      </c>
      <c r="G24">
        <f>97317/578930</f>
        <v>0.16809804294128824</v>
      </c>
      <c r="H24">
        <v>9.6600000000000005E-2</v>
      </c>
      <c r="I24">
        <v>6.1999999999999998E-3</v>
      </c>
      <c r="J24">
        <v>3.2265999999999999</v>
      </c>
    </row>
    <row r="25" spans="1:10">
      <c r="C25" s="2" t="s">
        <v>13</v>
      </c>
      <c r="D25" s="2" t="s">
        <v>14</v>
      </c>
      <c r="E25">
        <v>2020</v>
      </c>
      <c r="F25">
        <v>3.2099999999999997E-2</v>
      </c>
      <c r="G25">
        <f>91015/562580</f>
        <v>0.16178143552916918</v>
      </c>
      <c r="H25">
        <v>-9.8000000000000004E-2</v>
      </c>
      <c r="I25">
        <v>-5.0000000000000001E-3</v>
      </c>
      <c r="J25">
        <v>2.948</v>
      </c>
    </row>
    <row r="26" spans="1:10">
      <c r="C26" s="2" t="s">
        <v>13</v>
      </c>
      <c r="D26" s="2" t="s">
        <v>14</v>
      </c>
      <c r="E26">
        <v>2019</v>
      </c>
      <c r="F26">
        <v>3.32E-2</v>
      </c>
      <c r="G26">
        <f>91067/605244</f>
        <v>0.15046328422917038</v>
      </c>
      <c r="H26">
        <v>6.6199999999999995E-2</v>
      </c>
      <c r="I26">
        <v>5.3999999999999999E-2</v>
      </c>
      <c r="J26">
        <v>4.0015000000000001</v>
      </c>
    </row>
    <row r="27" spans="1:10">
      <c r="C27" s="2" t="s">
        <v>13</v>
      </c>
      <c r="D27" s="2" t="s">
        <v>14</v>
      </c>
      <c r="E27">
        <v>2018</v>
      </c>
      <c r="F27">
        <v>3.73E-2</v>
      </c>
      <c r="G27">
        <f>88725/592319</f>
        <v>0.14979259486864341</v>
      </c>
      <c r="H27">
        <v>8.2100000000000006E-2</v>
      </c>
      <c r="I27">
        <v>6.4000000000000001E-2</v>
      </c>
      <c r="J27">
        <v>4.0963000000000003</v>
      </c>
    </row>
    <row r="28" spans="1:10">
      <c r="C28" s="2" t="s">
        <v>13</v>
      </c>
      <c r="D28" s="2" t="s">
        <v>14</v>
      </c>
      <c r="E28">
        <v>2017</v>
      </c>
      <c r="F28">
        <v>4.0800000000000003E-2</v>
      </c>
      <c r="G28">
        <f>87588/605064</f>
        <v>0.14475824045059696</v>
      </c>
      <c r="H28">
        <v>7.1400000000000005E-2</v>
      </c>
      <c r="I28">
        <v>5.7999999999999996E-3</v>
      </c>
      <c r="J28">
        <v>5.7298</v>
      </c>
    </row>
    <row r="29" spans="1:10">
      <c r="C29" s="2" t="s">
        <v>13</v>
      </c>
      <c r="D29" s="2" t="s">
        <v>14</v>
      </c>
      <c r="E29">
        <v>2016</v>
      </c>
      <c r="F29">
        <v>3.9300000000000002E-2</v>
      </c>
      <c r="G29">
        <f>81584/588088</f>
        <v>0.13872753737535878</v>
      </c>
      <c r="H29">
        <v>6.9900000000000004E-2</v>
      </c>
      <c r="I29">
        <v>5.5999999999999999E-3</v>
      </c>
      <c r="J29">
        <v>4.3691000000000004</v>
      </c>
    </row>
    <row r="30" spans="1:10">
      <c r="C30" s="2" t="s">
        <v>13</v>
      </c>
      <c r="D30" s="2" t="s">
        <v>14</v>
      </c>
      <c r="E30">
        <v>2015</v>
      </c>
      <c r="F30">
        <v>4.36E-2</v>
      </c>
      <c r="G30">
        <f>68571/583893</f>
        <v>0.11743761271328822</v>
      </c>
      <c r="H30">
        <v>6.5699999999999995E-2</v>
      </c>
      <c r="I30">
        <v>5.4000000000000003E-3</v>
      </c>
      <c r="J30">
        <v>3.9062999999999999</v>
      </c>
    </row>
    <row r="31" spans="1:10">
      <c r="C31" s="2" t="s">
        <v>13</v>
      </c>
      <c r="D31" s="2" t="s">
        <v>14</v>
      </c>
      <c r="E31">
        <v>2014</v>
      </c>
      <c r="F31">
        <v>5.1900000000000002E-2</v>
      </c>
      <c r="G31">
        <f>77854/585243</f>
        <v>0.13302850269033548</v>
      </c>
      <c r="H31">
        <v>7.0499999999999993E-2</v>
      </c>
      <c r="I31">
        <v>5.7999999999999996E-3</v>
      </c>
      <c r="J31">
        <v>6.2630999999999997</v>
      </c>
    </row>
    <row r="32" spans="1:10">
      <c r="C32" s="2" t="s">
        <v>13</v>
      </c>
      <c r="D32" s="2" t="s">
        <v>14</v>
      </c>
      <c r="E32">
        <v>2013</v>
      </c>
      <c r="F32">
        <v>5.6410000000000002E-2</v>
      </c>
      <c r="G32">
        <v>0.1171</v>
      </c>
      <c r="H32">
        <v>5.8000000000000003E-2</v>
      </c>
      <c r="I32">
        <v>4.4000000000000003E-3</v>
      </c>
      <c r="J32">
        <v>6.2636000000000003</v>
      </c>
    </row>
    <row r="33" spans="1:10">
      <c r="C33" s="2" t="s">
        <v>13</v>
      </c>
      <c r="D33" s="2" t="s">
        <v>14</v>
      </c>
      <c r="E33">
        <v>2012</v>
      </c>
      <c r="F33" s="3">
        <v>4.5499999999999999E-2</v>
      </c>
      <c r="G33">
        <v>0.1033</v>
      </c>
      <c r="H33">
        <v>2.9100000000000001E-2</v>
      </c>
      <c r="I33">
        <v>2.3999999999999998E-3</v>
      </c>
      <c r="J33">
        <v>5.0688000000000004</v>
      </c>
    </row>
    <row r="34" spans="1:10">
      <c r="C34" s="2" t="s">
        <v>13</v>
      </c>
      <c r="D34" s="2" t="s">
        <v>14</v>
      </c>
      <c r="E34">
        <v>2011</v>
      </c>
      <c r="F34">
        <v>3.8899999999999997E-2</v>
      </c>
      <c r="G34">
        <v>0.1002</v>
      </c>
      <c r="H34">
        <v>7.1199999999999999E-2</v>
      </c>
      <c r="I34">
        <v>5.0000000000000001E-3</v>
      </c>
      <c r="J34">
        <v>4.016</v>
      </c>
    </row>
    <row r="35" spans="1:10">
      <c r="C35" s="2" t="s">
        <v>13</v>
      </c>
      <c r="D35" s="2" t="s">
        <v>15</v>
      </c>
      <c r="E35">
        <v>2021</v>
      </c>
      <c r="F35">
        <v>4.1000000000000002E-2</v>
      </c>
      <c r="G35">
        <v>0.1724</v>
      </c>
      <c r="H35">
        <v>0.114</v>
      </c>
      <c r="I35">
        <v>9.4000000000000004E-3</v>
      </c>
      <c r="J35">
        <v>5.25</v>
      </c>
    </row>
    <row r="36" spans="1:10">
      <c r="C36" s="2" t="s">
        <v>13</v>
      </c>
      <c r="D36" s="2" t="s">
        <v>15</v>
      </c>
      <c r="E36">
        <v>2020</v>
      </c>
      <c r="F36">
        <v>4.2000000000000003E-2</v>
      </c>
      <c r="G36">
        <v>0.1646</v>
      </c>
      <c r="H36">
        <v>6.0999999999999999E-2</v>
      </c>
      <c r="I36">
        <v>5.4000000000000003E-3</v>
      </c>
      <c r="J36">
        <v>4.04</v>
      </c>
    </row>
    <row r="37" spans="1:10">
      <c r="C37" s="2" t="s">
        <v>13</v>
      </c>
      <c r="D37" s="2" t="s">
        <v>15</v>
      </c>
      <c r="E37">
        <v>2019</v>
      </c>
      <c r="F37">
        <v>4.2000000000000003E-2</v>
      </c>
      <c r="G37">
        <v>0.15920000000000001</v>
      </c>
      <c r="H37">
        <v>8.6999999999999994E-2</v>
      </c>
      <c r="I37">
        <v>8.3999999999999995E-3</v>
      </c>
      <c r="J37">
        <v>4.9800000000000004</v>
      </c>
    </row>
    <row r="38" spans="1:10">
      <c r="C38" s="2" t="s">
        <v>13</v>
      </c>
      <c r="D38" s="2" t="s">
        <v>15</v>
      </c>
      <c r="E38">
        <v>2018</v>
      </c>
      <c r="F38">
        <v>3.9E-2</v>
      </c>
      <c r="G38">
        <v>0.15709999999999999</v>
      </c>
      <c r="H38">
        <v>0.10199999999999999</v>
      </c>
      <c r="I38">
        <v>8.0999999999999996E-3</v>
      </c>
      <c r="J38">
        <v>4.6399999999999997</v>
      </c>
    </row>
    <row r="39" spans="1:10">
      <c r="C39" s="2" t="s">
        <v>13</v>
      </c>
      <c r="D39" s="2" t="s">
        <v>15</v>
      </c>
      <c r="E39">
        <v>2017</v>
      </c>
      <c r="F39">
        <v>4.5999999999999999E-2</v>
      </c>
      <c r="G39">
        <v>0.15709999999999999</v>
      </c>
      <c r="H39">
        <v>9.7000000000000003E-2</v>
      </c>
      <c r="I39">
        <v>8.3999999999999995E-3</v>
      </c>
      <c r="J39">
        <v>7.11</v>
      </c>
    </row>
    <row r="40" spans="1:10">
      <c r="C40" s="2" t="s">
        <v>13</v>
      </c>
      <c r="D40" s="2" t="s">
        <v>15</v>
      </c>
      <c r="E40">
        <v>2016</v>
      </c>
      <c r="F40">
        <v>4.9000000000000002E-2</v>
      </c>
      <c r="G40">
        <v>0.151</v>
      </c>
      <c r="H40">
        <v>6.7000000000000004E-2</v>
      </c>
      <c r="I40">
        <v>6.4000000000000003E-3</v>
      </c>
      <c r="J40">
        <v>6.41</v>
      </c>
    </row>
    <row r="41" spans="1:10">
      <c r="C41" s="2" t="s">
        <v>13</v>
      </c>
      <c r="D41" s="2" t="s">
        <v>15</v>
      </c>
      <c r="E41">
        <v>2015</v>
      </c>
      <c r="F41">
        <v>5.3999999999999999E-2</v>
      </c>
      <c r="G41">
        <v>0.15</v>
      </c>
      <c r="H41">
        <v>5.1999999999999998E-2</v>
      </c>
      <c r="I41">
        <v>4.5999999999999999E-2</v>
      </c>
      <c r="J41">
        <v>6.74</v>
      </c>
    </row>
    <row r="42" spans="1:10">
      <c r="C42" s="2" t="s">
        <v>13</v>
      </c>
      <c r="D42" s="2" t="s">
        <v>15</v>
      </c>
      <c r="E42">
        <v>2014</v>
      </c>
      <c r="F42">
        <v>5.8000000000000003E-2</v>
      </c>
      <c r="G42">
        <f>(41832 +10986)/350803</f>
        <v>0.15056313657522882</v>
      </c>
      <c r="H42">
        <v>5.6000000000000001E-2</v>
      </c>
      <c r="I42">
        <v>0.05</v>
      </c>
      <c r="J42">
        <v>7.85</v>
      </c>
    </row>
    <row r="43" spans="1:10">
      <c r="C43" s="2" t="s">
        <v>13</v>
      </c>
      <c r="D43" s="2" t="s">
        <v>15</v>
      </c>
      <c r="E43">
        <v>2013</v>
      </c>
      <c r="F43">
        <v>6.8000000000000005E-2</v>
      </c>
      <c r="G43">
        <f>(39611+8695)/323605</f>
        <v>0.14927457857573276</v>
      </c>
      <c r="H43">
        <v>0.05</v>
      </c>
      <c r="I43">
        <v>4.7999999999999996E-3</v>
      </c>
      <c r="J43">
        <v>8.9499999999999993</v>
      </c>
    </row>
    <row r="44" spans="1:10">
      <c r="C44" s="2" t="s">
        <v>13</v>
      </c>
      <c r="D44" s="2" t="s">
        <v>15</v>
      </c>
      <c r="E44">
        <v>2012</v>
      </c>
      <c r="F44">
        <v>5.0999999999999997E-2</v>
      </c>
      <c r="G44">
        <f>(35451+7836)/329033</f>
        <v>0.13155823276084769</v>
      </c>
      <c r="H44">
        <v>0.04</v>
      </c>
      <c r="I44">
        <v>3.7000000000000002E-3</v>
      </c>
      <c r="J44">
        <v>6.96</v>
      </c>
    </row>
    <row r="45" spans="1:10">
      <c r="C45" s="2" t="s">
        <v>13</v>
      </c>
      <c r="D45" s="2" t="s">
        <v>15</v>
      </c>
      <c r="E45">
        <v>2011</v>
      </c>
      <c r="F45">
        <v>0.04</v>
      </c>
      <c r="G45">
        <f>(34161+8609)/330771</f>
        <v>0.12930395953696061</v>
      </c>
      <c r="H45">
        <v>0.08</v>
      </c>
      <c r="I45">
        <v>6.1000000000000004E-3</v>
      </c>
      <c r="J45">
        <v>6.68</v>
      </c>
    </row>
    <row r="46" spans="1:10">
      <c r="A46">
        <v>3.9</v>
      </c>
      <c r="B46">
        <v>6</v>
      </c>
      <c r="C46" s="2" t="s">
        <v>16</v>
      </c>
      <c r="D46" s="2" t="s">
        <v>17</v>
      </c>
      <c r="E46">
        <v>2021</v>
      </c>
      <c r="F46">
        <v>0.39800000000000002</v>
      </c>
      <c r="G46">
        <v>0.182</v>
      </c>
      <c r="H46">
        <v>0.121</v>
      </c>
      <c r="I46">
        <v>1.2E-2</v>
      </c>
      <c r="J46">
        <v>9.58</v>
      </c>
    </row>
    <row r="47" spans="1:10">
      <c r="C47" s="2" t="s">
        <v>16</v>
      </c>
      <c r="D47" s="2" t="s">
        <v>17</v>
      </c>
      <c r="E47">
        <v>2020</v>
      </c>
      <c r="F47">
        <v>4.3999999999999997E-2</v>
      </c>
      <c r="G47">
        <v>0.182</v>
      </c>
      <c r="H47">
        <v>-0.06</v>
      </c>
      <c r="I47">
        <v>-7.0000000000000001E-3</v>
      </c>
      <c r="J47">
        <v>6.33</v>
      </c>
    </row>
    <row r="48" spans="1:10">
      <c r="C48" s="2" t="s">
        <v>16</v>
      </c>
      <c r="D48" s="2" t="s">
        <v>17</v>
      </c>
      <c r="E48">
        <v>2019</v>
      </c>
      <c r="F48">
        <v>4.2999999999999997E-2</v>
      </c>
      <c r="G48">
        <v>0.19900000000000001</v>
      </c>
      <c r="H48">
        <v>0.1</v>
      </c>
      <c r="I48">
        <v>1.1999999999999999E-3</v>
      </c>
      <c r="J48">
        <v>8.15</v>
      </c>
    </row>
    <row r="49" spans="1:10">
      <c r="C49" s="2" t="s">
        <v>16</v>
      </c>
      <c r="D49" s="2" t="s">
        <v>17</v>
      </c>
      <c r="E49">
        <v>2018</v>
      </c>
      <c r="F49">
        <v>0.49</v>
      </c>
      <c r="G49">
        <v>0.189</v>
      </c>
      <c r="H49">
        <v>0.1</v>
      </c>
      <c r="I49">
        <v>1.2E-2</v>
      </c>
      <c r="J49">
        <v>7.8</v>
      </c>
    </row>
    <row r="50" spans="1:10">
      <c r="C50" s="2" t="s">
        <v>16</v>
      </c>
      <c r="D50" s="2" t="s">
        <v>17</v>
      </c>
      <c r="E50">
        <v>2017</v>
      </c>
      <c r="F50">
        <v>0.55000000000000004</v>
      </c>
      <c r="G50">
        <v>0.17399999999999999</v>
      </c>
      <c r="H50">
        <v>0.09</v>
      </c>
      <c r="I50">
        <v>1.0999999999999999E-2</v>
      </c>
      <c r="J50">
        <v>8.7200000000000006</v>
      </c>
    </row>
    <row r="51" spans="1:10">
      <c r="C51" s="2" t="s">
        <v>16</v>
      </c>
      <c r="D51" s="2" t="s">
        <v>17</v>
      </c>
      <c r="E51">
        <v>2016</v>
      </c>
      <c r="F51">
        <v>5.8999999999999997E-2</v>
      </c>
      <c r="G51">
        <v>0.15809999999999999</v>
      </c>
      <c r="H51">
        <v>9.0999999999999998E-2</v>
      </c>
      <c r="I51">
        <v>1.0999999999999999E-2</v>
      </c>
      <c r="J51">
        <v>4.9000000000000004</v>
      </c>
    </row>
    <row r="52" spans="1:10">
      <c r="C52" s="2" t="s">
        <v>16</v>
      </c>
      <c r="D52" s="2" t="s">
        <v>17</v>
      </c>
      <c r="E52">
        <v>2015</v>
      </c>
      <c r="F52">
        <v>6.6000000000000003E-2</v>
      </c>
      <c r="G52">
        <v>0.41610000000000003</v>
      </c>
      <c r="H52">
        <v>0.09</v>
      </c>
      <c r="I52">
        <v>0.01</v>
      </c>
      <c r="J52">
        <v>4.22</v>
      </c>
    </row>
    <row r="53" spans="1:10">
      <c r="C53" s="2" t="s">
        <v>16</v>
      </c>
      <c r="D53" s="2" t="s">
        <v>17</v>
      </c>
      <c r="E53">
        <v>2014</v>
      </c>
      <c r="F53">
        <v>6.9000000000000006E-2</v>
      </c>
      <c r="G53">
        <v>0.13</v>
      </c>
      <c r="H53">
        <v>0.124</v>
      </c>
      <c r="I53">
        <v>1.4E-2</v>
      </c>
      <c r="J53">
        <v>5.33</v>
      </c>
    </row>
    <row r="54" spans="1:10">
      <c r="C54" s="2" t="s">
        <v>16</v>
      </c>
      <c r="D54" s="2" t="s">
        <v>17</v>
      </c>
      <c r="E54">
        <v>2013</v>
      </c>
      <c r="F54">
        <v>8.2000000000000003E-2</v>
      </c>
      <c r="G54">
        <v>0.13600000000000001</v>
      </c>
      <c r="H54">
        <v>0.13200000000000001</v>
      </c>
      <c r="I54">
        <v>1.6E-2</v>
      </c>
      <c r="J54">
        <v>5.89</v>
      </c>
    </row>
    <row r="55" spans="1:10">
      <c r="C55" s="2" t="s">
        <v>16</v>
      </c>
      <c r="D55" s="2" t="s">
        <v>17</v>
      </c>
      <c r="E55">
        <v>2012</v>
      </c>
      <c r="F55">
        <v>8.8999999999999996E-2</v>
      </c>
      <c r="G55">
        <v>0.13100000000000001</v>
      </c>
      <c r="H55">
        <v>1.5900000000000001E-2</v>
      </c>
      <c r="I55">
        <v>0.02</v>
      </c>
      <c r="J55">
        <f>35.76/4.09</f>
        <v>8.7432762836185809</v>
      </c>
    </row>
    <row r="56" spans="1:10">
      <c r="C56" s="2" t="s">
        <v>16</v>
      </c>
      <c r="D56" s="2" t="s">
        <v>17</v>
      </c>
      <c r="E56">
        <v>2011</v>
      </c>
      <c r="F56">
        <v>0.08</v>
      </c>
      <c r="G56">
        <v>0.124</v>
      </c>
      <c r="H56">
        <v>0.17499999999999999</v>
      </c>
      <c r="I56">
        <v>2.1000000000000001E-2</v>
      </c>
      <c r="J56">
        <f>32.98/4.42</f>
        <v>7.4615384615384608</v>
      </c>
    </row>
    <row r="57" spans="1:10">
      <c r="A57">
        <v>3.5</v>
      </c>
      <c r="B57">
        <v>7</v>
      </c>
      <c r="C57" s="2" t="s">
        <v>18</v>
      </c>
      <c r="D57" s="2" t="s">
        <v>19</v>
      </c>
      <c r="E57">
        <v>2021</v>
      </c>
      <c r="F57">
        <v>5.3E-3</v>
      </c>
      <c r="G57">
        <v>0.23100000000000001</v>
      </c>
      <c r="H57">
        <v>0.13900000000000001</v>
      </c>
      <c r="I57">
        <v>7.0000000000000001E-3</v>
      </c>
      <c r="J57">
        <f>119.14/10.145</f>
        <v>11.743716116313456</v>
      </c>
    </row>
    <row r="58" spans="1:10">
      <c r="C58" s="2" t="s">
        <v>18</v>
      </c>
      <c r="D58" s="2" t="s">
        <v>19</v>
      </c>
      <c r="E58">
        <v>2020</v>
      </c>
      <c r="F58">
        <v>8.6999999999999994E-3</v>
      </c>
      <c r="G58">
        <v>0.251</v>
      </c>
      <c r="H58">
        <v>9.7000000000000003E-2</v>
      </c>
      <c r="I58">
        <v>5.0000000000000001E-3</v>
      </c>
      <c r="J58">
        <f>74.81/10.487</f>
        <v>7.1335939734909886</v>
      </c>
    </row>
    <row r="59" spans="1:10">
      <c r="C59" s="2" t="s">
        <v>18</v>
      </c>
      <c r="D59" s="2" t="s">
        <v>19</v>
      </c>
      <c r="E59">
        <v>2019</v>
      </c>
      <c r="F59">
        <v>6.7000000000000002E-3</v>
      </c>
      <c r="G59">
        <v>0.23300000000000001</v>
      </c>
      <c r="H59">
        <v>0.13700000000000001</v>
      </c>
      <c r="I59">
        <v>7.0000000000000001E-3</v>
      </c>
      <c r="J59">
        <f>70.13/10.589</f>
        <v>6.622910567570119</v>
      </c>
    </row>
    <row r="60" spans="1:10">
      <c r="C60" s="2" t="s">
        <v>18</v>
      </c>
      <c r="D60" s="2" t="s">
        <v>19</v>
      </c>
      <c r="E60">
        <v>2018</v>
      </c>
      <c r="F60">
        <v>5.0000000000000001E-3</v>
      </c>
      <c r="G60">
        <v>0.222</v>
      </c>
      <c r="H60">
        <v>0.16300000000000001</v>
      </c>
      <c r="I60">
        <v>8.2000000000000007E-3</v>
      </c>
      <c r="J60">
        <f>68.2/10.257</f>
        <v>6.6491176757336454</v>
      </c>
    </row>
    <row r="61" spans="1:10">
      <c r="C61" s="2" t="s">
        <v>18</v>
      </c>
      <c r="D61" s="2" t="s">
        <v>19</v>
      </c>
      <c r="E61">
        <v>2017</v>
      </c>
      <c r="F61">
        <v>3.8999999999999998E-3</v>
      </c>
      <c r="G61">
        <v>0.24199999999999999</v>
      </c>
      <c r="H61">
        <v>0.11700000000000001</v>
      </c>
      <c r="I61">
        <v>5.7000000000000002E-3</v>
      </c>
      <c r="J61">
        <f>71.51/9.633</f>
        <v>7.4234402574483562</v>
      </c>
    </row>
    <row r="62" spans="1:10">
      <c r="C62" s="2" t="s">
        <v>18</v>
      </c>
      <c r="D62" s="2" t="s">
        <v>19</v>
      </c>
      <c r="E62">
        <v>2016</v>
      </c>
      <c r="F62">
        <v>3.3E-3</v>
      </c>
      <c r="G62">
        <v>0.248</v>
      </c>
      <c r="H62">
        <v>7.8E-2</v>
      </c>
      <c r="I62">
        <v>3.7000000000000002E-3</v>
      </c>
      <c r="J62">
        <f>95.55/9.47</f>
        <v>10.089757127771911</v>
      </c>
    </row>
    <row r="63" spans="1:10">
      <c r="C63" s="2" t="s">
        <v>18</v>
      </c>
      <c r="D63" s="2" t="s">
        <v>19</v>
      </c>
      <c r="E63">
        <v>2015</v>
      </c>
      <c r="F63">
        <v>3.5000000000000001E-3</v>
      </c>
      <c r="G63">
        <v>0.23799999999999999</v>
      </c>
      <c r="H63">
        <v>0.122</v>
      </c>
      <c r="I63">
        <v>5.7000000000000002E-3</v>
      </c>
      <c r="J63">
        <f>89.4/9.356</f>
        <v>9.5553655408294151</v>
      </c>
    </row>
    <row r="64" spans="1:10">
      <c r="C64" s="2" t="s">
        <v>18</v>
      </c>
      <c r="D64" s="2" t="s">
        <v>19</v>
      </c>
      <c r="E64">
        <v>2014</v>
      </c>
      <c r="F64">
        <v>4.8999999999999998E-3</v>
      </c>
      <c r="G64">
        <v>0.222</v>
      </c>
      <c r="H64">
        <v>0.153</v>
      </c>
      <c r="I64">
        <v>7.1000000000000004E-3</v>
      </c>
      <c r="J64">
        <f>99.55/9.096</f>
        <v>10.944371152154792</v>
      </c>
    </row>
    <row r="65" spans="1:10">
      <c r="C65" s="2" t="s">
        <v>18</v>
      </c>
      <c r="D65" s="2" t="s">
        <v>19</v>
      </c>
      <c r="E65">
        <v>2013</v>
      </c>
      <c r="F65">
        <v>3.5000000000000001E-3</v>
      </c>
      <c r="G65">
        <v>0.18099999999999999</v>
      </c>
      <c r="H65">
        <v>0.13100000000000001</v>
      </c>
      <c r="I65">
        <v>5.7999999999999996E-3</v>
      </c>
      <c r="J65">
        <f>84.8/8.651</f>
        <v>9.8023349901745469</v>
      </c>
    </row>
    <row r="66" spans="1:10">
      <c r="C66" s="2" t="s">
        <v>18</v>
      </c>
      <c r="D66" s="2" t="s">
        <v>19</v>
      </c>
      <c r="E66">
        <v>2012</v>
      </c>
      <c r="F66">
        <v>5.7999999999999996E-3</v>
      </c>
      <c r="G66">
        <v>0.17199999999999999</v>
      </c>
      <c r="H66">
        <v>0.1106</v>
      </c>
      <c r="I66">
        <v>4.7999999999999996E-3</v>
      </c>
      <c r="J66">
        <f>32.11/8.711</f>
        <v>3.6861439559178049</v>
      </c>
    </row>
    <row r="67" spans="1:10">
      <c r="C67" s="2" t="s">
        <v>18</v>
      </c>
      <c r="D67" s="2" t="s">
        <v>19</v>
      </c>
      <c r="E67">
        <v>2011</v>
      </c>
      <c r="F67">
        <v>8.3999999999999995E-3</v>
      </c>
      <c r="G67">
        <v>0.152</v>
      </c>
      <c r="H67">
        <v>0.11119999999999999</v>
      </c>
      <c r="I67">
        <v>4.8999999999999998E-3</v>
      </c>
      <c r="J67">
        <f>22.45/9.032</f>
        <v>2.4856067316209032</v>
      </c>
    </row>
    <row r="68" spans="1:10">
      <c r="A68">
        <v>3.4</v>
      </c>
      <c r="B68">
        <v>8</v>
      </c>
      <c r="C68" s="2" t="s">
        <v>20</v>
      </c>
      <c r="D68" s="2" t="s">
        <v>21</v>
      </c>
      <c r="E68">
        <v>2021</v>
      </c>
      <c r="F68">
        <v>2.9000000000000001E-2</v>
      </c>
      <c r="G68">
        <v>0.155</v>
      </c>
      <c r="H68">
        <v>0.13</v>
      </c>
      <c r="I68">
        <f>3418/340346</f>
        <v>1.0042721230747533E-2</v>
      </c>
      <c r="J68">
        <v>75.5</v>
      </c>
    </row>
    <row r="69" spans="1:10">
      <c r="C69" s="2" t="s">
        <v>20</v>
      </c>
      <c r="D69" s="2" t="s">
        <v>21</v>
      </c>
      <c r="E69">
        <v>2020</v>
      </c>
      <c r="F69">
        <v>3.3000000000000002E-2</v>
      </c>
      <c r="G69">
        <v>0.17599999999999999</v>
      </c>
      <c r="H69">
        <v>0.08</v>
      </c>
      <c r="I69">
        <f>1847/320743</f>
        <v>5.7585044724280813E-3</v>
      </c>
      <c r="J69">
        <v>57.3</v>
      </c>
    </row>
    <row r="70" spans="1:10">
      <c r="C70" s="2" t="s">
        <v>20</v>
      </c>
      <c r="D70" s="2" t="s">
        <v>21</v>
      </c>
      <c r="E70">
        <v>2019</v>
      </c>
      <c r="F70">
        <v>3.5000000000000003E-2</v>
      </c>
      <c r="G70">
        <v>0.17100000000000001</v>
      </c>
      <c r="H70">
        <v>0.14000000000000001</v>
      </c>
      <c r="I70">
        <f>3116/290591</f>
        <v>1.0722974902870358E-2</v>
      </c>
      <c r="J70">
        <v>67.099999999999994</v>
      </c>
    </row>
    <row r="71" spans="1:10">
      <c r="C71" s="2" t="s">
        <v>20</v>
      </c>
      <c r="D71" s="2" t="s">
        <v>21</v>
      </c>
      <c r="E71">
        <v>2018</v>
      </c>
      <c r="F71">
        <v>4.2999999999999997E-2</v>
      </c>
      <c r="G71">
        <v>0.16</v>
      </c>
      <c r="H71">
        <v>0.16</v>
      </c>
      <c r="I71">
        <f>3310/283808</f>
        <v>1.1662814296989513E-2</v>
      </c>
      <c r="J71">
        <v>56.7</v>
      </c>
    </row>
    <row r="72" spans="1:10">
      <c r="C72" s="2" t="s">
        <v>20</v>
      </c>
      <c r="D72" s="2" t="s">
        <v>21</v>
      </c>
      <c r="E72">
        <v>2017</v>
      </c>
      <c r="F72">
        <v>0.06</v>
      </c>
      <c r="G72">
        <v>0.16300000000000001</v>
      </c>
      <c r="H72">
        <v>0.17</v>
      </c>
      <c r="I72">
        <f>3667/292342</f>
        <v>1.2543527785949334E-2</v>
      </c>
      <c r="J72">
        <v>71.099999999999994</v>
      </c>
    </row>
    <row r="73" spans="1:10">
      <c r="C73" s="2" t="s">
        <v>20</v>
      </c>
      <c r="D73" s="2" t="s">
        <v>21</v>
      </c>
      <c r="E73">
        <v>2016</v>
      </c>
      <c r="F73">
        <v>7.1999999999999995E-2</v>
      </c>
      <c r="G73">
        <v>0.158</v>
      </c>
      <c r="H73">
        <v>0.18</v>
      </c>
      <c r="I73">
        <f>3090/275200</f>
        <v>1.1228197674418605E-2</v>
      </c>
      <c r="J73">
        <v>58.8</v>
      </c>
    </row>
    <row r="74" spans="1:10">
      <c r="C74" s="2" t="s">
        <v>20</v>
      </c>
      <c r="D74" s="2" t="s">
        <v>21</v>
      </c>
      <c r="E74">
        <v>2015</v>
      </c>
      <c r="F74">
        <v>8.5999999999999993E-2</v>
      </c>
      <c r="G74">
        <v>0.14899999999999999</v>
      </c>
      <c r="H74">
        <v>0.22</v>
      </c>
      <c r="I74">
        <f>2535/252356</f>
        <v>1.0045332783845045E-2</v>
      </c>
      <c r="J74">
        <v>57.7</v>
      </c>
    </row>
    <row r="75" spans="1:10">
      <c r="C75" s="2" t="s">
        <v>20</v>
      </c>
      <c r="D75" s="2" t="s">
        <v>21</v>
      </c>
      <c r="E75">
        <v>2014</v>
      </c>
      <c r="F75">
        <v>9.9000000000000005E-2</v>
      </c>
      <c r="G75">
        <v>0.14299999999999999</v>
      </c>
      <c r="H75">
        <v>0.14000000000000001</v>
      </c>
      <c r="I75">
        <f>2420/245174</f>
        <v>9.8705409219574675E-3</v>
      </c>
      <c r="J75">
        <v>46.5</v>
      </c>
    </row>
    <row r="76" spans="1:10">
      <c r="C76" s="2" t="s">
        <v>20</v>
      </c>
      <c r="D76" s="2" t="s">
        <v>21</v>
      </c>
      <c r="E76">
        <v>2013</v>
      </c>
      <c r="F76">
        <v>0.10199999999999999</v>
      </c>
      <c r="G76">
        <v>0.128</v>
      </c>
      <c r="H76">
        <v>0.09</v>
      </c>
      <c r="I76">
        <f>1708/238686</f>
        <v>7.1558449175904747E-3</v>
      </c>
      <c r="J76">
        <v>41.3</v>
      </c>
    </row>
    <row r="77" spans="1:10">
      <c r="C77" s="2" t="s">
        <v>20</v>
      </c>
      <c r="D77" s="2" t="s">
        <v>21</v>
      </c>
      <c r="E77">
        <v>2012</v>
      </c>
      <c r="F77">
        <v>5.2999999999999999E-2</v>
      </c>
      <c r="G77">
        <v>0.13800000000000001</v>
      </c>
      <c r="H77">
        <v>0.01</v>
      </c>
      <c r="I77">
        <f>976/256886</f>
        <v>3.7993506847395341E-3</v>
      </c>
      <c r="J77">
        <v>26.2</v>
      </c>
    </row>
    <row r="78" spans="1:10">
      <c r="C78" s="2" t="s">
        <v>20</v>
      </c>
      <c r="D78" s="2" t="s">
        <v>21</v>
      </c>
      <c r="E78">
        <v>2011</v>
      </c>
      <c r="F78">
        <v>4.9000000000000002E-2</v>
      </c>
      <c r="G78">
        <v>0.123</v>
      </c>
      <c r="H78">
        <v>0.109</v>
      </c>
      <c r="I78">
        <f>786/285382</f>
        <v>2.7542031382497847E-3</v>
      </c>
      <c r="J78">
        <v>9.6999999999999993</v>
      </c>
    </row>
    <row r="79" spans="1:10">
      <c r="A79">
        <v>2.8</v>
      </c>
      <c r="B79">
        <v>9</v>
      </c>
      <c r="C79" s="2" t="s">
        <v>22</v>
      </c>
      <c r="D79" s="2" t="s">
        <v>23</v>
      </c>
      <c r="E79">
        <v>2021</v>
      </c>
      <c r="F79">
        <v>2.4E-2</v>
      </c>
      <c r="G79">
        <v>0.191</v>
      </c>
      <c r="H79">
        <v>0.11600000000000001</v>
      </c>
      <c r="I79">
        <f>2933.4 /307428</f>
        <v>9.5417463601233463E-3</v>
      </c>
      <c r="J79">
        <v>41.35</v>
      </c>
    </row>
    <row r="80" spans="1:10">
      <c r="C80" s="2" t="s">
        <v>22</v>
      </c>
      <c r="D80" s="2" t="s">
        <v>23</v>
      </c>
      <c r="E80">
        <v>2020</v>
      </c>
      <c r="F80">
        <v>2.7E-2</v>
      </c>
      <c r="G80">
        <v>0.19700000000000001</v>
      </c>
      <c r="H80">
        <v>4.7E-2</v>
      </c>
      <c r="I80">
        <f>1368/277394</f>
        <v>4.9316135172354121E-3</v>
      </c>
      <c r="J80">
        <v>24.94</v>
      </c>
    </row>
    <row r="81" spans="1:10">
      <c r="C81" s="2" t="s">
        <v>22</v>
      </c>
      <c r="D81" s="2" t="s">
        <v>23</v>
      </c>
      <c r="E81">
        <v>2019</v>
      </c>
      <c r="F81">
        <v>2.5000000000000001E-2</v>
      </c>
      <c r="G81">
        <v>0.185</v>
      </c>
      <c r="H81">
        <v>0.1</v>
      </c>
      <c r="I81">
        <f>2329.7/245693</f>
        <v>9.4821586288579649E-3</v>
      </c>
      <c r="J81">
        <v>33.56</v>
      </c>
    </row>
    <row r="82" spans="1:10">
      <c r="C82" s="2" t="s">
        <v>22</v>
      </c>
      <c r="D82" s="2" t="s">
        <v>23</v>
      </c>
      <c r="E82">
        <v>2018</v>
      </c>
      <c r="F82">
        <v>3.2000000000000001E-2</v>
      </c>
      <c r="G82">
        <v>0.18099999999999999</v>
      </c>
      <c r="H82">
        <v>0.13400000000000001</v>
      </c>
      <c r="I82">
        <f>2495/236792</f>
        <v>1.0536673536268117E-2</v>
      </c>
      <c r="J82">
        <v>29.05</v>
      </c>
    </row>
    <row r="83" spans="1:10">
      <c r="C83" s="2" t="s">
        <v>22</v>
      </c>
      <c r="D83" s="2" t="s">
        <v>23</v>
      </c>
      <c r="E83">
        <v>2017</v>
      </c>
      <c r="F83">
        <v>0.04</v>
      </c>
      <c r="G83">
        <v>0.182</v>
      </c>
      <c r="H83">
        <v>0.1</v>
      </c>
      <c r="I83">
        <f>2077.8/220659</f>
        <v>9.4163392383723316E-3</v>
      </c>
      <c r="J83">
        <v>36.104999999999997</v>
      </c>
    </row>
    <row r="84" spans="1:10">
      <c r="C84" s="2" t="s">
        <v>22</v>
      </c>
      <c r="D84" s="2" t="s">
        <v>23</v>
      </c>
      <c r="E84">
        <v>2016</v>
      </c>
      <c r="F84">
        <v>4.9000000000000002E-2</v>
      </c>
      <c r="G84">
        <v>0.182</v>
      </c>
      <c r="H84">
        <v>0.108</v>
      </c>
      <c r="I84">
        <f>1950.4/208227</f>
        <v>9.3667007640699813E-3</v>
      </c>
      <c r="J84">
        <v>27.82</v>
      </c>
    </row>
    <row r="85" spans="1:10">
      <c r="C85" s="2" t="s">
        <v>22</v>
      </c>
      <c r="D85" s="2" t="s">
        <v>23</v>
      </c>
      <c r="E85">
        <v>2015</v>
      </c>
      <c r="F85">
        <v>7.0999999999999994E-2</v>
      </c>
      <c r="G85">
        <v>0.17199999999999999</v>
      </c>
      <c r="H85">
        <v>9.2999999999999999E-2</v>
      </c>
      <c r="I85">
        <f>1639.1/199743</f>
        <v>8.2060447675262709E-3</v>
      </c>
      <c r="J85">
        <v>28.91</v>
      </c>
    </row>
    <row r="86" spans="1:10">
      <c r="C86" s="2" t="s">
        <v>22</v>
      </c>
      <c r="D86" s="2" t="s">
        <v>23</v>
      </c>
      <c r="E86">
        <v>2014</v>
      </c>
      <c r="F86">
        <v>8.5000000000000006E-2</v>
      </c>
      <c r="G86">
        <v>0.156</v>
      </c>
      <c r="H86">
        <v>-0.13</v>
      </c>
      <c r="I86">
        <f>-727.7/200054</f>
        <v>-3.6375178701750529E-3</v>
      </c>
      <c r="J86">
        <v>19.239999999999998</v>
      </c>
    </row>
    <row r="87" spans="1:10">
      <c r="C87" s="2" t="s">
        <v>22</v>
      </c>
      <c r="D87" s="2" t="s">
        <v>23</v>
      </c>
      <c r="E87">
        <v>2013</v>
      </c>
      <c r="F87">
        <v>9.6000000000000002E-2</v>
      </c>
      <c r="G87">
        <v>0.16300000000000001</v>
      </c>
      <c r="H87">
        <v>0</v>
      </c>
      <c r="I87">
        <f>302.9/213824</f>
        <v>1.4165856031128404E-3</v>
      </c>
      <c r="J87">
        <v>25.33</v>
      </c>
    </row>
    <row r="88" spans="1:10">
      <c r="C88" s="2" t="s">
        <v>22</v>
      </c>
      <c r="D88" s="2" t="s">
        <v>23</v>
      </c>
      <c r="E88">
        <v>2012</v>
      </c>
      <c r="F88">
        <v>9.1999999999999998E-2</v>
      </c>
      <c r="G88">
        <v>0.155</v>
      </c>
      <c r="H88">
        <v>3.7999999999999999E-2</v>
      </c>
      <c r="I88">
        <f>801.2/213824</f>
        <v>3.7470068841664174E-3</v>
      </c>
      <c r="J88">
        <v>24.03</v>
      </c>
    </row>
    <row r="89" spans="1:10">
      <c r="C89" s="2" t="s">
        <v>22</v>
      </c>
      <c r="D89" s="2" t="s">
        <v>23</v>
      </c>
      <c r="E89">
        <v>2011</v>
      </c>
      <c r="F89">
        <v>8.5000000000000006E-2</v>
      </c>
      <c r="G89">
        <v>0.104</v>
      </c>
      <c r="H89">
        <v>-5.5E-2</v>
      </c>
      <c r="I89">
        <f>-322.2/210006</f>
        <v>-1.5342418788034627E-3</v>
      </c>
      <c r="J89">
        <v>13.59</v>
      </c>
    </row>
    <row r="90" spans="1:10">
      <c r="A90">
        <v>2.8</v>
      </c>
      <c r="B90">
        <v>10</v>
      </c>
      <c r="C90" s="2" t="s">
        <v>24</v>
      </c>
      <c r="D90" s="2" t="s">
        <v>25</v>
      </c>
      <c r="E90">
        <v>2021</v>
      </c>
      <c r="F90" t="e" vm="1">
        <f>'[1]Project Ratios'!C9</f>
        <v>#VALUE!</v>
      </c>
      <c r="G90">
        <f>(11217+1524)/52637</f>
        <v>0.24205406843095162</v>
      </c>
      <c r="H90">
        <f>645/13660</f>
        <v>4.7218155197657395E-2</v>
      </c>
      <c r="I90">
        <f>629/127875</f>
        <v>4.9188660801564024E-3</v>
      </c>
      <c r="J90">
        <v>2.14</v>
      </c>
    </row>
    <row r="91" spans="1:10">
      <c r="C91" s="2" t="s">
        <v>24</v>
      </c>
      <c r="D91" s="2" t="s">
        <v>25</v>
      </c>
      <c r="E91">
        <v>2020</v>
      </c>
      <c r="F91" t="e" vm="1">
        <f>'[1]Project Ratios'!D9</f>
        <v>#VALUE!</v>
      </c>
      <c r="G91">
        <f>(11162+1519)/53036</f>
        <v>0.23910174221283656</v>
      </c>
      <c r="H91">
        <f>-741/13421</f>
        <v>-5.5211981223455775E-2</v>
      </c>
      <c r="I91">
        <f>-931/110385</f>
        <v>-8.4341169542963262E-3</v>
      </c>
      <c r="J91">
        <v>1.681</v>
      </c>
    </row>
    <row r="92" spans="1:10">
      <c r="C92" s="2" t="s">
        <v>24</v>
      </c>
      <c r="D92" s="2" t="s">
        <v>25</v>
      </c>
      <c r="E92">
        <v>2019</v>
      </c>
      <c r="F92">
        <f>3347/62049</f>
        <v>5.3941239987751619E-2</v>
      </c>
      <c r="G92">
        <f>(11214+926)/52121</f>
        <v>0.23291955257957445</v>
      </c>
      <c r="H92">
        <f>364/14230</f>
        <v>2.5579761068165847E-2</v>
      </c>
      <c r="I92">
        <f>499/98562</f>
        <v>5.0628031087031509E-3</v>
      </c>
      <c r="J92">
        <v>2.8824999999999998</v>
      </c>
    </row>
    <row r="93" spans="1:10">
      <c r="C93" s="2" t="s">
        <v>24</v>
      </c>
      <c r="D93" s="2" t="s">
        <v>25</v>
      </c>
      <c r="E93">
        <v>2018</v>
      </c>
      <c r="F93">
        <f>6054/60868</f>
        <v>9.9461129000460016E-2</v>
      </c>
      <c r="G93">
        <f>(11144+415)/51596</f>
        <v>0.22402899449569735</v>
      </c>
      <c r="H93">
        <f>1092/13858</f>
        <v>7.879924953095685E-2</v>
      </c>
      <c r="I93">
        <f>1247/91536</f>
        <v>1.3623055409893375E-2</v>
      </c>
      <c r="J93">
        <v>3.2726999999999999</v>
      </c>
    </row>
    <row r="94" spans="1:10">
      <c r="C94" s="2" t="s">
        <v>24</v>
      </c>
      <c r="D94" s="2" t="s">
        <v>25</v>
      </c>
      <c r="E94">
        <v>2017</v>
      </c>
      <c r="F94">
        <f>10194/63338</f>
        <v>0.16094603555527487</v>
      </c>
      <c r="G94">
        <f>(11028+644)/51728</f>
        <v>0.22564181874420045</v>
      </c>
      <c r="H94">
        <f>1114/13611</f>
        <v>8.1845566086253763E-2</v>
      </c>
      <c r="I94">
        <f>1306/90061</f>
        <v>1.4501282464107661E-2</v>
      </c>
      <c r="J94">
        <v>4.8913000000000002</v>
      </c>
    </row>
    <row r="95" spans="1:10">
      <c r="C95" s="2" t="s">
        <v>24</v>
      </c>
      <c r="D95" s="2" t="s">
        <v>25</v>
      </c>
      <c r="E95">
        <v>2016</v>
      </c>
      <c r="F95">
        <f>14072/65228</f>
        <v>0.21573557368001473</v>
      </c>
      <c r="G95">
        <f>(10792+980)/54235</f>
        <v>0.21705540702498385</v>
      </c>
      <c r="H95">
        <f>1356/13148</f>
        <v>0.10313355643443869</v>
      </c>
      <c r="I95">
        <f>1682/95622</f>
        <v>1.759009432975675E-2</v>
      </c>
      <c r="J95">
        <v>4.3692000000000002</v>
      </c>
    </row>
    <row r="96" spans="1:10">
      <c r="C96" s="2" t="s">
        <v>24</v>
      </c>
      <c r="D96" s="2" t="s">
        <v>25</v>
      </c>
      <c r="E96">
        <v>2015</v>
      </c>
      <c r="F96">
        <f>17968/70163</f>
        <v>0.25608939184470447</v>
      </c>
      <c r="G96">
        <f>(9779+1269)/58549</f>
        <v>0.18869664725272847</v>
      </c>
      <c r="H96">
        <f>1380/12148</f>
        <v>0.11359894632861377</v>
      </c>
      <c r="I96">
        <f>1914/103122</f>
        <v>1.856053994298016E-2</v>
      </c>
      <c r="J96">
        <v>5.8197999999999999</v>
      </c>
    </row>
    <row r="97" spans="3:10">
      <c r="C97" s="2" t="s">
        <v>24</v>
      </c>
      <c r="D97" s="2" t="s">
        <v>25</v>
      </c>
      <c r="E97">
        <v>2014</v>
      </c>
      <c r="F97">
        <f>22162/75832</f>
        <v>0.29225129233041458</v>
      </c>
      <c r="G97">
        <f>(9717+1008)/59114</f>
        <v>0.18142910308894677</v>
      </c>
      <c r="H97">
        <f>915/11572</f>
        <v>7.9070169374351879E-2</v>
      </c>
      <c r="I97">
        <f>1111/107455</f>
        <v>1.0339211763063608E-2</v>
      </c>
      <c r="J97">
        <v>17.258500000000002</v>
      </c>
    </row>
    <row r="98" spans="3:10">
      <c r="C98" s="2" t="s">
        <v>24</v>
      </c>
      <c r="D98" s="2" t="s">
        <v>25</v>
      </c>
      <c r="E98">
        <v>2013</v>
      </c>
      <c r="F98">
        <f>28911/82851</f>
        <v>0.34895173262845347</v>
      </c>
      <c r="G98">
        <f>(8926+1410)/62395</f>
        <v>0.16565429922269412</v>
      </c>
      <c r="H98">
        <f>-1597/10494</f>
        <v>-0.15218219935201066</v>
      </c>
      <c r="I98">
        <f>-1687/117734</f>
        <v>-1.4328910934819169E-2</v>
      </c>
      <c r="J98">
        <v>24.467700000000001</v>
      </c>
    </row>
    <row r="99" spans="3:10">
      <c r="C99" s="2" t="s">
        <v>24</v>
      </c>
      <c r="D99" s="2" t="s">
        <v>25</v>
      </c>
      <c r="E99">
        <v>2012</v>
      </c>
      <c r="F99">
        <f>29416/89872</f>
        <v>0.32730995193163609</v>
      </c>
      <c r="G99">
        <f>(10846+1910-74)/71417</f>
        <v>0.1775767674363247</v>
      </c>
      <c r="H99">
        <f>-3647/11355</f>
        <v>-0.32118009687362398</v>
      </c>
      <c r="I99">
        <f>-3729/122501</f>
        <v>-3.0440567832099329E-2</v>
      </c>
      <c r="J99">
        <v>10.9231</v>
      </c>
    </row>
    <row r="100" spans="3:10">
      <c r="C100" s="2" t="s">
        <v>24</v>
      </c>
      <c r="D100" s="2" t="s">
        <v>25</v>
      </c>
      <c r="E100">
        <v>2011</v>
      </c>
      <c r="F100">
        <f>24833/98687</f>
        <v>0.25163395381357218</v>
      </c>
      <c r="G100">
        <f>(15065+2311)/84279</f>
        <v>0.20617235610294379</v>
      </c>
      <c r="H100">
        <f>-229/12318</f>
        <v>-1.8590680305244359E-2</v>
      </c>
      <c r="I100">
        <f>-5139/122805</f>
        <v>-4.1846830340784173E-2</v>
      </c>
      <c r="J100">
        <v>15.0739</v>
      </c>
    </row>
    <row r="101" spans="3:10">
      <c r="C101" s="2" t="s">
        <v>24</v>
      </c>
      <c r="D101" s="2" t="s">
        <v>26</v>
      </c>
      <c r="E101">
        <v>2021</v>
      </c>
      <c r="F101">
        <f>4311/77878</f>
        <v>5.5355812938185367E-2</v>
      </c>
      <c r="G101">
        <f>(8871+1469)/46400</f>
        <v>0.22284482758620688</v>
      </c>
      <c r="H101">
        <f>1055/11338</f>
        <v>9.3049920620920795E-2</v>
      </c>
      <c r="I101">
        <f>1221/155268</f>
        <v>7.8638225519746495E-3</v>
      </c>
      <c r="J101">
        <v>4.99</v>
      </c>
    </row>
    <row r="102" spans="3:10">
      <c r="C102" s="2" t="s">
        <v>24</v>
      </c>
      <c r="D102" s="2" t="s">
        <v>26</v>
      </c>
      <c r="E102">
        <v>2020</v>
      </c>
      <c r="F102">
        <f>4503/78462</f>
        <v>5.7390838877418367E-2</v>
      </c>
      <c r="G102">
        <f>(8191+1093)/48400</f>
        <v>0.1918181818181818</v>
      </c>
      <c r="H102">
        <f>-707/9621</f>
        <v>-7.3485084710529044E-2</v>
      </c>
      <c r="I102">
        <f>-760/133754</f>
        <v>-5.6820730594972857E-3</v>
      </c>
      <c r="J102">
        <v>3.3</v>
      </c>
    </row>
    <row r="103" spans="3:10">
      <c r="C103" s="2" t="s">
        <v>24</v>
      </c>
      <c r="D103" s="2" t="s">
        <v>26</v>
      </c>
      <c r="E103">
        <v>2019</v>
      </c>
      <c r="F103">
        <f>3519/80543</f>
        <v>4.3690947692536904E-2</v>
      </c>
      <c r="G103">
        <f>(8153+1810)/50100</f>
        <v>0.19886227544910179</v>
      </c>
      <c r="H103">
        <f>448/10433</f>
        <v>4.2940669030959458E-2</v>
      </c>
      <c r="I103">
        <f>645/131883</f>
        <v>4.8906985737358112E-3</v>
      </c>
      <c r="J103">
        <v>4.3600000000000003</v>
      </c>
    </row>
    <row r="104" spans="3:10">
      <c r="C104" s="2" t="s">
        <v>24</v>
      </c>
      <c r="D104" s="2" t="s">
        <v>26</v>
      </c>
      <c r="E104">
        <v>2018</v>
      </c>
      <c r="F104">
        <f>4984/78430</f>
        <v>6.3547112074461301E-2</v>
      </c>
      <c r="G104">
        <f>(7650+1321)/47800</f>
        <v>0.18767782426778243</v>
      </c>
      <c r="H104">
        <f>675/10051</f>
        <v>6.7157496766490896E-2</v>
      </c>
      <c r="I104">
        <f>835/123669</f>
        <v>6.7518941691127122E-3</v>
      </c>
      <c r="J104">
        <v>4.21</v>
      </c>
    </row>
    <row r="105" spans="3:10">
      <c r="C105" s="2" t="s">
        <v>24</v>
      </c>
      <c r="D105" s="2" t="s">
        <v>26</v>
      </c>
      <c r="E105">
        <v>2017</v>
      </c>
      <c r="F105">
        <f>(4043+464+2014 )/78487</f>
        <v>8.308382279868004E-2</v>
      </c>
      <c r="G105">
        <f>(7625+1456)/45000</f>
        <v>0.20180000000000001</v>
      </c>
      <c r="H105">
        <f>692/9667</f>
        <v>7.1583738491776142E-2</v>
      </c>
      <c r="I105">
        <f>852/122554</f>
        <v>6.9520374691972517E-3</v>
      </c>
      <c r="J105">
        <v>6.05</v>
      </c>
    </row>
    <row r="106" spans="3:10">
      <c r="C106" s="2" t="s">
        <v>24</v>
      </c>
      <c r="D106" s="2" t="s">
        <v>26</v>
      </c>
      <c r="E106">
        <v>2016</v>
      </c>
      <c r="F106">
        <f>(1017+6910)/82362</f>
        <v>9.6245841528860399E-2</v>
      </c>
      <c r="G106">
        <f>(7992+1392)/50800</f>
        <v>0.1847244094488189</v>
      </c>
      <c r="H106">
        <f>799/9419</f>
        <v>8.4828538061365324E-2</v>
      </c>
      <c r="I106">
        <f>1035/122667</f>
        <v>8.4374770720731743E-3</v>
      </c>
      <c r="J106">
        <v>5.99</v>
      </c>
    </row>
    <row r="107" spans="3:10">
      <c r="C107" s="2" t="s">
        <v>24</v>
      </c>
      <c r="D107" s="2" t="s">
        <v>26</v>
      </c>
      <c r="E107">
        <v>2015</v>
      </c>
      <c r="F107">
        <f>(1429+10544)/90595</f>
        <v>0.13215961145758595</v>
      </c>
      <c r="G107">
        <f>(7897+1679)/53300</f>
        <v>0.17966228893058162</v>
      </c>
      <c r="H107">
        <f>947/7808</f>
        <v>0.12128586065573771</v>
      </c>
      <c r="I107">
        <f>1232/130960</f>
        <v>9.4074526572999386E-3</v>
      </c>
      <c r="J107">
        <v>8.6999999999999993</v>
      </c>
    </row>
    <row r="108" spans="3:10">
      <c r="C108" s="2" t="s">
        <v>24</v>
      </c>
      <c r="D108" s="2" t="s">
        <v>26</v>
      </c>
      <c r="E108">
        <v>2014</v>
      </c>
      <c r="F108">
        <f>(3174+13398)/89540</f>
        <v>0.18507929417020327</v>
      </c>
      <c r="G108">
        <f>(6411+1730)/51600</f>
        <v>0.15777131782945736</v>
      </c>
      <c r="H108">
        <f>786/8104</f>
        <v>9.6989141164856865E-2</v>
      </c>
      <c r="I108">
        <f>920/129800</f>
        <v>7.0878274268104773E-3</v>
      </c>
      <c r="J108">
        <v>8.01</v>
      </c>
    </row>
    <row r="109" spans="3:10">
      <c r="C109" s="2" t="s">
        <v>24</v>
      </c>
      <c r="D109" s="2" t="s">
        <v>26</v>
      </c>
      <c r="E109">
        <v>2013</v>
      </c>
      <c r="F109">
        <f>17489/92755</f>
        <v>0.18855048245377606</v>
      </c>
      <c r="G109">
        <f>(6991+657)/56400</f>
        <v>0.13560283687943261</v>
      </c>
      <c r="H109">
        <f>-486/7386</f>
        <v>-6.580016246953696E-2</v>
      </c>
      <c r="I109">
        <f>-525/132137</f>
        <v>-3.9731490801213892E-3</v>
      </c>
      <c r="J109">
        <v>6.45</v>
      </c>
    </row>
    <row r="110" spans="3:10">
      <c r="C110" s="2" t="s">
        <v>24</v>
      </c>
      <c r="D110" s="2" t="s">
        <v>26</v>
      </c>
      <c r="E110">
        <v>2012</v>
      </c>
      <c r="F110">
        <f>(4703+16294)/100165</f>
        <v>0.20962412020166724</v>
      </c>
      <c r="G110">
        <f>(8213+1132)/56500</f>
        <v>0.16539823008849558</v>
      </c>
      <c r="H110">
        <f>-1829/8655</f>
        <v>-0.21132293471981514</v>
      </c>
      <c r="I110">
        <f>-2166/131298</f>
        <v>-1.649682401864461E-2</v>
      </c>
      <c r="J110">
        <v>2.92</v>
      </c>
    </row>
    <row r="111" spans="3:10">
      <c r="C111" s="2" t="s">
        <v>24</v>
      </c>
      <c r="D111" s="2" t="s">
        <v>26</v>
      </c>
      <c r="E111">
        <v>2011</v>
      </c>
      <c r="F111">
        <f>(6150+13478)/108102</f>
        <v>0.18156925866311446</v>
      </c>
      <c r="G111">
        <f>(9700+940)/67100</f>
        <v>0.15856929955290611</v>
      </c>
      <c r="H111">
        <f>40/10252</f>
        <v>3.9016777214202106E-3</v>
      </c>
      <c r="I111">
        <f>-190/154880</f>
        <v>-1.2267561983471075E-3</v>
      </c>
      <c r="J111">
        <v>2.1</v>
      </c>
    </row>
    <row r="112" spans="3:10">
      <c r="C112" s="2" t="s">
        <v>24</v>
      </c>
      <c r="D112" s="2" t="s">
        <v>27</v>
      </c>
      <c r="E112">
        <v>2021</v>
      </c>
      <c r="F112">
        <f>845/14745</f>
        <v>5.7307561885384876E-2</v>
      </c>
      <c r="G112">
        <f>(1580+290)/8600</f>
        <v>0.21744186046511627</v>
      </c>
      <c r="H112">
        <f>-120/1789</f>
        <v>-6.7076579094466182E-2</v>
      </c>
      <c r="I112">
        <f>-21/22235</f>
        <v>-9.4445693726107483E-4</v>
      </c>
      <c r="J112">
        <v>1.6</v>
      </c>
    </row>
    <row r="113" spans="3:10">
      <c r="C113" s="2" t="s">
        <v>24</v>
      </c>
      <c r="D113" s="2" t="s">
        <v>27</v>
      </c>
      <c r="E113">
        <v>2020</v>
      </c>
      <c r="F113">
        <f>1158/14855</f>
        <v>7.7953550992931678E-2</v>
      </c>
      <c r="G113">
        <f>(1725+54)/8480</f>
        <v>0.20978773584905661</v>
      </c>
      <c r="H113">
        <f>-162/1951</f>
        <v>-8.3034341363403388E-2</v>
      </c>
      <c r="I113">
        <f>-166/20986</f>
        <v>-7.9100352616029729E-3</v>
      </c>
      <c r="J113">
        <v>0.86199999999999999</v>
      </c>
    </row>
    <row r="114" spans="3:10">
      <c r="C114" s="2" t="s">
        <v>24</v>
      </c>
      <c r="D114" s="2" t="s">
        <v>27</v>
      </c>
      <c r="E114">
        <v>2019</v>
      </c>
      <c r="F114">
        <f>1108/16389</f>
        <v>6.760632131307584E-2</v>
      </c>
      <c r="G114">
        <f>(1850+61)/10012</f>
        <v>0.19087095485417499</v>
      </c>
      <c r="H114">
        <f>30/1994</f>
        <v>1.5045135406218655E-2</v>
      </c>
      <c r="I114">
        <f>42/20278</f>
        <v>2.0712101785185914E-3</v>
      </c>
      <c r="J114">
        <v>1.1419999999999999</v>
      </c>
    </row>
    <row r="115" spans="3:10">
      <c r="C115" s="2" t="s">
        <v>24</v>
      </c>
      <c r="D115" s="2" t="s">
        <v>27</v>
      </c>
      <c r="E115">
        <v>2018</v>
      </c>
      <c r="F115">
        <f>1844/16916</f>
        <v>0.10900922203830693</v>
      </c>
      <c r="G115">
        <f>(1855+66)/11990</f>
        <v>0.16021684737281067</v>
      </c>
      <c r="H115">
        <f>-2/1980</f>
        <v>-1.0101010101010101E-3</v>
      </c>
      <c r="I115">
        <f>-26/21810</f>
        <v>-1.192113709307657E-3</v>
      </c>
      <c r="J115">
        <v>1.52</v>
      </c>
    </row>
    <row r="116" spans="3:10">
      <c r="C116" s="2" t="s">
        <v>24</v>
      </c>
      <c r="D116" s="2" t="s">
        <v>27</v>
      </c>
      <c r="E116">
        <v>2017</v>
      </c>
      <c r="F116">
        <f>5475/20559</f>
        <v>0.26630672698088431</v>
      </c>
      <c r="G116">
        <f>(1878+76)/10593</f>
        <v>0.1844614367978854</v>
      </c>
      <c r="H116">
        <f>40/2114</f>
        <v>1.8921475875118259E-2</v>
      </c>
      <c r="I116">
        <f>52/22776</f>
        <v>2.2831050228310501E-3</v>
      </c>
      <c r="J116">
        <v>2.25</v>
      </c>
    </row>
    <row r="117" spans="3:10">
      <c r="C117" s="2" t="s">
        <v>24</v>
      </c>
      <c r="D117" s="2" t="s">
        <v>27</v>
      </c>
      <c r="E117">
        <v>2016</v>
      </c>
      <c r="F117">
        <f>5850/21309</f>
        <v>0.27453188793467548</v>
      </c>
      <c r="G117">
        <f>(1925+78)/10593</f>
        <v>0.18908713301236665</v>
      </c>
      <c r="H117">
        <f>-266/2103</f>
        <v>-0.12648597242035187</v>
      </c>
      <c r="I117">
        <f>-226/23604</f>
        <v>-9.5746483646839513E-3</v>
      </c>
      <c r="J117">
        <v>2.76</v>
      </c>
    </row>
    <row r="118" spans="3:10">
      <c r="C118" s="2" t="s">
        <v>24</v>
      </c>
      <c r="D118" s="2" t="s">
        <v>27</v>
      </c>
      <c r="E118">
        <v>2015</v>
      </c>
      <c r="F118">
        <f>6575/25727</f>
        <v>0.25556808022699889</v>
      </c>
      <c r="G118">
        <f>(2191+91)/12210</f>
        <v>0.18689598689598691</v>
      </c>
      <c r="H118">
        <f>-425/2399</f>
        <v>-0.17715714881200501</v>
      </c>
      <c r="I118">
        <f>-434/29324</f>
        <v>-1.4800163688446324E-2</v>
      </c>
      <c r="J118">
        <v>4.601</v>
      </c>
    </row>
    <row r="119" spans="3:10">
      <c r="C119" s="2" t="s">
        <v>24</v>
      </c>
      <c r="D119" s="2" t="s">
        <v>27</v>
      </c>
      <c r="E119">
        <v>2014</v>
      </c>
      <c r="F119">
        <f>8308/31820</f>
        <v>0.26109365179132621</v>
      </c>
      <c r="G119">
        <f>(2102+110)/14830</f>
        <v>0.14915711395819284</v>
      </c>
      <c r="H119">
        <f>-102/2280</f>
        <v>-4.4736842105263158E-2</v>
      </c>
      <c r="I119">
        <f>-48/36296</f>
        <v>-1.3224597751818382E-3</v>
      </c>
      <c r="J119">
        <v>6.2</v>
      </c>
    </row>
    <row r="120" spans="3:10">
      <c r="C120" s="2" t="s">
        <v>24</v>
      </c>
      <c r="D120" s="2" t="s">
        <v>27</v>
      </c>
      <c r="E120">
        <v>2013</v>
      </c>
      <c r="F120">
        <f>9125/33326</f>
        <v>0.27381023825241552</v>
      </c>
      <c r="G120">
        <f>(2203+286)/16775</f>
        <v>0.14837555886736215</v>
      </c>
      <c r="H120">
        <f>-261/2387</f>
        <v>-0.10934227063259322</v>
      </c>
      <c r="I120">
        <f>-668/37601</f>
        <v>-1.776548496050637E-2</v>
      </c>
      <c r="J120">
        <v>4.5</v>
      </c>
    </row>
    <row r="121" spans="3:10">
      <c r="C121" s="2" t="s">
        <v>24</v>
      </c>
      <c r="D121" s="2" t="s">
        <v>27</v>
      </c>
      <c r="E121">
        <v>2012</v>
      </c>
      <c r="F121">
        <f>5501/24588</f>
        <v>0.22372702131120872</v>
      </c>
      <c r="G121">
        <f>(2731+311)/14859</f>
        <v>0.20472440944881889</v>
      </c>
      <c r="H121">
        <f>-996/2653</f>
        <v>-0.37542404824726722</v>
      </c>
      <c r="I121">
        <f>-919/40922</f>
        <v>-2.2457357900395877E-2</v>
      </c>
      <c r="J121">
        <v>2.16</v>
      </c>
    </row>
    <row r="122" spans="3:10">
      <c r="C122" s="2" t="s">
        <v>24</v>
      </c>
      <c r="D122" s="2" t="s">
        <v>27</v>
      </c>
      <c r="E122">
        <v>2011</v>
      </c>
      <c r="F122">
        <f>4378/25419</f>
        <v>0.17223336873991896</v>
      </c>
      <c r="G122">
        <f>(3741+395)/15408</f>
        <v>0.26843198338525442</v>
      </c>
      <c r="H122">
        <f>-433/3517</f>
        <v>-0.12311629229456923</v>
      </c>
      <c r="I122">
        <f>-505/72037</f>
        <v>-7.0102863806099647E-3</v>
      </c>
      <c r="J12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2022-05-20T12:21:51Z</dcterms:created>
  <dcterms:modified xsi:type="dcterms:W3CDTF">2022-05-20T12:40:25Z</dcterms:modified>
  <cp:category/>
  <cp:contentStatus/>
</cp:coreProperties>
</file>