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F1262E38-DA59-4A2C-BFA2-87AE5C3591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1" i="12" l="1"/>
  <c r="J440" i="12"/>
  <c r="J441" i="12" s="1"/>
  <c r="H440" i="12"/>
  <c r="I225" i="12"/>
  <c r="J224" i="12"/>
  <c r="J225" i="12" s="1"/>
  <c r="I223" i="12"/>
  <c r="J222" i="12"/>
  <c r="J221" i="12"/>
  <c r="J220" i="12"/>
  <c r="J223" i="12" s="1"/>
  <c r="I219" i="12"/>
  <c r="J218" i="12"/>
  <c r="J219" i="12" s="1"/>
  <c r="I439" i="12"/>
  <c r="J438" i="12"/>
  <c r="J437" i="12"/>
  <c r="H437" i="12"/>
  <c r="J436" i="12"/>
  <c r="J439" i="12" s="1"/>
  <c r="H436" i="12"/>
  <c r="I435" i="12"/>
  <c r="J434" i="12"/>
  <c r="J435" i="12" s="1"/>
  <c r="J413" i="12"/>
  <c r="I413" i="12"/>
  <c r="J412" i="12"/>
  <c r="H412" i="12"/>
  <c r="J209" i="12"/>
  <c r="I209" i="12"/>
  <c r="J207" i="12"/>
  <c r="I207" i="12"/>
  <c r="J202" i="12"/>
  <c r="I202" i="12"/>
  <c r="J200" i="12"/>
  <c r="I200" i="12"/>
  <c r="J199" i="12"/>
  <c r="J198" i="12"/>
  <c r="J197" i="12"/>
  <c r="J182" i="12"/>
  <c r="I182" i="12"/>
  <c r="I180" i="12"/>
  <c r="J179" i="12"/>
  <c r="J178" i="12"/>
  <c r="J177" i="12"/>
  <c r="J176" i="12"/>
  <c r="J175" i="12"/>
  <c r="J174" i="12"/>
  <c r="J173" i="12"/>
  <c r="J172" i="12"/>
  <c r="I405" i="12"/>
  <c r="J404" i="12"/>
  <c r="J405" i="12" s="1"/>
  <c r="H404" i="12"/>
  <c r="J164" i="12"/>
  <c r="I164" i="12"/>
  <c r="J159" i="12"/>
  <c r="I159" i="12"/>
  <c r="J157" i="12"/>
  <c r="I157" i="12"/>
  <c r="I155" i="12"/>
  <c r="J154" i="12"/>
  <c r="J155" i="12" s="1"/>
  <c r="I153" i="12"/>
  <c r="J152" i="12"/>
  <c r="J153" i="12" s="1"/>
  <c r="I151" i="12"/>
  <c r="J150" i="12"/>
  <c r="J151" i="12" s="1"/>
  <c r="J180" i="12" l="1"/>
  <c r="J392" i="12"/>
  <c r="J393" i="12" s="1"/>
  <c r="I392" i="12"/>
  <c r="I393" i="12" s="1"/>
  <c r="I391" i="12"/>
  <c r="J390" i="12"/>
  <c r="J391" i="12" s="1"/>
  <c r="I375" i="12"/>
  <c r="J374" i="12"/>
  <c r="J373" i="12"/>
  <c r="J372" i="12"/>
  <c r="J371" i="12"/>
  <c r="J370" i="12"/>
  <c r="J369" i="12"/>
  <c r="J368" i="12"/>
  <c r="J366" i="12"/>
  <c r="J367" i="12" s="1"/>
  <c r="I366" i="12"/>
  <c r="I367" i="12" s="1"/>
  <c r="H366" i="12"/>
  <c r="J364" i="12"/>
  <c r="H364" i="12"/>
  <c r="J363" i="12"/>
  <c r="H363" i="12"/>
  <c r="J362" i="12"/>
  <c r="I362" i="12"/>
  <c r="I365" i="12" s="1"/>
  <c r="H362" i="12"/>
  <c r="J360" i="12"/>
  <c r="H360" i="12"/>
  <c r="J359" i="12"/>
  <c r="I359" i="12"/>
  <c r="I361" i="12" s="1"/>
  <c r="H359" i="12"/>
  <c r="I358" i="12"/>
  <c r="J357" i="12"/>
  <c r="H357" i="12"/>
  <c r="J356" i="12"/>
  <c r="H356" i="12"/>
  <c r="J355" i="12"/>
  <c r="H355" i="12"/>
  <c r="J354" i="12"/>
  <c r="H354" i="12"/>
  <c r="J353" i="12"/>
  <c r="H353" i="12"/>
  <c r="J352" i="12"/>
  <c r="H352" i="12"/>
  <c r="J351" i="12"/>
  <c r="H351" i="12"/>
  <c r="I350" i="12"/>
  <c r="J349" i="12"/>
  <c r="J350" i="12" s="1"/>
  <c r="I340" i="12"/>
  <c r="J339" i="12"/>
  <c r="J338" i="12"/>
  <c r="J337" i="12"/>
  <c r="J336" i="12"/>
  <c r="J335" i="12"/>
  <c r="J334" i="12"/>
  <c r="J333" i="12"/>
  <c r="J332" i="12"/>
  <c r="J330" i="12"/>
  <c r="J329" i="12"/>
  <c r="I329" i="12"/>
  <c r="I331" i="12" s="1"/>
  <c r="H329" i="12"/>
  <c r="I326" i="12"/>
  <c r="J325" i="12"/>
  <c r="J326" i="12" s="1"/>
  <c r="H325" i="12"/>
  <c r="J290" i="12"/>
  <c r="J291" i="12" s="1"/>
  <c r="I290" i="12"/>
  <c r="I291" i="12" s="1"/>
  <c r="H290" i="12"/>
  <c r="J288" i="12"/>
  <c r="J289" i="12" s="1"/>
  <c r="I288" i="12"/>
  <c r="I289" i="12" s="1"/>
  <c r="H288" i="12"/>
  <c r="J286" i="12"/>
  <c r="J287" i="12" s="1"/>
  <c r="I286" i="12"/>
  <c r="I287" i="12" s="1"/>
  <c r="H286" i="12"/>
  <c r="J284" i="12"/>
  <c r="J285" i="12" s="1"/>
  <c r="I284" i="12"/>
  <c r="I285" i="12" s="1"/>
  <c r="H284" i="12"/>
  <c r="J149" i="12"/>
  <c r="I149" i="12"/>
  <c r="J147" i="12"/>
  <c r="I147" i="12"/>
  <c r="J145" i="12"/>
  <c r="I145" i="12"/>
  <c r="J130" i="12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J358" i="12" l="1"/>
  <c r="J340" i="12"/>
  <c r="J361" i="12"/>
  <c r="J375" i="12"/>
  <c r="J331" i="12"/>
  <c r="J365" i="12"/>
  <c r="I278" i="12"/>
  <c r="J277" i="12"/>
  <c r="H277" i="12"/>
  <c r="J276" i="12"/>
  <c r="J275" i="12"/>
  <c r="H275" i="12"/>
  <c r="J274" i="12"/>
  <c r="H274" i="12"/>
  <c r="J273" i="12"/>
  <c r="H273" i="12"/>
  <c r="J271" i="12"/>
  <c r="J272" i="12" s="1"/>
  <c r="I271" i="12"/>
  <c r="I272" i="12" s="1"/>
  <c r="H271" i="12"/>
  <c r="J259" i="12"/>
  <c r="J260" i="12" s="1"/>
  <c r="I259" i="12"/>
  <c r="I260" i="12" s="1"/>
  <c r="H259" i="12"/>
  <c r="J257" i="12"/>
  <c r="J258" i="12" s="1"/>
  <c r="I257" i="12"/>
  <c r="I258" i="12" s="1"/>
  <c r="H257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78" i="12"/>
  <c r="J115" i="12"/>
  <c r="J57" i="12"/>
</calcChain>
</file>

<file path=xl/sharedStrings.xml><?xml version="1.0" encoding="utf-8"?>
<sst xmlns="http://schemas.openxmlformats.org/spreadsheetml/2006/main" count="1227" uniqueCount="755">
  <si>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</si>
  <si>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</si>
  <si>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</si>
  <si>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</si>
  <si>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</si>
  <si>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</si>
  <si>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</si>
  <si>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</si>
  <si>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</si>
  <si>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</si>
  <si>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</si>
  <si>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</si>
  <si>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</si>
  <si>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</si>
  <si>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</si>
  <si>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</si>
  <si>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</si>
  <si>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</si>
  <si>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</si>
  <si>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</si>
  <si>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</si>
  <si>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</si>
  <si>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</si>
  <si>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</si>
  <si>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</si>
  <si>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</si>
  <si>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</si>
  <si>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</si>
  <si>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</si>
  <si>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</si>
  <si>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</si>
  <si>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</si>
  <si>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</si>
  <si>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</si>
  <si>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</si>
  <si>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</si>
  <si>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</si>
  <si>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</si>
  <si>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</si>
  <si>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</si>
  <si>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</si>
  <si>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</si>
  <si>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</si>
  <si>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</si>
  <si>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</si>
  <si>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</si>
  <si>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</si>
  <si>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</si>
  <si>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</si>
  <si>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</si>
  <si>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</si>
  <si>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</si>
  <si>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</si>
  <si>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</si>
  <si>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</si>
  <si>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</si>
  <si>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</si>
  <si>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</si>
  <si>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</si>
  <si>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</si>
  <si>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</si>
  <si>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</si>
  <si>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</si>
  <si>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</si>
  <si>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</si>
  <si>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</si>
  <si>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</si>
  <si>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</si>
  <si>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</si>
  <si>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</si>
  <si>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</si>
  <si>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</si>
  <si>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</si>
  <si>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</si>
  <si>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</si>
  <si>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</si>
  <si>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</si>
  <si>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</si>
  <si>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</si>
  <si>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</si>
  <si>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</si>
  <si>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</si>
  <si>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</si>
  <si>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</si>
  <si>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</si>
  <si>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</si>
  <si>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</si>
  <si>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</si>
  <si>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</si>
  <si>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</si>
  <si>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</si>
  <si>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</si>
  <si>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</si>
  <si>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</si>
  <si>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</si>
  <si>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</si>
  <si>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</si>
  <si>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</si>
  <si>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</si>
  <si>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</si>
  <si>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</si>
  <si>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</si>
  <si>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</si>
  <si>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</si>
  <si>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</si>
  <si>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</si>
  <si>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</si>
  <si>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</si>
  <si>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</si>
  <si>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</si>
  <si>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</si>
  <si>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</si>
  <si>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</si>
  <si>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</si>
  <si>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</si>
  <si>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</si>
  <si>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</si>
  <si>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</si>
  <si>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</si>
  <si>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</si>
  <si>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</si>
  <si>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</si>
  <si>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</si>
  <si>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</si>
  <si>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</si>
  <si>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</si>
  <si>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</si>
  <si>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</si>
  <si>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</si>
  <si>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</si>
  <si>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</si>
  <si>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</si>
  <si>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</si>
  <si>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</si>
  <si>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</si>
  <si>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</si>
  <si>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</si>
  <si>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</si>
  <si>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</si>
  <si>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</si>
  <si>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</si>
  <si>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</si>
  <si>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</si>
  <si>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</si>
  <si>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</si>
  <si>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</si>
  <si>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</si>
  <si>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</si>
  <si>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</si>
  <si>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</si>
  <si>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</si>
  <si>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</si>
  <si>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</si>
  <si>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</si>
  <si>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</si>
  <si>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</si>
  <si>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</si>
  <si>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</si>
  <si>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</si>
  <si>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</si>
  <si>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</si>
  <si>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</si>
  <si>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</si>
  <si>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</si>
  <si>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</si>
  <si>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</si>
  <si>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</si>
  <si>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</si>
  <si>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</si>
  <si>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</si>
  <si>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</si>
  <si>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</si>
  <si>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</si>
  <si>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</si>
  <si>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</si>
  <si>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</si>
  <si>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</si>
  <si>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</si>
  <si>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</si>
  <si>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</si>
  <si>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</si>
  <si>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</si>
  <si>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</si>
  <si>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</si>
  <si>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</si>
  <si>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</si>
  <si>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</si>
  <si>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</si>
  <si>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</si>
  <si>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</si>
  <si>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</si>
  <si>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</si>
  <si>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</si>
  <si>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</si>
  <si>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</si>
  <si>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</si>
  <si>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</si>
  <si>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</si>
  <si>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</si>
  <si>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</si>
  <si>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</si>
  <si>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</si>
  <si>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</si>
  <si>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</si>
  <si>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</si>
  <si>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</si>
  <si>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</si>
  <si>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</si>
  <si>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</si>
  <si>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</si>
  <si>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</si>
  <si>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</si>
  <si>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</si>
  <si>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</si>
  <si>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</si>
  <si>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</si>
  <si>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</si>
  <si>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</si>
  <si>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</si>
  <si>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</si>
  <si>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</si>
  <si>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</si>
  <si>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</si>
  <si>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</si>
  <si>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</si>
  <si>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</si>
  <si>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</si>
  <si>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</si>
  <si>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</si>
  <si>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</si>
  <si>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</si>
  <si>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</si>
  <si>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</si>
  <si>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</si>
  <si>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</si>
  <si>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</si>
  <si>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</si>
  <si>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</si>
  <si>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</si>
  <si>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</si>
  <si>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</si>
  <si>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</si>
  <si>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</si>
  <si>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</si>
  <si>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</si>
  <si>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</si>
  <si>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</si>
  <si>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</si>
  <si>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</si>
  <si>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</si>
  <si>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</si>
  <si>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</si>
  <si>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</si>
  <si>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</si>
  <si>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</si>
  <si>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</si>
  <si>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</si>
  <si>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</si>
  <si>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</si>
  <si>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</si>
  <si>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</si>
  <si>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</si>
  <si>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</si>
  <si>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</si>
  <si>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</si>
  <si>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</si>
  <si>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</si>
  <si>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</si>
  <si>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</si>
  <si>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</si>
  <si>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</si>
  <si>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</si>
  <si>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</si>
  <si>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</si>
  <si>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</si>
  <si>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</si>
  <si>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</si>
  <si>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</si>
  <si>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</si>
  <si>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</si>
  <si>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</si>
  <si>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</si>
  <si>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</si>
  <si>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</si>
  <si>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</si>
  <si>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</si>
  <si>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</si>
  <si>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</si>
  <si>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</si>
  <si>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</si>
  <si>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</si>
  <si>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</si>
  <si>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</si>
  <si>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</si>
  <si>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</si>
  <si>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</si>
  <si>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</si>
  <si>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</si>
  <si>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</si>
  <si>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</si>
  <si>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</si>
  <si>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</si>
  <si>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</si>
  <si>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</si>
  <si>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</si>
  <si>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</si>
  <si>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</si>
  <si>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</si>
  <si>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</si>
  <si>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</si>
  <si>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</si>
  <si>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</si>
  <si>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</si>
  <si>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</si>
  <si>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</si>
  <si>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</si>
  <si>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</si>
  <si>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</si>
  <si>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</si>
  <si>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</si>
  <si>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</si>
  <si>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</si>
  <si>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</si>
  <si>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</si>
  <si>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</si>
  <si>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</si>
  <si>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</si>
  <si>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</si>
  <si>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</si>
  <si>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</si>
  <si>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</si>
  <si>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</si>
  <si>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</si>
  <si>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</si>
  <si>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</si>
  <si>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</si>
  <si>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</si>
  <si>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</si>
  <si>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</si>
  <si>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</si>
  <si>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</si>
  <si>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</si>
  <si>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</si>
  <si>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</si>
  <si>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</si>
  <si>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</si>
  <si>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</si>
  <si>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</si>
  <si>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</si>
  <si>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</si>
  <si>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</si>
  <si>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</si>
  <si>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</si>
  <si>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</si>
  <si>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</si>
  <si>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</si>
  <si>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</si>
  <si>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</si>
  <si>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</si>
  <si>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</si>
  <si>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</si>
  <si>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</si>
  <si>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</si>
  <si>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</si>
  <si>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</si>
  <si>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</si>
  <si>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</si>
  <si>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</si>
  <si>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</si>
  <si>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</si>
  <si>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</si>
  <si>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</si>
  <si>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</si>
  <si>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</si>
  <si>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</si>
  <si>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</si>
  <si>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</si>
  <si>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</si>
  <si>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</si>
  <si>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</si>
  <si>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</si>
  <si>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</si>
  <si>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</si>
  <si>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</si>
  <si>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</si>
  <si>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</si>
  <si>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</si>
  <si>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</si>
  <si>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</si>
  <si>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</si>
  <si>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</si>
  <si>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</si>
  <si>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</si>
  <si>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</si>
  <si>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</si>
  <si>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</si>
  <si>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</si>
  <si>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</si>
  <si>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</si>
  <si>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</si>
  <si>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</si>
  <si>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</si>
  <si>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</si>
  <si>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</si>
  <si>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</si>
  <si>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</si>
  <si>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</si>
  <si>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</si>
  <si>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</si>
  <si>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</si>
  <si>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</si>
  <si>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</si>
  <si>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</si>
  <si>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</si>
  <si>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</si>
  <si>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</si>
  <si>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</si>
  <si>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</si>
  <si>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</si>
  <si>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</si>
  <si>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</si>
  <si>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</si>
  <si>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</si>
  <si>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</si>
  <si>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</si>
  <si>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</si>
  <si>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</si>
  <si>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</si>
  <si>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</si>
  <si>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</si>
  <si>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</si>
  <si>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</si>
  <si>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</si>
  <si>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</si>
  <si>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</si>
  <si>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</si>
  <si>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</si>
  <si>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</si>
  <si>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</si>
  <si>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</si>
  <si>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</si>
  <si>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</si>
  <si>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</si>
  <si>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</si>
  <si>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</si>
  <si>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</si>
  <si>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</si>
  <si>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</si>
  <si>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</si>
  <si>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</si>
  <si>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</si>
  <si>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</si>
  <si>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</si>
  <si>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</si>
  <si>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</si>
  <si>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</si>
  <si>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</si>
  <si>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</si>
  <si>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</si>
  <si>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</si>
  <si>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</si>
  <si>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</si>
  <si>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</si>
  <si>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</si>
  <si>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</si>
  <si>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</si>
  <si>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</si>
  <si>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</si>
  <si>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</si>
  <si>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</si>
  <si>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</si>
  <si>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</si>
  <si>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</si>
  <si>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</si>
  <si>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</si>
  <si>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</si>
  <si>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</si>
  <si>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</si>
  <si>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</si>
  <si>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</si>
  <si>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</si>
  <si>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</si>
  <si>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</si>
  <si>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</si>
  <si>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</si>
  <si>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</si>
  <si>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</si>
  <si>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</si>
  <si>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</si>
  <si>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</si>
  <si>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</si>
  <si>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</si>
  <si>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</si>
  <si>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</si>
  <si>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</si>
  <si>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</si>
  <si>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</si>
  <si>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</si>
  <si>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</si>
  <si>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</si>
  <si>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</si>
  <si>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</si>
  <si>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</si>
  <si>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</si>
  <si>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</si>
  <si>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</si>
  <si>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</si>
  <si>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</si>
  <si>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</si>
  <si>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</si>
  <si>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</si>
  <si>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</si>
  <si>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</si>
  <si>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</si>
  <si>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</si>
  <si>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</si>
  <si>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</si>
  <si>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</si>
  <si>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</si>
  <si>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</si>
  <si>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</si>
  <si>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</si>
  <si>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</si>
  <si>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</si>
  <si>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</si>
  <si>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</si>
  <si>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</si>
  <si>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</si>
  <si>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</si>
  <si>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</si>
  <si>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</si>
  <si>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</si>
  <si>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F1252</t>
  </si>
  <si>
    <t>680006101479 15888361117</t>
  </si>
  <si>
    <r>
      <rPr>
        <sz val="14"/>
        <color theme="1"/>
        <rFont val="宋体"/>
        <charset val="134"/>
      </rPr>
      <t>插销</t>
    </r>
    <r>
      <rPr>
        <sz val="14"/>
        <color theme="1"/>
        <rFont val="Comic Sans MS"/>
        <charset val="134"/>
      </rPr>
      <t xml:space="preserve"> bolt </t>
    </r>
    <r>
      <rPr>
        <sz val="14"/>
        <color theme="1"/>
        <rFont val="宋体"/>
        <charset val="134"/>
      </rPr>
      <t>荧光灯</t>
    </r>
    <r>
      <rPr>
        <sz val="14"/>
        <color theme="1"/>
        <rFont val="Comic Sans MS"/>
        <charset val="134"/>
      </rPr>
      <t>Fluorescent lamp</t>
    </r>
  </si>
  <si>
    <t>F1261</t>
  </si>
  <si>
    <t>F1271
液体liquid</t>
  </si>
  <si>
    <t>冷冻油Refrigerant oil</t>
  </si>
  <si>
    <r>
      <t>F1258
运费</t>
    </r>
    <r>
      <rPr>
        <sz val="14"/>
        <color theme="1"/>
        <rFont val="Comic Sans MS"/>
        <family val="4"/>
      </rPr>
      <t>973RMB
退税TR</t>
    </r>
  </si>
  <si>
    <t>F1274</t>
  </si>
  <si>
    <t>F1268
退税TR</t>
  </si>
  <si>
    <t>F1270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</si>
  <si>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</si>
  <si>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</si>
  <si>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</si>
  <si>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</si>
  <si>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</si>
  <si>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</si>
  <si>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</si>
  <si>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</si>
  <si>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F1286
退税TR</t>
  </si>
  <si>
    <t>F1284
退税TR</t>
  </si>
  <si>
    <t>F1291
BRANDED</t>
  </si>
  <si>
    <t>S0084699</t>
  </si>
  <si>
    <t>279/FU/ENI/SEA</t>
  </si>
  <si>
    <t>1-25</t>
  </si>
  <si>
    <t>羽毛Feather</t>
  </si>
  <si>
    <t>25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</si>
  <si>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</si>
  <si>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</si>
  <si>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</si>
  <si>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</si>
  <si>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</si>
  <si>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</si>
  <si>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</si>
  <si>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</si>
  <si>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</si>
  <si>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</si>
  <si>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</si>
  <si>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</si>
  <si>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</si>
  <si>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</si>
  <si>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</si>
  <si>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</si>
  <si>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</si>
  <si>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</si>
  <si>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</si>
  <si>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r>
      <t>金属卤化物灯</t>
    </r>
    <r>
      <rPr>
        <sz val="14"/>
        <color theme="1"/>
        <rFont val="Comic Sans MS"/>
        <charset val="134"/>
      </rPr>
      <t>Metal halide lamp</t>
    </r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</si>
  <si>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</si>
  <si>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</si>
  <si>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</si>
  <si>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</si>
  <si>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</si>
  <si>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</si>
  <si>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</si>
  <si>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</si>
  <si>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</si>
  <si>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</si>
  <si>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</si>
  <si>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</si>
  <si>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</si>
  <si>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</si>
  <si>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</si>
  <si>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</si>
  <si>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</si>
  <si>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</si>
  <si>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</si>
  <si>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</si>
  <si>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</si>
  <si>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</si>
  <si>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</si>
  <si>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</si>
  <si>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</si>
  <si>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</si>
  <si>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</si>
  <si>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</si>
  <si>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</si>
  <si>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</si>
  <si>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</si>
  <si>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</si>
  <si>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</si>
  <si>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</si>
  <si>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S0085252</t>
  </si>
  <si>
    <t>0009834</t>
  </si>
  <si>
    <t>279/FRD/SEA</t>
  </si>
  <si>
    <t>1-38</t>
  </si>
  <si>
    <t>药膏unguent</t>
  </si>
  <si>
    <t>膏状paste</t>
  </si>
  <si>
    <t>38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</si>
  <si>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</si>
  <si>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</si>
  <si>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</si>
  <si>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</si>
  <si>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</si>
  <si>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</si>
  <si>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</si>
  <si>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</si>
  <si>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</si>
  <si>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</si>
  <si>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</si>
  <si>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S0085584</t>
  </si>
  <si>
    <r>
      <t>安能：</t>
    </r>
    <r>
      <rPr>
        <sz val="14"/>
        <color theme="1"/>
        <rFont val="Comic Sans MS"/>
        <charset val="134"/>
      </rPr>
      <t>300575892332</t>
    </r>
  </si>
  <si>
    <t>279/HS/SEA</t>
  </si>
  <si>
    <t>S0085711</t>
  </si>
  <si>
    <t>1-50</t>
  </si>
  <si>
    <t>51-100</t>
  </si>
  <si>
    <t>101-107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</si>
  <si>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</si>
  <si>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</si>
  <si>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</si>
  <si>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</si>
  <si>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</si>
  <si>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</si>
  <si>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</si>
  <si>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</si>
  <si>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</si>
  <si>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</si>
  <si>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</si>
  <si>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</si>
  <si>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</si>
  <si>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</si>
  <si>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</si>
  <si>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</si>
  <si>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</si>
  <si>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</si>
  <si>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</si>
  <si>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</si>
  <si>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</si>
  <si>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</si>
  <si>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</si>
  <si>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</si>
  <si>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</si>
  <si>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</si>
  <si>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</si>
  <si>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</si>
  <si>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</si>
  <si>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</si>
  <si>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</si>
  <si>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</si>
  <si>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</si>
  <si>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</si>
  <si>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</si>
  <si>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</si>
  <si>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</si>
  <si>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</si>
  <si>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</si>
  <si>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</si>
  <si>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</si>
  <si>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</si>
  <si>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</si>
  <si>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</si>
  <si>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</si>
  <si>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</si>
  <si>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</si>
  <si>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</si>
  <si>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</si>
  <si>
    <t>S0085906</t>
  </si>
  <si>
    <t>0009771 0663-2939593</t>
  </si>
  <si>
    <t>软膏unguent</t>
  </si>
  <si>
    <t>50</t>
  </si>
  <si>
    <t>W10</t>
  </si>
  <si>
    <t>A0035490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</si>
  <si>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1543238757875</t>
    </r>
  </si>
  <si>
    <t>鞋子shoe</t>
  </si>
  <si>
    <t>W11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</si>
  <si>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1543238757884</t>
    </r>
  </si>
  <si>
    <t>X14</t>
  </si>
  <si>
    <t>A0035531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</si>
  <si>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1543238784047</t>
    </r>
  </si>
  <si>
    <t>S0086105</t>
  </si>
  <si>
    <t>hylh25030031 15194677757</t>
  </si>
  <si>
    <t>279/W99/BMK/SEA</t>
  </si>
  <si>
    <t>食用明胶Engine mount</t>
  </si>
  <si>
    <t>颗粒</t>
  </si>
  <si>
    <t>S0086112</t>
  </si>
  <si>
    <t>1-250</t>
  </si>
  <si>
    <t>250</t>
  </si>
  <si>
    <t>S0086054</t>
  </si>
  <si>
    <t>279/UIE/WW/SEA</t>
  </si>
  <si>
    <t>胡须套Beard net</t>
  </si>
  <si>
    <t>S0086061</t>
  </si>
  <si>
    <t>110031377388 /18111611101</t>
  </si>
  <si>
    <t>1-27</t>
  </si>
  <si>
    <t>28-90</t>
  </si>
  <si>
    <t>90</t>
  </si>
  <si>
    <t>S0086042</t>
  </si>
  <si>
    <t>1-58</t>
  </si>
  <si>
    <t>机脚胶Rubber for sewing feet</t>
  </si>
  <si>
    <t>58</t>
  </si>
  <si>
    <t>S0086240</t>
  </si>
  <si>
    <r>
      <t>安能：</t>
    </r>
    <r>
      <rPr>
        <sz val="14"/>
        <color theme="1"/>
        <rFont val="Comic Sans MS"/>
        <charset val="134"/>
      </rPr>
      <t>300598805723</t>
    </r>
  </si>
  <si>
    <t>胶水glue</t>
  </si>
  <si>
    <t>5-7</t>
  </si>
  <si>
    <t>S0086129</t>
  </si>
  <si>
    <t>尾灯taillight</t>
  </si>
  <si>
    <t>S0086257</t>
  </si>
  <si>
    <t>202507294831</t>
  </si>
  <si>
    <t>279/W99/GMU/SEA</t>
  </si>
  <si>
    <t>1-5</t>
  </si>
  <si>
    <t>密封胶sealant</t>
  </si>
  <si>
    <t>S0086413</t>
  </si>
  <si>
    <t>935193652 /18969779651</t>
  </si>
  <si>
    <t>气缸盖Cylinder head</t>
  </si>
  <si>
    <t>S0086416</t>
  </si>
  <si>
    <t>800118483014 /15130082868</t>
  </si>
  <si>
    <t>279/W99/CY/SEA</t>
  </si>
  <si>
    <t>静踝脚Static ankle crura</t>
  </si>
  <si>
    <t>7-9</t>
  </si>
  <si>
    <t>锁紧lock</t>
  </si>
  <si>
    <t>双轴动踝Double axis ankle</t>
  </si>
  <si>
    <t>A02</t>
  </si>
  <si>
    <t>A0035565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</si>
  <si>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1543238784108</t>
    </r>
  </si>
  <si>
    <t>A0035625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</si>
  <si>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1548346494252</t>
    </r>
  </si>
  <si>
    <t>五金配件Hardware accessories</t>
  </si>
  <si>
    <t>B19</t>
  </si>
  <si>
    <t>E67</t>
  </si>
  <si>
    <t>A0035722</t>
  </si>
  <si>
    <r>
      <t>上衣</t>
    </r>
    <r>
      <rPr>
        <sz val="14"/>
        <color theme="1"/>
        <rFont val="Comic Sans MS"/>
        <charset val="134"/>
      </rPr>
      <t xml:space="preserve">  tops</t>
    </r>
  </si>
  <si>
    <t>S0086450</t>
  </si>
  <si>
    <t>S0086617</t>
  </si>
  <si>
    <t>519211802453 /13427358735</t>
  </si>
  <si>
    <t>智能开关触屏控制面板Smart switch touch screen control panel</t>
  </si>
  <si>
    <t>S0086581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</si>
</sst>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51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15" fontId="13" fillId="6" borderId="1" xfId="0" applyNumberFormat="1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168" fontId="36" fillId="2" borderId="3" xfId="0" applyNumberFormat="1" applyFont="1" applyFill="1" applyBorder="1" applyAlignment="1">
      <alignment horizontal="center" vertical="center" wrapText="1"/>
    </xf>
    <xf numFmtId="15" fontId="35" fillId="0" borderId="1" xfId="0" applyNumberFormat="1" applyFont="1" applyBorder="1" applyAlignment="1">
      <alignment horizontal="center" vertical="center" wrapText="1"/>
    </xf>
    <xf numFmtId="15" fontId="35" fillId="6" borderId="1" xfId="0" applyNumberFormat="1" applyFont="1" applyFill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168" fontId="35" fillId="0" borderId="4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170" fontId="24" fillId="3" borderId="0" xfId="0" applyNumberFormat="1" applyFont="1" applyFill="1">
      <alignment vertical="center"/>
    </xf>
    <xf numFmtId="0" fontId="15" fillId="10" borderId="6" xfId="0" applyFont="1" applyFill="1" applyBorder="1" applyAlignment="1">
      <alignment vertical="center" wrapText="1"/>
    </xf>
    <xf numFmtId="0" fontId="15" fillId="10" borderId="19" xfId="0" applyFont="1" applyFill="1" applyBorder="1" applyAlignment="1">
      <alignment vertical="center" wrapText="1"/>
    </xf>
    <xf numFmtId="0" fontId="15" fillId="10" borderId="2" xfId="0" applyFont="1" applyFill="1" applyBorder="1" applyAlignment="1">
      <alignment vertical="center" wrapText="1"/>
    </xf>
    <xf numFmtId="0" fontId="35" fillId="16" borderId="1" xfId="0" applyFont="1" applyFill="1" applyBorder="1" applyAlignment="1">
      <alignment horizontal="center" vertical="center" wrapText="1"/>
    </xf>
    <xf numFmtId="174" fontId="13" fillId="6" borderId="1" xfId="0" applyNumberFormat="1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/>
    </xf>
    <xf numFmtId="168" fontId="36" fillId="2" borderId="1" xfId="0" applyNumberFormat="1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35" fillId="6" borderId="3" xfId="0" quotePrefix="1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5" fontId="35" fillId="0" borderId="3" xfId="0" applyNumberFormat="1" applyFont="1" applyBorder="1" applyAlignment="1">
      <alignment horizontal="center" vertical="center" wrapText="1"/>
    </xf>
    <xf numFmtId="15" fontId="35" fillId="6" borderId="3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0" fontId="37" fillId="10" borderId="1" xfId="0" applyNumberFormat="1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447"/>
  <sheetViews>
    <sheetView tabSelected="1" topLeftCell="A2" zoomScale="70" zoomScaleNormal="70" workbookViewId="0">
      <pane xSplit="4" ySplit="2" topLeftCell="G427" activePane="bottomRight" state="frozen"/>
      <selection activeCell="A2" sqref="A2"/>
      <selection pane="topRight" activeCell="E2" sqref="E2"/>
      <selection pane="bottomLeft" activeCell="A3" sqref="A3"/>
      <selection pane="bottomRight" activeCell="B446" sqref="B446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4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243" t="s">
        <v>36</v>
      </c>
      <c r="S1" s="244"/>
      <c r="T1" s="244"/>
      <c r="U1" s="244"/>
      <c r="V1" s="244"/>
      <c r="W1" s="244"/>
      <c r="X1" s="244"/>
      <c r="Y1" s="245" t="s">
        <v>40</v>
      </c>
      <c r="Z1" s="246"/>
      <c r="AA1" s="246"/>
      <c r="AB1" s="246"/>
      <c r="AC1" s="246"/>
      <c r="AD1" s="246"/>
      <c r="AE1" s="246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243" t="s">
        <v>36</v>
      </c>
      <c r="S2" s="244"/>
      <c r="T2" s="244"/>
      <c r="U2" s="244"/>
      <c r="V2" s="244"/>
      <c r="W2" s="244"/>
      <c r="X2" s="244"/>
      <c r="Y2" s="245" t="s">
        <v>40</v>
      </c>
      <c r="Z2" s="246"/>
      <c r="AA2" s="246"/>
      <c r="AB2" s="246"/>
      <c r="AC2" s="246"/>
      <c r="AD2" s="246"/>
      <c r="AE2" s="246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47" t="s">
        <v>0</v>
      </c>
      <c r="L3" s="247"/>
      <c r="M3" s="247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0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48" t="s">
        <v>445</v>
      </c>
      <c r="B5" s="248"/>
      <c r="C5" s="49"/>
      <c r="D5" s="49"/>
      <c r="E5" s="140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0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5" t="s">
        <v>211</v>
      </c>
      <c r="B7" s="113" t="s">
        <v>212</v>
      </c>
      <c r="C7" s="113" t="s">
        <v>213</v>
      </c>
      <c r="D7" s="113" t="s">
        <v>214</v>
      </c>
      <c r="E7" s="83">
        <v>45659</v>
      </c>
      <c r="F7" s="113">
        <v>1</v>
      </c>
      <c r="G7" s="113" t="s">
        <v>97</v>
      </c>
      <c r="H7" s="113">
        <v>1</v>
      </c>
      <c r="I7" s="113">
        <v>1.3</v>
      </c>
      <c r="J7" s="114">
        <v>1.1016E-2</v>
      </c>
      <c r="K7" s="113">
        <v>34</v>
      </c>
      <c r="L7" s="113">
        <v>27</v>
      </c>
      <c r="M7" s="113">
        <v>12</v>
      </c>
      <c r="N7" s="113"/>
      <c r="O7" s="115" t="s">
        <v>24</v>
      </c>
    </row>
    <row r="8" spans="1:39" s="11" customFormat="1" ht="22.5">
      <c r="A8" s="146"/>
      <c r="B8" s="127"/>
      <c r="C8" s="127"/>
      <c r="D8" s="127"/>
      <c r="E8" s="141"/>
      <c r="F8" s="116">
        <v>1</v>
      </c>
      <c r="G8" s="116"/>
      <c r="H8" s="116"/>
      <c r="I8" s="116">
        <f>SUM(I7:I7)</f>
        <v>1.3</v>
      </c>
      <c r="J8" s="117">
        <f>SUM(J7:J7)</f>
        <v>1.1016E-2</v>
      </c>
      <c r="K8" s="116"/>
      <c r="L8" s="116"/>
      <c r="M8" s="116"/>
      <c r="N8" s="118"/>
      <c r="O8" s="118"/>
    </row>
    <row r="9" spans="1:39" s="2" customFormat="1" ht="21">
      <c r="A9" s="145" t="s">
        <v>215</v>
      </c>
      <c r="B9" s="113" t="s">
        <v>216</v>
      </c>
      <c r="C9" s="113" t="s">
        <v>217</v>
      </c>
      <c r="D9" s="113" t="s">
        <v>214</v>
      </c>
      <c r="E9" s="83">
        <v>45659</v>
      </c>
      <c r="F9" s="113">
        <v>1</v>
      </c>
      <c r="G9" s="113" t="s">
        <v>97</v>
      </c>
      <c r="H9" s="113">
        <v>1</v>
      </c>
      <c r="I9" s="113">
        <v>1.3</v>
      </c>
      <c r="J9" s="114">
        <v>1.274E-2</v>
      </c>
      <c r="K9" s="113">
        <v>35</v>
      </c>
      <c r="L9" s="113">
        <v>26</v>
      </c>
      <c r="M9" s="113">
        <v>14</v>
      </c>
      <c r="N9" s="113"/>
      <c r="O9" s="115" t="s">
        <v>24</v>
      </c>
    </row>
    <row r="10" spans="1:39" s="11" customFormat="1" ht="22.5">
      <c r="A10" s="146"/>
      <c r="B10" s="127"/>
      <c r="C10" s="127"/>
      <c r="D10" s="127"/>
      <c r="E10" s="141"/>
      <c r="F10" s="116">
        <v>1</v>
      </c>
      <c r="G10" s="116"/>
      <c r="H10" s="116"/>
      <c r="I10" s="116">
        <f>SUM(I9:I9)</f>
        <v>1.3</v>
      </c>
      <c r="J10" s="117">
        <f>SUM(J9:J9)</f>
        <v>1.274E-2</v>
      </c>
      <c r="K10" s="116"/>
      <c r="L10" s="116"/>
      <c r="M10" s="116"/>
      <c r="N10" s="118"/>
      <c r="O10" s="118"/>
    </row>
    <row r="11" spans="1:39" s="2" customFormat="1" ht="42">
      <c r="A11" s="145" t="s">
        <v>218</v>
      </c>
      <c r="B11" s="113" t="s">
        <v>219</v>
      </c>
      <c r="C11" s="113" t="s">
        <v>220</v>
      </c>
      <c r="D11" s="113" t="s">
        <v>214</v>
      </c>
      <c r="E11" s="83">
        <v>45659</v>
      </c>
      <c r="F11" s="113">
        <v>1</v>
      </c>
      <c r="G11" s="113" t="s">
        <v>97</v>
      </c>
      <c r="H11" s="113">
        <v>1</v>
      </c>
      <c r="I11" s="113">
        <v>1.7</v>
      </c>
      <c r="J11" s="114">
        <v>1.0200000000000001E-2</v>
      </c>
      <c r="K11" s="113">
        <v>34</v>
      </c>
      <c r="L11" s="113">
        <v>25</v>
      </c>
      <c r="M11" s="113">
        <v>12</v>
      </c>
      <c r="N11" s="113"/>
      <c r="O11" s="115" t="s">
        <v>24</v>
      </c>
    </row>
    <row r="12" spans="1:39" s="11" customFormat="1" ht="22.5">
      <c r="A12" s="146"/>
      <c r="B12" s="127"/>
      <c r="C12" s="127"/>
      <c r="D12" s="127"/>
      <c r="E12" s="141"/>
      <c r="F12" s="116">
        <v>1</v>
      </c>
      <c r="G12" s="116"/>
      <c r="H12" s="116"/>
      <c r="I12" s="116">
        <f>SUM(I11:I11)</f>
        <v>1.7</v>
      </c>
      <c r="J12" s="117">
        <f>SUM(J11:J11)</f>
        <v>1.0200000000000001E-2</v>
      </c>
      <c r="K12" s="116"/>
      <c r="L12" s="116"/>
      <c r="M12" s="116"/>
      <c r="N12" s="118"/>
      <c r="O12" s="118"/>
    </row>
    <row r="13" spans="1:39" s="2" customFormat="1" ht="42">
      <c r="A13" s="145" t="s">
        <v>221</v>
      </c>
      <c r="B13" s="113" t="s">
        <v>222</v>
      </c>
      <c r="C13" s="113" t="s">
        <v>223</v>
      </c>
      <c r="D13" s="113" t="s">
        <v>214</v>
      </c>
      <c r="E13" s="83">
        <v>45659</v>
      </c>
      <c r="F13" s="113">
        <v>1</v>
      </c>
      <c r="G13" s="113" t="s">
        <v>97</v>
      </c>
      <c r="H13" s="113">
        <v>1</v>
      </c>
      <c r="I13" s="113">
        <v>1.5</v>
      </c>
      <c r="J13" s="114">
        <v>1.274E-2</v>
      </c>
      <c r="K13" s="113">
        <v>35</v>
      </c>
      <c r="L13" s="113">
        <v>26</v>
      </c>
      <c r="M13" s="113">
        <v>14</v>
      </c>
      <c r="N13" s="113"/>
      <c r="O13" s="115" t="s">
        <v>24</v>
      </c>
    </row>
    <row r="14" spans="1:39" s="11" customFormat="1" ht="22.5">
      <c r="A14" s="146"/>
      <c r="B14" s="127"/>
      <c r="C14" s="127"/>
      <c r="D14" s="127"/>
      <c r="E14" s="141"/>
      <c r="F14" s="116">
        <v>1</v>
      </c>
      <c r="G14" s="116"/>
      <c r="H14" s="116"/>
      <c r="I14" s="116">
        <f>SUM(I13:I13)</f>
        <v>1.5</v>
      </c>
      <c r="J14" s="117">
        <f>SUM(J13:J13)</f>
        <v>1.274E-2</v>
      </c>
      <c r="K14" s="116"/>
      <c r="L14" s="116"/>
      <c r="M14" s="116"/>
      <c r="N14" s="118"/>
      <c r="O14" s="118"/>
    </row>
    <row r="15" spans="1:39" s="2" customFormat="1" ht="21">
      <c r="A15" s="145" t="s">
        <v>224</v>
      </c>
      <c r="B15" s="113" t="s">
        <v>225</v>
      </c>
      <c r="C15" s="113" t="s">
        <v>226</v>
      </c>
      <c r="D15" s="113" t="s">
        <v>44</v>
      </c>
      <c r="E15" s="83">
        <v>45659</v>
      </c>
      <c r="F15" s="113">
        <v>1</v>
      </c>
      <c r="G15" s="113" t="s">
        <v>227</v>
      </c>
      <c r="H15" s="113"/>
      <c r="I15" s="113">
        <v>7.6</v>
      </c>
      <c r="J15" s="114">
        <v>3.7905000000000001E-2</v>
      </c>
      <c r="K15" s="113">
        <v>57</v>
      </c>
      <c r="L15" s="113">
        <v>35</v>
      </c>
      <c r="M15" s="113">
        <v>19</v>
      </c>
      <c r="N15" s="113"/>
      <c r="O15" s="113"/>
    </row>
    <row r="16" spans="1:39" s="11" customFormat="1" ht="22.5">
      <c r="A16" s="146"/>
      <c r="B16" s="127"/>
      <c r="C16" s="127"/>
      <c r="D16" s="127"/>
      <c r="E16" s="141"/>
      <c r="F16" s="116">
        <v>1</v>
      </c>
      <c r="G16" s="116"/>
      <c r="H16" s="116"/>
      <c r="I16" s="116">
        <f>SUM(I15:I15)</f>
        <v>7.6</v>
      </c>
      <c r="J16" s="117">
        <f>SUM(J15:J15)</f>
        <v>3.7905000000000001E-2</v>
      </c>
      <c r="K16" s="116"/>
      <c r="L16" s="116"/>
      <c r="M16" s="116"/>
      <c r="N16" s="118"/>
      <c r="O16" s="118"/>
    </row>
    <row r="17" spans="1:15" s="2" customFormat="1" ht="21">
      <c r="A17" s="145" t="s">
        <v>228</v>
      </c>
      <c r="B17" s="113" t="s">
        <v>229</v>
      </c>
      <c r="C17" s="113" t="s">
        <v>230</v>
      </c>
      <c r="D17" s="113" t="s">
        <v>214</v>
      </c>
      <c r="E17" s="83">
        <v>45660</v>
      </c>
      <c r="F17" s="113">
        <v>1</v>
      </c>
      <c r="G17" s="113" t="s">
        <v>231</v>
      </c>
      <c r="H17" s="113">
        <v>1</v>
      </c>
      <c r="I17" s="113">
        <v>1.9</v>
      </c>
      <c r="J17" s="114">
        <v>1.8096000000000001E-2</v>
      </c>
      <c r="K17" s="113">
        <v>39</v>
      </c>
      <c r="L17" s="113">
        <v>29</v>
      </c>
      <c r="M17" s="113">
        <v>16</v>
      </c>
      <c r="N17" s="113"/>
      <c r="O17" s="113" t="s">
        <v>24</v>
      </c>
    </row>
    <row r="18" spans="1:15" s="11" customFormat="1" ht="22.5">
      <c r="A18" s="146"/>
      <c r="B18" s="127"/>
      <c r="C18" s="127"/>
      <c r="D18" s="127"/>
      <c r="E18" s="141"/>
      <c r="F18" s="116">
        <v>1</v>
      </c>
      <c r="G18" s="116"/>
      <c r="H18" s="116"/>
      <c r="I18" s="116">
        <f>SUM(I17:I17)</f>
        <v>1.9</v>
      </c>
      <c r="J18" s="117">
        <f>SUM(J17:J17)</f>
        <v>1.8096000000000001E-2</v>
      </c>
      <c r="K18" s="116"/>
      <c r="L18" s="116"/>
      <c r="M18" s="116"/>
      <c r="N18" s="118"/>
      <c r="O18" s="118"/>
    </row>
    <row r="19" spans="1:15" s="2" customFormat="1" ht="21">
      <c r="A19" s="145" t="s">
        <v>232</v>
      </c>
      <c r="B19" s="113" t="s">
        <v>233</v>
      </c>
      <c r="C19" s="113" t="s">
        <v>234</v>
      </c>
      <c r="D19" s="113" t="s">
        <v>214</v>
      </c>
      <c r="E19" s="83">
        <v>45660</v>
      </c>
      <c r="F19" s="113">
        <v>1</v>
      </c>
      <c r="G19" s="113" t="s">
        <v>231</v>
      </c>
      <c r="H19" s="113">
        <v>1</v>
      </c>
      <c r="I19" s="113">
        <v>1.3</v>
      </c>
      <c r="J19" s="114">
        <v>8.4480000000000006E-3</v>
      </c>
      <c r="K19" s="113">
        <v>32</v>
      </c>
      <c r="L19" s="113">
        <v>22</v>
      </c>
      <c r="M19" s="113">
        <v>12</v>
      </c>
      <c r="N19" s="113"/>
      <c r="O19" s="113" t="s">
        <v>24</v>
      </c>
    </row>
    <row r="20" spans="1:15" s="11" customFormat="1" ht="22.5">
      <c r="A20" s="146"/>
      <c r="B20" s="127"/>
      <c r="C20" s="127"/>
      <c r="D20" s="127"/>
      <c r="E20" s="141"/>
      <c r="F20" s="116">
        <v>1</v>
      </c>
      <c r="G20" s="116"/>
      <c r="H20" s="116"/>
      <c r="I20" s="116">
        <f>SUM(I19:I19)</f>
        <v>1.3</v>
      </c>
      <c r="J20" s="117">
        <f>SUM(J19:J19)</f>
        <v>8.4480000000000006E-3</v>
      </c>
      <c r="K20" s="116"/>
      <c r="L20" s="116"/>
      <c r="M20" s="116"/>
      <c r="N20" s="118"/>
      <c r="O20" s="118"/>
    </row>
    <row r="21" spans="1:15" s="2" customFormat="1" ht="42">
      <c r="A21" s="145" t="s">
        <v>235</v>
      </c>
      <c r="B21" s="113" t="s">
        <v>236</v>
      </c>
      <c r="C21" s="113" t="s">
        <v>237</v>
      </c>
      <c r="D21" s="113" t="s">
        <v>238</v>
      </c>
      <c r="E21" s="83">
        <v>45661</v>
      </c>
      <c r="F21" s="113">
        <v>1</v>
      </c>
      <c r="G21" s="113" t="s">
        <v>97</v>
      </c>
      <c r="H21" s="113">
        <v>1</v>
      </c>
      <c r="I21" s="113">
        <v>1.8</v>
      </c>
      <c r="J21" s="114">
        <v>1.6015999999999999E-2</v>
      </c>
      <c r="K21" s="113">
        <v>44</v>
      </c>
      <c r="L21" s="113">
        <v>26</v>
      </c>
      <c r="M21" s="113">
        <v>14</v>
      </c>
      <c r="N21" s="113"/>
      <c r="O21" s="106" t="s">
        <v>239</v>
      </c>
    </row>
    <row r="22" spans="1:15" s="11" customFormat="1" ht="22.5">
      <c r="A22" s="146"/>
      <c r="B22" s="127"/>
      <c r="C22" s="127"/>
      <c r="D22" s="127"/>
      <c r="E22" s="141"/>
      <c r="F22" s="116">
        <v>1</v>
      </c>
      <c r="G22" s="116"/>
      <c r="H22" s="116"/>
      <c r="I22" s="116">
        <f>SUM(I21:I21)</f>
        <v>1.8</v>
      </c>
      <c r="J22" s="117">
        <f>SUM(J21:J21)</f>
        <v>1.6015999999999999E-2</v>
      </c>
      <c r="K22" s="116"/>
      <c r="L22" s="116"/>
      <c r="M22" s="116"/>
      <c r="N22" s="118"/>
      <c r="O22" s="118"/>
    </row>
    <row r="23" spans="1:15" s="2" customFormat="1" ht="42">
      <c r="A23" s="145" t="s">
        <v>240</v>
      </c>
      <c r="B23" s="214" t="s">
        <v>241</v>
      </c>
      <c r="C23" s="113" t="s">
        <v>242</v>
      </c>
      <c r="D23" s="214" t="s">
        <v>238</v>
      </c>
      <c r="E23" s="217">
        <v>45661</v>
      </c>
      <c r="F23" s="113">
        <v>1</v>
      </c>
      <c r="G23" s="214" t="s">
        <v>97</v>
      </c>
      <c r="H23" s="214">
        <v>2</v>
      </c>
      <c r="I23" s="113">
        <v>1.3</v>
      </c>
      <c r="J23" s="114">
        <v>9.672E-3</v>
      </c>
      <c r="K23" s="113">
        <v>31</v>
      </c>
      <c r="L23" s="113">
        <v>24</v>
      </c>
      <c r="M23" s="113">
        <v>13</v>
      </c>
      <c r="N23" s="113"/>
      <c r="O23" s="214" t="s">
        <v>24</v>
      </c>
    </row>
    <row r="24" spans="1:15" s="2" customFormat="1" ht="42">
      <c r="A24" s="145" t="s">
        <v>243</v>
      </c>
      <c r="B24" s="216"/>
      <c r="C24" s="113" t="s">
        <v>244</v>
      </c>
      <c r="D24" s="216"/>
      <c r="E24" s="219"/>
      <c r="F24" s="113">
        <v>2</v>
      </c>
      <c r="G24" s="216"/>
      <c r="H24" s="216"/>
      <c r="I24" s="113">
        <v>1.1000000000000001</v>
      </c>
      <c r="J24" s="114">
        <v>1.0296E-2</v>
      </c>
      <c r="K24" s="113">
        <v>36</v>
      </c>
      <c r="L24" s="113">
        <v>22</v>
      </c>
      <c r="M24" s="113">
        <v>13</v>
      </c>
      <c r="N24" s="113"/>
      <c r="O24" s="216"/>
    </row>
    <row r="25" spans="1:15" s="11" customFormat="1" ht="22.5">
      <c r="A25" s="146"/>
      <c r="B25" s="127"/>
      <c r="C25" s="127"/>
      <c r="D25" s="127"/>
      <c r="E25" s="141"/>
      <c r="F25" s="116">
        <v>2</v>
      </c>
      <c r="G25" s="116"/>
      <c r="H25" s="116"/>
      <c r="I25" s="116">
        <f>SUM(I23:I24)</f>
        <v>2.4000000000000004</v>
      </c>
      <c r="J25" s="117">
        <f>SUM(J23:J24)</f>
        <v>1.9968E-2</v>
      </c>
      <c r="K25" s="116"/>
      <c r="L25" s="116"/>
      <c r="M25" s="116"/>
      <c r="N25" s="118"/>
      <c r="O25" s="118"/>
    </row>
    <row r="26" spans="1:15" s="2" customFormat="1" ht="42">
      <c r="A26" s="145" t="s">
        <v>245</v>
      </c>
      <c r="B26" s="113" t="s">
        <v>246</v>
      </c>
      <c r="C26" s="113" t="s">
        <v>247</v>
      </c>
      <c r="D26" s="113" t="s">
        <v>238</v>
      </c>
      <c r="E26" s="83">
        <v>45661</v>
      </c>
      <c r="F26" s="113">
        <v>1</v>
      </c>
      <c r="G26" s="113" t="s">
        <v>97</v>
      </c>
      <c r="H26" s="113">
        <v>1</v>
      </c>
      <c r="I26" s="113">
        <v>1.3</v>
      </c>
      <c r="J26" s="114">
        <v>1.2768E-2</v>
      </c>
      <c r="K26" s="113">
        <v>32</v>
      </c>
      <c r="L26" s="113">
        <v>21</v>
      </c>
      <c r="M26" s="113">
        <v>19</v>
      </c>
      <c r="N26" s="113"/>
      <c r="O26" s="113" t="s">
        <v>24</v>
      </c>
    </row>
    <row r="27" spans="1:15" s="11" customFormat="1" ht="22.5">
      <c r="A27" s="146"/>
      <c r="B27" s="127"/>
      <c r="C27" s="127"/>
      <c r="D27" s="127"/>
      <c r="E27" s="141"/>
      <c r="F27" s="116">
        <v>1</v>
      </c>
      <c r="G27" s="116"/>
      <c r="H27" s="116"/>
      <c r="I27" s="116">
        <f>SUM(I26:I26)</f>
        <v>1.3</v>
      </c>
      <c r="J27" s="117">
        <f>SUM(J26:J26)</f>
        <v>1.2768E-2</v>
      </c>
      <c r="K27" s="116"/>
      <c r="L27" s="116"/>
      <c r="M27" s="116"/>
      <c r="N27" s="118"/>
      <c r="O27" s="118"/>
    </row>
    <row r="28" spans="1:15" s="2" customFormat="1" ht="21">
      <c r="A28" s="145" t="s">
        <v>248</v>
      </c>
      <c r="B28" s="113" t="s">
        <v>249</v>
      </c>
      <c r="C28" s="113" t="s">
        <v>250</v>
      </c>
      <c r="D28" s="113" t="s">
        <v>238</v>
      </c>
      <c r="E28" s="83">
        <v>45661</v>
      </c>
      <c r="F28" s="113">
        <v>1</v>
      </c>
      <c r="G28" s="113" t="s">
        <v>97</v>
      </c>
      <c r="H28" s="113">
        <v>1</v>
      </c>
      <c r="I28" s="113">
        <v>2.2000000000000002</v>
      </c>
      <c r="J28" s="114">
        <v>1.8096000000000001E-2</v>
      </c>
      <c r="K28" s="113">
        <v>39</v>
      </c>
      <c r="L28" s="113">
        <v>29</v>
      </c>
      <c r="M28" s="113">
        <v>16</v>
      </c>
      <c r="N28" s="113"/>
      <c r="O28" s="113" t="s">
        <v>24</v>
      </c>
    </row>
    <row r="29" spans="1:15" s="11" customFormat="1" ht="22.5">
      <c r="A29" s="146"/>
      <c r="B29" s="127"/>
      <c r="C29" s="127"/>
      <c r="D29" s="127"/>
      <c r="E29" s="141"/>
      <c r="F29" s="116">
        <v>1</v>
      </c>
      <c r="G29" s="116"/>
      <c r="H29" s="116"/>
      <c r="I29" s="116">
        <f>SUM(I28:I28)</f>
        <v>2.2000000000000002</v>
      </c>
      <c r="J29" s="117">
        <f>SUM(J28:J28)</f>
        <v>1.8096000000000001E-2</v>
      </c>
      <c r="K29" s="116"/>
      <c r="L29" s="116"/>
      <c r="M29" s="116"/>
      <c r="N29" s="118"/>
      <c r="O29" s="118"/>
    </row>
    <row r="30" spans="1:15" s="2" customFormat="1" ht="21">
      <c r="A30" s="145" t="s">
        <v>251</v>
      </c>
      <c r="B30" s="113" t="s">
        <v>252</v>
      </c>
      <c r="C30" s="113" t="s">
        <v>253</v>
      </c>
      <c r="D30" s="113" t="s">
        <v>254</v>
      </c>
      <c r="E30" s="83">
        <v>45661</v>
      </c>
      <c r="F30" s="113">
        <v>1</v>
      </c>
      <c r="G30" s="113" t="s">
        <v>97</v>
      </c>
      <c r="H30" s="113"/>
      <c r="I30" s="113">
        <v>24.5</v>
      </c>
      <c r="J30" s="114">
        <v>0.15140400000000001</v>
      </c>
      <c r="K30" s="113">
        <v>62</v>
      </c>
      <c r="L30" s="113">
        <v>37</v>
      </c>
      <c r="M30" s="113">
        <v>66</v>
      </c>
      <c r="N30" s="113"/>
      <c r="O30" s="113" t="s">
        <v>24</v>
      </c>
    </row>
    <row r="31" spans="1:15" s="11" customFormat="1" ht="22.5">
      <c r="A31" s="146"/>
      <c r="B31" s="127"/>
      <c r="C31" s="127"/>
      <c r="D31" s="127"/>
      <c r="E31" s="141"/>
      <c r="F31" s="116">
        <v>1</v>
      </c>
      <c r="G31" s="116"/>
      <c r="H31" s="116"/>
      <c r="I31" s="116">
        <f>SUM(I30:I30)</f>
        <v>24.5</v>
      </c>
      <c r="J31" s="117">
        <f>SUM(J30:J30)</f>
        <v>0.15140400000000001</v>
      </c>
      <c r="K31" s="116"/>
      <c r="L31" s="116"/>
      <c r="M31" s="116"/>
      <c r="N31" s="118"/>
      <c r="O31" s="118"/>
    </row>
    <row r="32" spans="1:15" s="2" customFormat="1" ht="21">
      <c r="A32" s="145" t="s">
        <v>255</v>
      </c>
      <c r="B32" s="113" t="s">
        <v>256</v>
      </c>
      <c r="C32" s="113" t="s">
        <v>257</v>
      </c>
      <c r="D32" s="113" t="s">
        <v>238</v>
      </c>
      <c r="E32" s="83">
        <v>45663</v>
      </c>
      <c r="F32" s="113">
        <v>1</v>
      </c>
      <c r="G32" s="113" t="s">
        <v>97</v>
      </c>
      <c r="H32" s="113">
        <v>1</v>
      </c>
      <c r="I32" s="113">
        <v>1</v>
      </c>
      <c r="J32" s="114">
        <f>K32*L32*M32/1000000</f>
        <v>1.0584E-2</v>
      </c>
      <c r="K32" s="113">
        <v>42</v>
      </c>
      <c r="L32" s="113">
        <v>21</v>
      </c>
      <c r="M32" s="113">
        <v>12</v>
      </c>
      <c r="N32" s="113"/>
      <c r="O32" s="113" t="s">
        <v>24</v>
      </c>
    </row>
    <row r="33" spans="1:15" s="11" customFormat="1" ht="22.5">
      <c r="A33" s="146"/>
      <c r="B33" s="127"/>
      <c r="C33" s="127"/>
      <c r="D33" s="127"/>
      <c r="E33" s="141"/>
      <c r="F33" s="116">
        <v>1</v>
      </c>
      <c r="G33" s="116"/>
      <c r="H33" s="116"/>
      <c r="I33" s="116">
        <f>SUM(I32:I32)</f>
        <v>1</v>
      </c>
      <c r="J33" s="117">
        <f>SUM(J32:J32)</f>
        <v>1.0584E-2</v>
      </c>
      <c r="K33" s="116"/>
      <c r="L33" s="116"/>
      <c r="M33" s="116"/>
      <c r="N33" s="118"/>
      <c r="O33" s="118"/>
    </row>
    <row r="34" spans="1:15" s="2" customFormat="1" ht="21">
      <c r="A34" s="145" t="s">
        <v>258</v>
      </c>
      <c r="B34" s="113" t="s">
        <v>259</v>
      </c>
      <c r="C34" s="113" t="s">
        <v>260</v>
      </c>
      <c r="D34" s="113" t="s">
        <v>238</v>
      </c>
      <c r="E34" s="83">
        <v>45663</v>
      </c>
      <c r="F34" s="113">
        <v>1</v>
      </c>
      <c r="G34" s="113" t="s">
        <v>97</v>
      </c>
      <c r="H34" s="113">
        <v>1</v>
      </c>
      <c r="I34" s="113">
        <v>1.4</v>
      </c>
      <c r="J34" s="114">
        <f>K34*L34*M34/1000000</f>
        <v>1.4858E-2</v>
      </c>
      <c r="K34" s="113">
        <v>34</v>
      </c>
      <c r="L34" s="113">
        <v>19</v>
      </c>
      <c r="M34" s="113">
        <v>23</v>
      </c>
      <c r="N34" s="113"/>
      <c r="O34" s="113" t="s">
        <v>24</v>
      </c>
    </row>
    <row r="35" spans="1:15" s="11" customFormat="1" ht="22.5">
      <c r="A35" s="146"/>
      <c r="B35" s="127"/>
      <c r="C35" s="127"/>
      <c r="D35" s="127"/>
      <c r="E35" s="141"/>
      <c r="F35" s="116">
        <v>1</v>
      </c>
      <c r="G35" s="116"/>
      <c r="H35" s="116"/>
      <c r="I35" s="116">
        <f>SUM(I34:I34)</f>
        <v>1.4</v>
      </c>
      <c r="J35" s="117">
        <f>SUM(J34:J34)</f>
        <v>1.4858E-2</v>
      </c>
      <c r="K35" s="116"/>
      <c r="L35" s="116"/>
      <c r="M35" s="116"/>
      <c r="N35" s="118"/>
      <c r="O35" s="118"/>
    </row>
    <row r="36" spans="1:15" s="2" customFormat="1" ht="21">
      <c r="A36" s="145" t="s">
        <v>261</v>
      </c>
      <c r="B36" s="81" t="s">
        <v>262</v>
      </c>
      <c r="C36" s="81" t="s">
        <v>263</v>
      </c>
      <c r="D36" s="81" t="s">
        <v>264</v>
      </c>
      <c r="E36" s="83">
        <v>45664</v>
      </c>
      <c r="F36" s="81">
        <v>1</v>
      </c>
      <c r="G36" s="54" t="s">
        <v>265</v>
      </c>
      <c r="H36" s="81">
        <v>10</v>
      </c>
      <c r="I36" s="81">
        <v>2.4</v>
      </c>
      <c r="J36" s="119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46"/>
      <c r="B37" s="127"/>
      <c r="C37" s="127"/>
      <c r="D37" s="127"/>
      <c r="E37" s="141"/>
      <c r="F37" s="116">
        <v>1</v>
      </c>
      <c r="G37" s="116"/>
      <c r="H37" s="116"/>
      <c r="I37" s="116">
        <f>SUM(I36:I36)</f>
        <v>2.4</v>
      </c>
      <c r="J37" s="117">
        <f>SUM(J36:J36)</f>
        <v>3.7399999999999998E-3</v>
      </c>
      <c r="K37" s="116"/>
      <c r="L37" s="116"/>
      <c r="M37" s="116"/>
      <c r="N37" s="118"/>
      <c r="O37" s="118"/>
    </row>
    <row r="38" spans="1:15" s="2" customFormat="1" ht="21">
      <c r="A38" s="145" t="s">
        <v>266</v>
      </c>
      <c r="B38" s="113" t="s">
        <v>267</v>
      </c>
      <c r="C38" s="113" t="s">
        <v>268</v>
      </c>
      <c r="D38" s="113" t="s">
        <v>269</v>
      </c>
      <c r="E38" s="83">
        <v>45665</v>
      </c>
      <c r="F38" s="113">
        <v>1</v>
      </c>
      <c r="G38" s="106" t="s">
        <v>270</v>
      </c>
      <c r="H38" s="113"/>
      <c r="I38" s="113">
        <v>0.7</v>
      </c>
      <c r="J38" s="114">
        <v>8.6999999999999994E-3</v>
      </c>
      <c r="K38" s="113">
        <v>29</v>
      </c>
      <c r="L38" s="113">
        <v>20</v>
      </c>
      <c r="M38" s="113">
        <v>15</v>
      </c>
      <c r="N38" s="113"/>
      <c r="O38" s="113"/>
    </row>
    <row r="39" spans="1:15" s="11" customFormat="1" ht="22.5">
      <c r="A39" s="146"/>
      <c r="B39" s="127"/>
      <c r="C39" s="127"/>
      <c r="D39" s="127"/>
      <c r="E39" s="141"/>
      <c r="F39" s="116">
        <v>1</v>
      </c>
      <c r="G39" s="116"/>
      <c r="H39" s="116"/>
      <c r="I39" s="116">
        <f>SUM(I38:I38)</f>
        <v>0.7</v>
      </c>
      <c r="J39" s="117">
        <f>SUM(J38:J38)</f>
        <v>8.6999999999999994E-3</v>
      </c>
      <c r="K39" s="116"/>
      <c r="L39" s="116"/>
      <c r="M39" s="116"/>
      <c r="N39" s="118"/>
      <c r="O39" s="118"/>
    </row>
    <row r="40" spans="1:15" s="2" customFormat="1" ht="42">
      <c r="A40" s="145" t="s">
        <v>271</v>
      </c>
      <c r="B40" s="113" t="s">
        <v>272</v>
      </c>
      <c r="C40" s="113" t="s">
        <v>273</v>
      </c>
      <c r="D40" s="113" t="s">
        <v>274</v>
      </c>
      <c r="E40" s="83">
        <v>45664</v>
      </c>
      <c r="F40" s="113">
        <v>1</v>
      </c>
      <c r="G40" s="113" t="s">
        <v>97</v>
      </c>
      <c r="H40" s="113">
        <v>1</v>
      </c>
      <c r="I40" s="113">
        <v>1.5</v>
      </c>
      <c r="J40" s="114">
        <v>1.3468000000000001E-2</v>
      </c>
      <c r="K40" s="113">
        <v>37</v>
      </c>
      <c r="L40" s="113">
        <v>26</v>
      </c>
      <c r="M40" s="113">
        <v>14</v>
      </c>
      <c r="N40" s="113"/>
      <c r="O40" s="113" t="s">
        <v>24</v>
      </c>
    </row>
    <row r="41" spans="1:15" s="11" customFormat="1" ht="22.5">
      <c r="A41" s="146"/>
      <c r="B41" s="127"/>
      <c r="C41" s="127"/>
      <c r="D41" s="127"/>
      <c r="E41" s="141"/>
      <c r="F41" s="116">
        <v>1</v>
      </c>
      <c r="G41" s="116"/>
      <c r="H41" s="116"/>
      <c r="I41" s="116">
        <f>SUM(I40:I40)</f>
        <v>1.5</v>
      </c>
      <c r="J41" s="117">
        <f>SUM(J40:J40)</f>
        <v>1.3468000000000001E-2</v>
      </c>
      <c r="K41" s="116"/>
      <c r="L41" s="116"/>
      <c r="M41" s="116"/>
      <c r="N41" s="118"/>
      <c r="O41" s="118"/>
    </row>
    <row r="42" spans="1:15" s="2" customFormat="1" ht="21">
      <c r="A42" s="145" t="s">
        <v>275</v>
      </c>
      <c r="B42" s="214" t="s">
        <v>276</v>
      </c>
      <c r="C42" s="113" t="s">
        <v>277</v>
      </c>
      <c r="D42" s="214" t="s">
        <v>238</v>
      </c>
      <c r="E42" s="217">
        <v>45664</v>
      </c>
      <c r="F42" s="113">
        <v>1</v>
      </c>
      <c r="G42" s="214" t="s">
        <v>97</v>
      </c>
      <c r="H42" s="214">
        <v>3</v>
      </c>
      <c r="I42" s="113">
        <v>1.8</v>
      </c>
      <c r="J42" s="114">
        <v>2.3400000000000001E-2</v>
      </c>
      <c r="K42" s="113">
        <v>39</v>
      </c>
      <c r="L42" s="113">
        <v>30</v>
      </c>
      <c r="M42" s="113">
        <v>20</v>
      </c>
      <c r="N42" s="113"/>
      <c r="O42" s="214" t="s">
        <v>24</v>
      </c>
    </row>
    <row r="43" spans="1:15" s="2" customFormat="1" ht="21">
      <c r="A43" s="145" t="s">
        <v>278</v>
      </c>
      <c r="B43" s="215"/>
      <c r="C43" s="113" t="s">
        <v>279</v>
      </c>
      <c r="D43" s="215"/>
      <c r="E43" s="218"/>
      <c r="F43" s="113">
        <v>2</v>
      </c>
      <c r="G43" s="215"/>
      <c r="H43" s="215"/>
      <c r="I43" s="113">
        <v>1.4</v>
      </c>
      <c r="J43" s="114">
        <v>2.3400000000000001E-2</v>
      </c>
      <c r="K43" s="113">
        <v>39</v>
      </c>
      <c r="L43" s="113">
        <v>30</v>
      </c>
      <c r="M43" s="113">
        <v>20</v>
      </c>
      <c r="N43" s="113"/>
      <c r="O43" s="215"/>
    </row>
    <row r="44" spans="1:15" s="2" customFormat="1" ht="21">
      <c r="A44" s="145" t="s">
        <v>280</v>
      </c>
      <c r="B44" s="216"/>
      <c r="C44" s="113" t="s">
        <v>281</v>
      </c>
      <c r="D44" s="216"/>
      <c r="E44" s="219"/>
      <c r="F44" s="113">
        <v>3</v>
      </c>
      <c r="G44" s="216"/>
      <c r="H44" s="216"/>
      <c r="I44" s="113">
        <v>2</v>
      </c>
      <c r="J44" s="114">
        <v>2.3400000000000001E-2</v>
      </c>
      <c r="K44" s="113">
        <v>39</v>
      </c>
      <c r="L44" s="113">
        <v>30</v>
      </c>
      <c r="M44" s="113">
        <v>20</v>
      </c>
      <c r="N44" s="113"/>
      <c r="O44" s="216"/>
    </row>
    <row r="45" spans="1:15" s="11" customFormat="1" ht="22.5">
      <c r="A45" s="146"/>
      <c r="B45" s="127"/>
      <c r="C45" s="127"/>
      <c r="D45" s="127"/>
      <c r="E45" s="141"/>
      <c r="F45" s="116">
        <v>3</v>
      </c>
      <c r="G45" s="116"/>
      <c r="H45" s="116"/>
      <c r="I45" s="116">
        <f>SUM(I42:I44)</f>
        <v>5.2</v>
      </c>
      <c r="J45" s="117">
        <f>SUM(J42:J44)</f>
        <v>7.0199999999999999E-2</v>
      </c>
      <c r="K45" s="116"/>
      <c r="L45" s="116"/>
      <c r="M45" s="116"/>
      <c r="N45" s="118"/>
      <c r="O45" s="118"/>
    </row>
    <row r="46" spans="1:15" s="2" customFormat="1" ht="21">
      <c r="A46" s="145" t="s">
        <v>282</v>
      </c>
      <c r="B46" s="113" t="s">
        <v>283</v>
      </c>
      <c r="C46" s="113" t="s">
        <v>284</v>
      </c>
      <c r="D46" s="113" t="s">
        <v>285</v>
      </c>
      <c r="E46" s="83">
        <v>45665</v>
      </c>
      <c r="F46" s="113">
        <v>1</v>
      </c>
      <c r="G46" s="113" t="s">
        <v>97</v>
      </c>
      <c r="H46" s="113">
        <v>1</v>
      </c>
      <c r="I46" s="113">
        <v>1.8</v>
      </c>
      <c r="J46" s="114">
        <v>2.3400000000000001E-2</v>
      </c>
      <c r="K46" s="113">
        <v>39</v>
      </c>
      <c r="L46" s="113">
        <v>30</v>
      </c>
      <c r="M46" s="113">
        <v>20</v>
      </c>
      <c r="N46" s="113"/>
      <c r="O46" s="113" t="s">
        <v>24</v>
      </c>
    </row>
    <row r="47" spans="1:15" s="11" customFormat="1" ht="22.5">
      <c r="A47" s="146"/>
      <c r="B47" s="127"/>
      <c r="C47" s="127"/>
      <c r="D47" s="127"/>
      <c r="E47" s="141"/>
      <c r="F47" s="116">
        <v>1</v>
      </c>
      <c r="G47" s="116"/>
      <c r="H47" s="116"/>
      <c r="I47" s="116">
        <f>SUM(I46:I46)</f>
        <v>1.8</v>
      </c>
      <c r="J47" s="117">
        <f>SUM(J46:J46)</f>
        <v>2.3400000000000001E-2</v>
      </c>
      <c r="K47" s="116"/>
      <c r="L47" s="116"/>
      <c r="M47" s="116"/>
      <c r="N47" s="118"/>
      <c r="O47" s="118"/>
    </row>
    <row r="48" spans="1:15" s="101" customFormat="1" ht="21">
      <c r="A48" s="147" t="s">
        <v>286</v>
      </c>
      <c r="B48" s="90" t="s">
        <v>287</v>
      </c>
      <c r="C48" s="90" t="s">
        <v>288</v>
      </c>
      <c r="D48" s="90" t="s">
        <v>238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0">
        <v>8.8319999999999996E-3</v>
      </c>
      <c r="K48" s="90">
        <v>32</v>
      </c>
      <c r="L48" s="90">
        <v>23</v>
      </c>
      <c r="M48" s="90">
        <v>12</v>
      </c>
      <c r="N48" s="54" t="s">
        <v>289</v>
      </c>
      <c r="O48" s="90" t="s">
        <v>24</v>
      </c>
    </row>
    <row r="49" spans="1:15" s="11" customFormat="1" ht="22.5">
      <c r="A49" s="146"/>
      <c r="B49" s="127"/>
      <c r="C49" s="127"/>
      <c r="D49" s="127"/>
      <c r="E49" s="141"/>
      <c r="F49" s="116">
        <v>1</v>
      </c>
      <c r="G49" s="116"/>
      <c r="H49" s="116"/>
      <c r="I49" s="116">
        <f>SUM(I48:I48)</f>
        <v>1.1000000000000001</v>
      </c>
      <c r="J49" s="117">
        <f>SUM(J48:J48)</f>
        <v>8.8319999999999996E-3</v>
      </c>
      <c r="K49" s="116"/>
      <c r="L49" s="116"/>
      <c r="M49" s="116"/>
      <c r="N49" s="118"/>
      <c r="O49" s="118"/>
    </row>
    <row r="50" spans="1:15" s="101" customFormat="1" ht="42">
      <c r="A50" s="147" t="s">
        <v>290</v>
      </c>
      <c r="B50" s="90" t="s">
        <v>291</v>
      </c>
      <c r="C50" s="90" t="s">
        <v>292</v>
      </c>
      <c r="D50" s="90" t="s">
        <v>238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0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46"/>
      <c r="B51" s="127"/>
      <c r="C51" s="127"/>
      <c r="D51" s="127"/>
      <c r="E51" s="141"/>
      <c r="F51" s="116">
        <v>1</v>
      </c>
      <c r="G51" s="116"/>
      <c r="H51" s="116"/>
      <c r="I51" s="116">
        <f>SUM(I50:I50)</f>
        <v>1.3</v>
      </c>
      <c r="J51" s="117">
        <f>SUM(J50:J50)</f>
        <v>1.0919999999999999E-2</v>
      </c>
      <c r="K51" s="116"/>
      <c r="L51" s="116"/>
      <c r="M51" s="116"/>
      <c r="N51" s="118"/>
      <c r="O51" s="118"/>
    </row>
    <row r="52" spans="1:15" s="101" customFormat="1" ht="20.25" customHeight="1">
      <c r="A52" s="147" t="s">
        <v>293</v>
      </c>
      <c r="B52" s="200" t="s">
        <v>294</v>
      </c>
      <c r="C52" s="200" t="s">
        <v>295</v>
      </c>
      <c r="D52" s="200" t="s">
        <v>214</v>
      </c>
      <c r="E52" s="193">
        <v>45666</v>
      </c>
      <c r="F52" s="90">
        <v>1</v>
      </c>
      <c r="G52" s="200" t="s">
        <v>97</v>
      </c>
      <c r="H52" s="90"/>
      <c r="I52" s="200">
        <v>10.199999999999999</v>
      </c>
      <c r="J52" s="241">
        <v>0.10335</v>
      </c>
      <c r="K52" s="200">
        <v>53</v>
      </c>
      <c r="L52" s="200">
        <v>39</v>
      </c>
      <c r="M52" s="200">
        <v>50</v>
      </c>
      <c r="N52" s="90"/>
      <c r="O52" s="200" t="s">
        <v>296</v>
      </c>
    </row>
    <row r="53" spans="1:15" s="101" customFormat="1" ht="21">
      <c r="A53" s="147" t="s">
        <v>297</v>
      </c>
      <c r="B53" s="201"/>
      <c r="C53" s="201"/>
      <c r="D53" s="201"/>
      <c r="E53" s="195"/>
      <c r="F53" s="90">
        <v>2</v>
      </c>
      <c r="G53" s="201"/>
      <c r="H53" s="90"/>
      <c r="I53" s="201"/>
      <c r="J53" s="242"/>
      <c r="K53" s="201"/>
      <c r="L53" s="201"/>
      <c r="M53" s="201"/>
      <c r="N53" s="90"/>
      <c r="O53" s="201"/>
    </row>
    <row r="54" spans="1:15" s="11" customFormat="1" ht="22.5">
      <c r="A54" s="146"/>
      <c r="B54" s="127"/>
      <c r="C54" s="127"/>
      <c r="D54" s="127"/>
      <c r="E54" s="141"/>
      <c r="F54" s="116">
        <v>2</v>
      </c>
      <c r="G54" s="116"/>
      <c r="H54" s="116"/>
      <c r="I54" s="116">
        <f>I52</f>
        <v>10.199999999999999</v>
      </c>
      <c r="J54" s="117">
        <f>J52</f>
        <v>0.10335</v>
      </c>
      <c r="K54" s="116"/>
      <c r="L54" s="116"/>
      <c r="M54" s="116"/>
      <c r="N54" s="118"/>
      <c r="O54" s="118"/>
    </row>
    <row r="55" spans="1:15" s="101" customFormat="1" ht="21">
      <c r="A55" s="147" t="s">
        <v>298</v>
      </c>
      <c r="B55" s="186" t="s">
        <v>299</v>
      </c>
      <c r="C55" s="186" t="s">
        <v>300</v>
      </c>
      <c r="D55" s="186" t="s">
        <v>44</v>
      </c>
      <c r="E55" s="197">
        <v>45668</v>
      </c>
      <c r="F55" s="94">
        <v>1</v>
      </c>
      <c r="G55" s="213" t="s">
        <v>301</v>
      </c>
      <c r="H55" s="186">
        <v>1676</v>
      </c>
      <c r="I55" s="94">
        <v>14.7</v>
      </c>
      <c r="J55" s="108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86" t="s">
        <v>302</v>
      </c>
    </row>
    <row r="56" spans="1:15" s="101" customFormat="1" ht="21">
      <c r="A56" s="147" t="s">
        <v>303</v>
      </c>
      <c r="B56" s="188"/>
      <c r="C56" s="188"/>
      <c r="D56" s="188"/>
      <c r="E56" s="199"/>
      <c r="F56" s="94">
        <v>2</v>
      </c>
      <c r="G56" s="227"/>
      <c r="H56" s="188"/>
      <c r="I56" s="94">
        <v>16.7</v>
      </c>
      <c r="J56" s="108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88"/>
    </row>
    <row r="57" spans="1:15" s="105" customFormat="1" ht="22.5">
      <c r="A57" s="146"/>
      <c r="B57" s="127"/>
      <c r="C57" s="127"/>
      <c r="D57" s="127"/>
      <c r="E57" s="141"/>
      <c r="F57" s="102">
        <v>2</v>
      </c>
      <c r="G57" s="121"/>
      <c r="H57" s="109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47" t="s">
        <v>304</v>
      </c>
      <c r="B58" s="99" t="s">
        <v>305</v>
      </c>
      <c r="C58" s="99" t="s">
        <v>306</v>
      </c>
      <c r="D58" s="99" t="s">
        <v>307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6" t="s">
        <v>308</v>
      </c>
      <c r="O58" s="99"/>
    </row>
    <row r="59" spans="1:15" s="105" customFormat="1" ht="22.5">
      <c r="A59" s="146"/>
      <c r="B59" s="127"/>
      <c r="C59" s="127"/>
      <c r="D59" s="127"/>
      <c r="E59" s="141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2"/>
      <c r="O59" s="104"/>
    </row>
    <row r="60" spans="1:15" s="101" customFormat="1" ht="48.75" customHeight="1">
      <c r="A60" s="147" t="s">
        <v>309</v>
      </c>
      <c r="B60" s="186" t="s">
        <v>310</v>
      </c>
      <c r="C60" s="186" t="s">
        <v>311</v>
      </c>
      <c r="D60" s="186" t="s">
        <v>269</v>
      </c>
      <c r="E60" s="197">
        <v>45670</v>
      </c>
      <c r="F60" s="94">
        <v>1</v>
      </c>
      <c r="G60" s="213" t="s">
        <v>312</v>
      </c>
      <c r="H60" s="186">
        <v>145</v>
      </c>
      <c r="I60" s="94">
        <v>4.5</v>
      </c>
      <c r="J60" s="108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86" t="s">
        <v>313</v>
      </c>
    </row>
    <row r="61" spans="1:15" s="101" customFormat="1" ht="21">
      <c r="A61" s="147" t="s">
        <v>314</v>
      </c>
      <c r="B61" s="188"/>
      <c r="C61" s="188"/>
      <c r="D61" s="188"/>
      <c r="E61" s="199"/>
      <c r="F61" s="94">
        <v>2</v>
      </c>
      <c r="G61" s="227"/>
      <c r="H61" s="188"/>
      <c r="I61" s="94">
        <v>13.7</v>
      </c>
      <c r="J61" s="108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88"/>
    </row>
    <row r="62" spans="1:15" s="105" customFormat="1" ht="22.5">
      <c r="A62" s="146"/>
      <c r="B62" s="127"/>
      <c r="C62" s="127"/>
      <c r="D62" s="127"/>
      <c r="E62" s="141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47" t="s">
        <v>315</v>
      </c>
      <c r="B63" s="99" t="s">
        <v>316</v>
      </c>
      <c r="C63" s="99" t="s">
        <v>317</v>
      </c>
      <c r="D63" s="99" t="s">
        <v>318</v>
      </c>
      <c r="E63" s="91">
        <v>45671</v>
      </c>
      <c r="F63" s="99">
        <v>1</v>
      </c>
      <c r="G63" s="106" t="s">
        <v>319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46"/>
      <c r="B64" s="127"/>
      <c r="C64" s="127"/>
      <c r="D64" s="127"/>
      <c r="E64" s="141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2"/>
      <c r="O64" s="104"/>
    </row>
    <row r="65" spans="1:15" s="101" customFormat="1" ht="37.5">
      <c r="A65" s="147" t="s">
        <v>320</v>
      </c>
      <c r="B65" s="99" t="s">
        <v>321</v>
      </c>
      <c r="C65" s="99" t="s">
        <v>317</v>
      </c>
      <c r="D65" s="99" t="s">
        <v>322</v>
      </c>
      <c r="E65" s="91">
        <v>45671</v>
      </c>
      <c r="F65" s="99">
        <v>1</v>
      </c>
      <c r="G65" s="106" t="s">
        <v>323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46"/>
      <c r="B66" s="127"/>
      <c r="C66" s="127"/>
      <c r="D66" s="127"/>
      <c r="E66" s="141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2"/>
      <c r="O66" s="104"/>
    </row>
    <row r="67" spans="1:15" s="101" customFormat="1" ht="42">
      <c r="A67" s="147" t="s">
        <v>324</v>
      </c>
      <c r="B67" s="99" t="s">
        <v>325</v>
      </c>
      <c r="C67" s="99" t="s">
        <v>326</v>
      </c>
      <c r="D67" s="99" t="s">
        <v>327</v>
      </c>
      <c r="E67" s="91">
        <v>45672</v>
      </c>
      <c r="F67" s="99">
        <v>1</v>
      </c>
      <c r="G67" s="99" t="s">
        <v>328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46"/>
      <c r="B68" s="127"/>
      <c r="C68" s="127"/>
      <c r="D68" s="127"/>
      <c r="E68" s="141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2"/>
      <c r="O68" s="104"/>
    </row>
    <row r="69" spans="1:15" s="101" customFormat="1" ht="60.75">
      <c r="A69" s="147" t="s">
        <v>329</v>
      </c>
      <c r="B69" s="94" t="s">
        <v>330</v>
      </c>
      <c r="C69" s="94" t="s">
        <v>331</v>
      </c>
      <c r="D69" s="94" t="s">
        <v>332</v>
      </c>
      <c r="E69" s="98">
        <v>45672</v>
      </c>
      <c r="F69" s="94">
        <v>1</v>
      </c>
      <c r="G69" s="94" t="s">
        <v>333</v>
      </c>
      <c r="H69" s="94">
        <v>4</v>
      </c>
      <c r="I69" s="94">
        <v>1.5</v>
      </c>
      <c r="J69" s="108">
        <v>1.728E-2</v>
      </c>
      <c r="K69" s="94">
        <v>36</v>
      </c>
      <c r="L69" s="94">
        <v>32</v>
      </c>
      <c r="M69" s="94">
        <v>15</v>
      </c>
      <c r="N69" s="53" t="s">
        <v>334</v>
      </c>
      <c r="O69" s="94" t="s">
        <v>335</v>
      </c>
    </row>
    <row r="70" spans="1:15" s="105" customFormat="1" ht="22.5">
      <c r="A70" s="146"/>
      <c r="B70" s="127"/>
      <c r="C70" s="127"/>
      <c r="D70" s="127"/>
      <c r="E70" s="141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47" t="s">
        <v>336</v>
      </c>
      <c r="B71" s="94" t="s">
        <v>337</v>
      </c>
      <c r="C71" s="94" t="s">
        <v>331</v>
      </c>
      <c r="D71" s="94" t="s">
        <v>338</v>
      </c>
      <c r="E71" s="98">
        <v>45672</v>
      </c>
      <c r="F71" s="94">
        <v>1</v>
      </c>
      <c r="G71" s="94" t="s">
        <v>339</v>
      </c>
      <c r="H71" s="94">
        <v>1</v>
      </c>
      <c r="I71" s="94">
        <v>7.4</v>
      </c>
      <c r="J71" s="108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335</v>
      </c>
    </row>
    <row r="72" spans="1:15" s="105" customFormat="1" ht="22.5">
      <c r="A72" s="146"/>
      <c r="B72" s="127"/>
      <c r="C72" s="127"/>
      <c r="D72" s="127"/>
      <c r="E72" s="141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48"/>
      <c r="B73" s="123" t="s">
        <v>128</v>
      </c>
      <c r="C73" s="53" t="s">
        <v>340</v>
      </c>
      <c r="D73" s="123" t="s">
        <v>75</v>
      </c>
      <c r="E73" s="98">
        <v>45671</v>
      </c>
      <c r="F73" s="93" t="s">
        <v>130</v>
      </c>
      <c r="G73" s="124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46"/>
      <c r="B74" s="127"/>
      <c r="C74" s="127"/>
      <c r="D74" s="127"/>
      <c r="E74" s="141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47" t="s">
        <v>341</v>
      </c>
      <c r="B75" s="190" t="s">
        <v>342</v>
      </c>
      <c r="C75" s="190"/>
      <c r="D75" s="190" t="s">
        <v>343</v>
      </c>
      <c r="E75" s="193">
        <v>45673</v>
      </c>
      <c r="F75" s="99">
        <v>1</v>
      </c>
      <c r="G75" s="190" t="s">
        <v>344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47" t="s">
        <v>345</v>
      </c>
      <c r="B76" s="191"/>
      <c r="C76" s="191"/>
      <c r="D76" s="191"/>
      <c r="E76" s="194"/>
      <c r="F76" s="99">
        <v>2</v>
      </c>
      <c r="G76" s="191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47" t="s">
        <v>346</v>
      </c>
      <c r="B77" s="191"/>
      <c r="C77" s="191"/>
      <c r="D77" s="191"/>
      <c r="E77" s="194"/>
      <c r="F77" s="99">
        <v>3</v>
      </c>
      <c r="G77" s="191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47" t="s">
        <v>347</v>
      </c>
      <c r="B78" s="191"/>
      <c r="C78" s="191"/>
      <c r="D78" s="191"/>
      <c r="E78" s="194"/>
      <c r="F78" s="99">
        <v>4</v>
      </c>
      <c r="G78" s="191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47" t="s">
        <v>348</v>
      </c>
      <c r="B79" s="191"/>
      <c r="C79" s="191"/>
      <c r="D79" s="191"/>
      <c r="E79" s="194"/>
      <c r="F79" s="99">
        <v>5</v>
      </c>
      <c r="G79" s="191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47" t="s">
        <v>349</v>
      </c>
      <c r="B80" s="191"/>
      <c r="C80" s="191"/>
      <c r="D80" s="191"/>
      <c r="E80" s="194"/>
      <c r="F80" s="99">
        <v>6</v>
      </c>
      <c r="G80" s="191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47" t="s">
        <v>350</v>
      </c>
      <c r="B81" s="191"/>
      <c r="C81" s="191"/>
      <c r="D81" s="191"/>
      <c r="E81" s="194"/>
      <c r="F81" s="99">
        <v>7</v>
      </c>
      <c r="G81" s="191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47" t="s">
        <v>351</v>
      </c>
      <c r="B82" s="191"/>
      <c r="C82" s="191"/>
      <c r="D82" s="191"/>
      <c r="E82" s="194"/>
      <c r="F82" s="99">
        <v>8</v>
      </c>
      <c r="G82" s="191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47" t="s">
        <v>352</v>
      </c>
      <c r="B83" s="191"/>
      <c r="C83" s="191"/>
      <c r="D83" s="191"/>
      <c r="E83" s="194"/>
      <c r="F83" s="99">
        <v>9</v>
      </c>
      <c r="G83" s="191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47" t="s">
        <v>353</v>
      </c>
      <c r="B84" s="191"/>
      <c r="C84" s="191"/>
      <c r="D84" s="191"/>
      <c r="E84" s="194"/>
      <c r="F84" s="99">
        <v>10</v>
      </c>
      <c r="G84" s="191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47" t="s">
        <v>354</v>
      </c>
      <c r="B85" s="192"/>
      <c r="C85" s="192"/>
      <c r="D85" s="192"/>
      <c r="E85" s="195"/>
      <c r="F85" s="99">
        <v>11</v>
      </c>
      <c r="G85" s="192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46"/>
      <c r="B86" s="127"/>
      <c r="C86" s="127"/>
      <c r="D86" s="127"/>
      <c r="E86" s="141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47" t="s">
        <v>355</v>
      </c>
      <c r="B87" s="94" t="s">
        <v>356</v>
      </c>
      <c r="C87" s="94" t="s">
        <v>357</v>
      </c>
      <c r="D87" s="186" t="s">
        <v>358</v>
      </c>
      <c r="E87" s="98">
        <v>45640</v>
      </c>
      <c r="F87" s="94">
        <v>1</v>
      </c>
      <c r="G87" s="213" t="s">
        <v>359</v>
      </c>
      <c r="H87" s="186">
        <v>62</v>
      </c>
      <c r="I87" s="186">
        <v>11.7</v>
      </c>
      <c r="J87" s="238">
        <f>K87*L87*M87/1000000</f>
        <v>4.8543999999999997E-2</v>
      </c>
      <c r="K87" s="186">
        <v>32</v>
      </c>
      <c r="L87" s="186">
        <v>37</v>
      </c>
      <c r="M87" s="186">
        <v>41</v>
      </c>
      <c r="N87" s="53" t="s">
        <v>360</v>
      </c>
      <c r="O87" s="213" t="s">
        <v>361</v>
      </c>
    </row>
    <row r="88" spans="1:15" s="101" customFormat="1" ht="21">
      <c r="A88" s="147" t="s">
        <v>362</v>
      </c>
      <c r="B88" s="186" t="s">
        <v>363</v>
      </c>
      <c r="C88" s="186" t="s">
        <v>364</v>
      </c>
      <c r="D88" s="187"/>
      <c r="E88" s="197">
        <v>45673</v>
      </c>
      <c r="F88" s="94">
        <v>1</v>
      </c>
      <c r="G88" s="226"/>
      <c r="H88" s="187"/>
      <c r="I88" s="187"/>
      <c r="J88" s="239"/>
      <c r="K88" s="187"/>
      <c r="L88" s="187"/>
      <c r="M88" s="187"/>
      <c r="N88" s="213" t="s">
        <v>365</v>
      </c>
      <c r="O88" s="226"/>
    </row>
    <row r="89" spans="1:15" s="101" customFormat="1" ht="21">
      <c r="A89" s="147" t="s">
        <v>366</v>
      </c>
      <c r="B89" s="188"/>
      <c r="C89" s="188"/>
      <c r="D89" s="188"/>
      <c r="E89" s="199"/>
      <c r="F89" s="94">
        <v>2</v>
      </c>
      <c r="G89" s="227"/>
      <c r="H89" s="188"/>
      <c r="I89" s="188"/>
      <c r="J89" s="240"/>
      <c r="K89" s="188"/>
      <c r="L89" s="188"/>
      <c r="M89" s="188"/>
      <c r="N89" s="227"/>
      <c r="O89" s="227"/>
    </row>
    <row r="90" spans="1:15" s="105" customFormat="1" ht="22.5">
      <c r="A90" s="146"/>
      <c r="B90" s="127"/>
      <c r="C90" s="127"/>
      <c r="D90" s="127"/>
      <c r="E90" s="141"/>
      <c r="F90" s="102">
        <v>1</v>
      </c>
      <c r="G90" s="121"/>
      <c r="H90" s="109"/>
      <c r="I90" s="109">
        <f>SUM(I87:I89)</f>
        <v>11.7</v>
      </c>
      <c r="J90" s="125">
        <f>SUM(J87:J89)</f>
        <v>4.8543999999999997E-2</v>
      </c>
      <c r="K90" s="109"/>
      <c r="L90" s="109"/>
      <c r="M90" s="109"/>
      <c r="N90" s="126"/>
      <c r="O90" s="126"/>
    </row>
    <row r="91" spans="1:15" s="101" customFormat="1" ht="21">
      <c r="A91" s="147" t="s">
        <v>367</v>
      </c>
      <c r="B91" s="99" t="s">
        <v>368</v>
      </c>
      <c r="C91" s="99" t="s">
        <v>369</v>
      </c>
      <c r="D91" s="99" t="s">
        <v>370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46"/>
      <c r="B92" s="127"/>
      <c r="C92" s="127"/>
      <c r="D92" s="127"/>
      <c r="E92" s="141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47" t="s">
        <v>59</v>
      </c>
      <c r="B93" s="99" t="s">
        <v>138</v>
      </c>
      <c r="C93" s="99" t="s">
        <v>139</v>
      </c>
      <c r="D93" s="99" t="s">
        <v>45</v>
      </c>
      <c r="E93" s="91">
        <v>45675</v>
      </c>
      <c r="F93" s="99">
        <v>1</v>
      </c>
      <c r="G93" s="99" t="s">
        <v>140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46"/>
      <c r="B94" s="42"/>
      <c r="C94" s="42"/>
      <c r="D94" s="42"/>
      <c r="E94" s="142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47" t="s">
        <v>141</v>
      </c>
      <c r="B95" s="99" t="s">
        <v>142</v>
      </c>
      <c r="C95" s="99" t="s">
        <v>143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46"/>
      <c r="B96" s="42"/>
      <c r="C96" s="42"/>
      <c r="D96" s="42"/>
      <c r="E96" s="142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47" t="s">
        <v>144</v>
      </c>
      <c r="B97" s="99" t="s">
        <v>145</v>
      </c>
      <c r="C97" s="99" t="s">
        <v>146</v>
      </c>
      <c r="D97" s="99" t="s">
        <v>45</v>
      </c>
      <c r="E97" s="91">
        <v>45676</v>
      </c>
      <c r="F97" s="99">
        <v>1</v>
      </c>
      <c r="G97" s="106" t="s">
        <v>147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46"/>
      <c r="B98" s="42"/>
      <c r="C98" s="42"/>
      <c r="D98" s="42"/>
      <c r="E98" s="142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47" t="s">
        <v>148</v>
      </c>
      <c r="B99" s="99" t="s">
        <v>149</v>
      </c>
      <c r="C99" s="99" t="s">
        <v>150</v>
      </c>
      <c r="D99" s="99" t="s">
        <v>45</v>
      </c>
      <c r="E99" s="91">
        <v>45676</v>
      </c>
      <c r="F99" s="99">
        <v>1</v>
      </c>
      <c r="G99" s="99" t="s">
        <v>151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46"/>
      <c r="B100" s="42"/>
      <c r="C100" s="42"/>
      <c r="D100" s="42"/>
      <c r="E100" s="142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47" t="s">
        <v>152</v>
      </c>
      <c r="B101" s="99" t="s">
        <v>153</v>
      </c>
      <c r="C101" s="99" t="s">
        <v>154</v>
      </c>
      <c r="D101" s="99" t="s">
        <v>155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49"/>
      <c r="B102" s="127"/>
      <c r="C102" s="127"/>
      <c r="D102" s="127"/>
      <c r="E102" s="141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47" t="s">
        <v>156</v>
      </c>
      <c r="B103" s="94" t="s">
        <v>157</v>
      </c>
      <c r="C103" s="94" t="s">
        <v>158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8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159</v>
      </c>
    </row>
    <row r="104" spans="1:15" s="105" customFormat="1" ht="22.5">
      <c r="A104" s="146"/>
      <c r="B104" s="42"/>
      <c r="C104" s="42"/>
      <c r="D104" s="42"/>
      <c r="E104" s="142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47" t="s">
        <v>160</v>
      </c>
      <c r="B105" s="99" t="s">
        <v>161</v>
      </c>
      <c r="C105" s="99" t="s">
        <v>162</v>
      </c>
      <c r="D105" s="99" t="s">
        <v>155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46"/>
      <c r="B106" s="42"/>
      <c r="C106" s="42"/>
      <c r="D106" s="42"/>
      <c r="E106" s="142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47" t="s">
        <v>163</v>
      </c>
      <c r="B107" s="99" t="s">
        <v>164</v>
      </c>
      <c r="C107" s="99" t="s">
        <v>165</v>
      </c>
      <c r="D107" s="99" t="s">
        <v>45</v>
      </c>
      <c r="E107" s="91">
        <v>45678</v>
      </c>
      <c r="F107" s="99">
        <v>1</v>
      </c>
      <c r="G107" s="106" t="s">
        <v>166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46"/>
      <c r="B108" s="42"/>
      <c r="C108" s="42"/>
      <c r="D108" s="42"/>
      <c r="E108" s="142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47" t="s">
        <v>167</v>
      </c>
      <c r="B109" s="99" t="s">
        <v>168</v>
      </c>
      <c r="C109" s="99" t="s">
        <v>169</v>
      </c>
      <c r="D109" s="99" t="s">
        <v>45</v>
      </c>
      <c r="E109" s="91">
        <v>45678</v>
      </c>
      <c r="F109" s="99">
        <v>1</v>
      </c>
      <c r="G109" s="106" t="s">
        <v>170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46"/>
      <c r="B110" s="42"/>
      <c r="C110" s="42"/>
      <c r="D110" s="42"/>
      <c r="E110" s="142"/>
      <c r="F110" s="102">
        <v>1</v>
      </c>
      <c r="G110" s="111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171</v>
      </c>
      <c r="B111" s="190" t="s">
        <v>172</v>
      </c>
      <c r="C111" s="190" t="s">
        <v>173</v>
      </c>
      <c r="D111" s="190" t="s">
        <v>44</v>
      </c>
      <c r="E111" s="193">
        <v>45680</v>
      </c>
      <c r="F111" s="99">
        <v>1</v>
      </c>
      <c r="G111" s="206" t="s">
        <v>174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175</v>
      </c>
      <c r="B112" s="191"/>
      <c r="C112" s="191"/>
      <c r="D112" s="191"/>
      <c r="E112" s="194"/>
      <c r="F112" s="99">
        <v>2</v>
      </c>
      <c r="G112" s="191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176</v>
      </c>
      <c r="B113" s="191"/>
      <c r="C113" s="191"/>
      <c r="D113" s="191"/>
      <c r="E113" s="194"/>
      <c r="F113" s="99">
        <v>3</v>
      </c>
      <c r="G113" s="191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177</v>
      </c>
      <c r="B114" s="192"/>
      <c r="C114" s="192"/>
      <c r="D114" s="192"/>
      <c r="E114" s="195"/>
      <c r="F114" s="99">
        <v>4</v>
      </c>
      <c r="G114" s="192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2"/>
      <c r="F115" s="102">
        <v>4</v>
      </c>
      <c r="G115" s="109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446</v>
      </c>
      <c r="B116" s="99" t="s">
        <v>447</v>
      </c>
      <c r="C116" s="99" t="s">
        <v>448</v>
      </c>
      <c r="D116" s="99" t="s">
        <v>449</v>
      </c>
      <c r="E116" s="151">
        <v>45698</v>
      </c>
      <c r="F116" s="99">
        <v>1</v>
      </c>
      <c r="G116" s="99" t="s">
        <v>450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451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1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452</v>
      </c>
      <c r="B118" s="230" t="s">
        <v>453</v>
      </c>
      <c r="C118" s="99" t="s">
        <v>454</v>
      </c>
      <c r="D118" s="230" t="s">
        <v>449</v>
      </c>
      <c r="E118" s="231">
        <v>45698</v>
      </c>
      <c r="F118" s="99">
        <v>1</v>
      </c>
      <c r="G118" s="230" t="s">
        <v>450</v>
      </c>
      <c r="H118" s="230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30" t="s">
        <v>24</v>
      </c>
    </row>
    <row r="119" spans="1:15" s="56" customFormat="1" ht="21" customHeight="1">
      <c r="A119" s="99" t="s">
        <v>455</v>
      </c>
      <c r="B119" s="230"/>
      <c r="C119" s="99" t="s">
        <v>456</v>
      </c>
      <c r="D119" s="230"/>
      <c r="E119" s="231"/>
      <c r="F119" s="99">
        <v>2</v>
      </c>
      <c r="G119" s="230"/>
      <c r="H119" s="230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30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1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457</v>
      </c>
      <c r="B121" s="99" t="s">
        <v>458</v>
      </c>
      <c r="C121" s="99" t="s">
        <v>459</v>
      </c>
      <c r="D121" s="99" t="s">
        <v>460</v>
      </c>
      <c r="E121" s="151">
        <v>45698</v>
      </c>
      <c r="F121" s="99">
        <v>1</v>
      </c>
      <c r="G121" s="99" t="s">
        <v>450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1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461</v>
      </c>
      <c r="B123" s="99" t="s">
        <v>462</v>
      </c>
      <c r="C123" s="99" t="s">
        <v>463</v>
      </c>
      <c r="D123" s="99" t="s">
        <v>155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464</v>
      </c>
      <c r="B125" s="99" t="s">
        <v>465</v>
      </c>
      <c r="C125" s="99" t="s">
        <v>466</v>
      </c>
      <c r="D125" s="99" t="s">
        <v>467</v>
      </c>
      <c r="E125" s="91">
        <v>45703</v>
      </c>
      <c r="F125" s="99">
        <v>1</v>
      </c>
      <c r="G125" s="106" t="s">
        <v>468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1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469</v>
      </c>
      <c r="B127" s="99" t="s">
        <v>470</v>
      </c>
      <c r="C127" s="99" t="s">
        <v>471</v>
      </c>
      <c r="D127" s="99" t="s">
        <v>472</v>
      </c>
      <c r="E127" s="91">
        <v>45705</v>
      </c>
      <c r="F127" s="99">
        <v>1</v>
      </c>
      <c r="G127" s="99" t="s">
        <v>473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1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492</v>
      </c>
      <c r="B129" s="99" t="s">
        <v>493</v>
      </c>
      <c r="C129" s="99" t="s">
        <v>494</v>
      </c>
      <c r="D129" s="99" t="s">
        <v>214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1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495</v>
      </c>
      <c r="B131" s="190" t="s">
        <v>496</v>
      </c>
      <c r="C131" s="190" t="s">
        <v>497</v>
      </c>
      <c r="D131" s="190" t="s">
        <v>358</v>
      </c>
      <c r="E131" s="193">
        <v>45706</v>
      </c>
      <c r="F131" s="99">
        <v>1</v>
      </c>
      <c r="G131" s="190" t="s">
        <v>498</v>
      </c>
      <c r="H131" s="190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206" t="s">
        <v>499</v>
      </c>
      <c r="O131" s="99"/>
    </row>
    <row r="132" spans="1:15" s="56" customFormat="1" ht="21" customHeight="1">
      <c r="A132" s="99" t="s">
        <v>500</v>
      </c>
      <c r="B132" s="191"/>
      <c r="C132" s="191"/>
      <c r="D132" s="191"/>
      <c r="E132" s="194"/>
      <c r="F132" s="99">
        <v>2</v>
      </c>
      <c r="G132" s="191"/>
      <c r="H132" s="191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233"/>
      <c r="O132" s="99"/>
    </row>
    <row r="133" spans="1:15" s="56" customFormat="1" ht="21" customHeight="1">
      <c r="A133" s="99" t="s">
        <v>215</v>
      </c>
      <c r="B133" s="191"/>
      <c r="C133" s="191"/>
      <c r="D133" s="191"/>
      <c r="E133" s="194"/>
      <c r="F133" s="99">
        <v>3</v>
      </c>
      <c r="G133" s="191"/>
      <c r="H133" s="191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233"/>
      <c r="O133" s="99"/>
    </row>
    <row r="134" spans="1:15" s="56" customFormat="1" ht="21" customHeight="1">
      <c r="A134" s="99" t="s">
        <v>501</v>
      </c>
      <c r="B134" s="192"/>
      <c r="C134" s="192"/>
      <c r="D134" s="192"/>
      <c r="E134" s="195"/>
      <c r="F134" s="99">
        <v>4</v>
      </c>
      <c r="G134" s="192"/>
      <c r="H134" s="192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234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09"/>
      <c r="H135" s="109"/>
      <c r="I135" s="102">
        <v>40.799999999999997</v>
      </c>
      <c r="J135" s="103">
        <v>0.15190000000000001</v>
      </c>
      <c r="K135" s="102"/>
      <c r="L135" s="102"/>
      <c r="M135" s="102"/>
      <c r="N135" s="162"/>
      <c r="O135" s="104"/>
    </row>
    <row r="136" spans="1:15" s="56" customFormat="1" ht="21" customHeight="1">
      <c r="A136" s="94" t="s">
        <v>502</v>
      </c>
      <c r="B136" s="186" t="s">
        <v>503</v>
      </c>
      <c r="C136" s="186" t="s">
        <v>504</v>
      </c>
      <c r="D136" s="186" t="s">
        <v>505</v>
      </c>
      <c r="E136" s="197">
        <v>45706</v>
      </c>
      <c r="F136" s="94">
        <v>1</v>
      </c>
      <c r="G136" s="213" t="s">
        <v>506</v>
      </c>
      <c r="H136" s="186">
        <v>553</v>
      </c>
      <c r="I136" s="94">
        <v>14.2</v>
      </c>
      <c r="J136" s="108">
        <v>8.5260000000000002E-2</v>
      </c>
      <c r="K136" s="94">
        <v>58</v>
      </c>
      <c r="L136" s="94">
        <v>30</v>
      </c>
      <c r="M136" s="94">
        <v>49</v>
      </c>
      <c r="N136" s="94"/>
      <c r="O136" s="186" t="s">
        <v>159</v>
      </c>
    </row>
    <row r="137" spans="1:15" s="56" customFormat="1" ht="21" customHeight="1">
      <c r="A137" s="94" t="s">
        <v>507</v>
      </c>
      <c r="B137" s="187"/>
      <c r="C137" s="187"/>
      <c r="D137" s="187"/>
      <c r="E137" s="198"/>
      <c r="F137" s="94">
        <v>2</v>
      </c>
      <c r="G137" s="226"/>
      <c r="H137" s="187"/>
      <c r="I137" s="94">
        <v>11.9</v>
      </c>
      <c r="J137" s="108">
        <v>8.5260000000000002E-2</v>
      </c>
      <c r="K137" s="94">
        <v>58</v>
      </c>
      <c r="L137" s="94">
        <v>30</v>
      </c>
      <c r="M137" s="94">
        <v>49</v>
      </c>
      <c r="N137" s="94"/>
      <c r="O137" s="187"/>
    </row>
    <row r="138" spans="1:15" s="56" customFormat="1" ht="21" customHeight="1">
      <c r="A138" s="94" t="s">
        <v>508</v>
      </c>
      <c r="B138" s="187"/>
      <c r="C138" s="187"/>
      <c r="D138" s="187"/>
      <c r="E138" s="198"/>
      <c r="F138" s="94">
        <v>3</v>
      </c>
      <c r="G138" s="226"/>
      <c r="H138" s="187"/>
      <c r="I138" s="94">
        <v>13.8</v>
      </c>
      <c r="J138" s="108">
        <v>8.5260000000000002E-2</v>
      </c>
      <c r="K138" s="94">
        <v>58</v>
      </c>
      <c r="L138" s="94">
        <v>30</v>
      </c>
      <c r="M138" s="94">
        <v>49</v>
      </c>
      <c r="N138" s="94"/>
      <c r="O138" s="187"/>
    </row>
    <row r="139" spans="1:15" s="56" customFormat="1" ht="21" customHeight="1">
      <c r="A139" s="94" t="s">
        <v>509</v>
      </c>
      <c r="B139" s="187"/>
      <c r="C139" s="187"/>
      <c r="D139" s="187"/>
      <c r="E139" s="198"/>
      <c r="F139" s="94">
        <v>4</v>
      </c>
      <c r="G139" s="226"/>
      <c r="H139" s="187"/>
      <c r="I139" s="94">
        <v>17.600000000000001</v>
      </c>
      <c r="J139" s="108">
        <v>8.5260000000000002E-2</v>
      </c>
      <c r="K139" s="94">
        <v>58</v>
      </c>
      <c r="L139" s="94">
        <v>30</v>
      </c>
      <c r="M139" s="94">
        <v>49</v>
      </c>
      <c r="N139" s="94"/>
      <c r="O139" s="187"/>
    </row>
    <row r="140" spans="1:15" s="56" customFormat="1" ht="21" customHeight="1">
      <c r="A140" s="94" t="s">
        <v>510</v>
      </c>
      <c r="B140" s="187"/>
      <c r="C140" s="187"/>
      <c r="D140" s="187"/>
      <c r="E140" s="198"/>
      <c r="F140" s="94">
        <v>5</v>
      </c>
      <c r="G140" s="226"/>
      <c r="H140" s="187"/>
      <c r="I140" s="94">
        <v>7.8</v>
      </c>
      <c r="J140" s="108">
        <v>4.8160000000000001E-2</v>
      </c>
      <c r="K140" s="94">
        <v>35</v>
      </c>
      <c r="L140" s="94">
        <v>32</v>
      </c>
      <c r="M140" s="94">
        <v>43</v>
      </c>
      <c r="N140" s="94"/>
      <c r="O140" s="187"/>
    </row>
    <row r="141" spans="1:15" s="56" customFormat="1" ht="21" customHeight="1">
      <c r="A141" s="94" t="s">
        <v>511</v>
      </c>
      <c r="B141" s="187"/>
      <c r="C141" s="187"/>
      <c r="D141" s="187"/>
      <c r="E141" s="198"/>
      <c r="F141" s="94">
        <v>6</v>
      </c>
      <c r="G141" s="226"/>
      <c r="H141" s="187"/>
      <c r="I141" s="94">
        <v>15.5</v>
      </c>
      <c r="J141" s="108">
        <v>8.5260000000000002E-2</v>
      </c>
      <c r="K141" s="94">
        <v>58</v>
      </c>
      <c r="L141" s="94">
        <v>30</v>
      </c>
      <c r="M141" s="94">
        <v>49</v>
      </c>
      <c r="N141" s="94"/>
      <c r="O141" s="187"/>
    </row>
    <row r="142" spans="1:15" s="56" customFormat="1" ht="21" customHeight="1">
      <c r="A142" s="94" t="s">
        <v>512</v>
      </c>
      <c r="B142" s="188"/>
      <c r="C142" s="188"/>
      <c r="D142" s="188"/>
      <c r="E142" s="199"/>
      <c r="F142" s="94">
        <v>7</v>
      </c>
      <c r="G142" s="227"/>
      <c r="H142" s="188"/>
      <c r="I142" s="94">
        <v>14.6</v>
      </c>
      <c r="J142" s="108">
        <v>8.5260000000000002E-2</v>
      </c>
      <c r="K142" s="94">
        <v>58</v>
      </c>
      <c r="L142" s="94">
        <v>30</v>
      </c>
      <c r="M142" s="94">
        <v>49</v>
      </c>
      <c r="N142" s="94"/>
      <c r="O142" s="188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1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A144" s="99" t="s">
        <v>521</v>
      </c>
      <c r="B144" s="99" t="s">
        <v>522</v>
      </c>
      <c r="C144" s="99" t="s">
        <v>523</v>
      </c>
      <c r="D144" s="99" t="s">
        <v>524</v>
      </c>
      <c r="E144" s="91">
        <v>45707</v>
      </c>
      <c r="F144" s="99">
        <v>1</v>
      </c>
      <c r="G144" s="106" t="s">
        <v>525</v>
      </c>
      <c r="H144" s="99"/>
      <c r="I144" s="99">
        <v>0.9</v>
      </c>
      <c r="J144" s="100">
        <v>1.14E-2</v>
      </c>
      <c r="K144" s="99">
        <v>30</v>
      </c>
      <c r="L144" s="99">
        <v>20</v>
      </c>
      <c r="M144" s="99">
        <v>19</v>
      </c>
      <c r="N144" s="99"/>
      <c r="O144" s="99" t="s">
        <v>24</v>
      </c>
    </row>
    <row r="145" spans="1:15" s="56" customFormat="1" ht="21" customHeight="1">
      <c r="A145" s="42"/>
      <c r="B145" s="42"/>
      <c r="C145" s="42"/>
      <c r="D145" s="42"/>
      <c r="E145" s="42"/>
      <c r="F145" s="102">
        <v>1</v>
      </c>
      <c r="G145" s="111"/>
      <c r="H145" s="102"/>
      <c r="I145" s="102">
        <f>SUM(I144:I144)</f>
        <v>0.9</v>
      </c>
      <c r="J145" s="103">
        <f>SUM(J144:J144)</f>
        <v>1.14E-2</v>
      </c>
      <c r="K145" s="102"/>
      <c r="L145" s="102"/>
      <c r="M145" s="102"/>
      <c r="N145" s="104"/>
      <c r="O145" s="104"/>
    </row>
    <row r="146" spans="1:15" s="56" customFormat="1" ht="21" customHeight="1">
      <c r="A146" s="99" t="s">
        <v>526</v>
      </c>
      <c r="B146" s="99" t="s">
        <v>527</v>
      </c>
      <c r="C146" s="99" t="s">
        <v>528</v>
      </c>
      <c r="D146" s="99" t="s">
        <v>214</v>
      </c>
      <c r="E146" s="91">
        <v>45707</v>
      </c>
      <c r="F146" s="99">
        <v>1</v>
      </c>
      <c r="G146" s="99" t="s">
        <v>97</v>
      </c>
      <c r="H146" s="99">
        <v>1</v>
      </c>
      <c r="I146" s="99">
        <v>2.1</v>
      </c>
      <c r="J146" s="100">
        <v>1.8096000000000001E-2</v>
      </c>
      <c r="K146" s="99">
        <v>39</v>
      </c>
      <c r="L146" s="99">
        <v>29</v>
      </c>
      <c r="M146" s="99">
        <v>16</v>
      </c>
      <c r="N146" s="99"/>
      <c r="O146" s="99" t="s">
        <v>24</v>
      </c>
    </row>
    <row r="147" spans="1:15" s="56" customFormat="1" ht="21" customHeight="1">
      <c r="A147" s="42"/>
      <c r="B147" s="42"/>
      <c r="C147" s="42"/>
      <c r="D147" s="42"/>
      <c r="E147" s="42"/>
      <c r="F147" s="102">
        <v>1</v>
      </c>
      <c r="G147" s="111"/>
      <c r="H147" s="102"/>
      <c r="I147" s="102">
        <f>SUM(I146:I146)</f>
        <v>2.1</v>
      </c>
      <c r="J147" s="103">
        <f>SUM(J146:J146)</f>
        <v>1.8096000000000001E-2</v>
      </c>
      <c r="K147" s="102"/>
      <c r="L147" s="102"/>
      <c r="M147" s="102"/>
      <c r="N147" s="104"/>
      <c r="O147" s="104"/>
    </row>
    <row r="148" spans="1:15" s="56" customFormat="1" ht="21" customHeight="1">
      <c r="A148" s="90" t="s">
        <v>529</v>
      </c>
      <c r="B148" s="99" t="s">
        <v>530</v>
      </c>
      <c r="C148" s="99" t="s">
        <v>531</v>
      </c>
      <c r="D148" s="99" t="s">
        <v>505</v>
      </c>
      <c r="E148" s="91">
        <v>45707</v>
      </c>
      <c r="F148" s="99">
        <v>1</v>
      </c>
      <c r="G148" s="99" t="s">
        <v>227</v>
      </c>
      <c r="H148" s="99"/>
      <c r="I148" s="99">
        <v>20.9</v>
      </c>
      <c r="J148" s="100">
        <v>3.0099999999999998E-2</v>
      </c>
      <c r="K148" s="99">
        <v>43</v>
      </c>
      <c r="L148" s="99">
        <v>28</v>
      </c>
      <c r="M148" s="99">
        <v>25</v>
      </c>
      <c r="N148" s="99"/>
      <c r="O148" s="99"/>
    </row>
    <row r="149" spans="1:15" s="56" customFormat="1" ht="21" customHeight="1">
      <c r="A149" s="42"/>
      <c r="B149" s="42"/>
      <c r="C149" s="42"/>
      <c r="D149" s="42"/>
      <c r="E149" s="42"/>
      <c r="F149" s="102">
        <v>1</v>
      </c>
      <c r="G149" s="111"/>
      <c r="H149" s="102"/>
      <c r="I149" s="102">
        <f>SUM(I148:I148)</f>
        <v>20.9</v>
      </c>
      <c r="J149" s="103">
        <f>SUM(J148:J148)</f>
        <v>3.0099999999999998E-2</v>
      </c>
      <c r="K149" s="102"/>
      <c r="L149" s="102"/>
      <c r="M149" s="102"/>
      <c r="N149" s="104"/>
      <c r="O149" s="104"/>
    </row>
    <row r="150" spans="1:15" s="56" customFormat="1" ht="21" customHeight="1">
      <c r="A150" s="113" t="s">
        <v>355</v>
      </c>
      <c r="B150" s="113" t="s">
        <v>569</v>
      </c>
      <c r="C150" s="113" t="s">
        <v>570</v>
      </c>
      <c r="D150" s="113" t="s">
        <v>214</v>
      </c>
      <c r="E150" s="83">
        <v>45709</v>
      </c>
      <c r="F150" s="113">
        <v>1</v>
      </c>
      <c r="G150" s="113" t="s">
        <v>97</v>
      </c>
      <c r="H150" s="113"/>
      <c r="I150" s="113">
        <v>1.2</v>
      </c>
      <c r="J150" s="114">
        <f>K150*L150*M150/1000000</f>
        <v>1.3650000000000001E-2</v>
      </c>
      <c r="K150" s="113">
        <v>35</v>
      </c>
      <c r="L150" s="113">
        <v>26</v>
      </c>
      <c r="M150" s="113">
        <v>15</v>
      </c>
      <c r="N150" s="113"/>
      <c r="O150" s="113" t="s">
        <v>24</v>
      </c>
    </row>
    <row r="151" spans="1:15" s="56" customFormat="1" ht="21" customHeight="1">
      <c r="A151" s="42"/>
      <c r="B151" s="42"/>
      <c r="C151" s="42"/>
      <c r="D151" s="42"/>
      <c r="E151" s="42"/>
      <c r="F151" s="116">
        <v>1</v>
      </c>
      <c r="G151" s="111"/>
      <c r="H151" s="116"/>
      <c r="I151" s="116">
        <f>SUM(I150:I150)</f>
        <v>1.2</v>
      </c>
      <c r="J151" s="117">
        <f>SUM(J150:J150)</f>
        <v>1.3650000000000001E-2</v>
      </c>
      <c r="K151" s="116"/>
      <c r="L151" s="116"/>
      <c r="M151" s="116"/>
      <c r="N151" s="118"/>
      <c r="O151" s="118"/>
    </row>
    <row r="152" spans="1:15" s="56" customFormat="1" ht="21" customHeight="1">
      <c r="A152" s="113" t="s">
        <v>571</v>
      </c>
      <c r="B152" s="113" t="s">
        <v>572</v>
      </c>
      <c r="C152" s="113" t="s">
        <v>573</v>
      </c>
      <c r="D152" s="113" t="s">
        <v>214</v>
      </c>
      <c r="E152" s="83">
        <v>45710</v>
      </c>
      <c r="F152" s="113">
        <v>1</v>
      </c>
      <c r="G152" s="113" t="s">
        <v>97</v>
      </c>
      <c r="H152" s="113">
        <v>1</v>
      </c>
      <c r="I152" s="113">
        <v>2.1</v>
      </c>
      <c r="J152" s="114">
        <f>K152*L152*M152/1000000</f>
        <v>2.0552999999999998E-2</v>
      </c>
      <c r="K152" s="113">
        <v>39</v>
      </c>
      <c r="L152" s="113">
        <v>31</v>
      </c>
      <c r="M152" s="113">
        <v>17</v>
      </c>
      <c r="N152" s="113"/>
      <c r="O152" s="113" t="s">
        <v>24</v>
      </c>
    </row>
    <row r="153" spans="1:15" s="56" customFormat="1" ht="21" customHeight="1">
      <c r="A153" s="42"/>
      <c r="B153" s="42"/>
      <c r="C153" s="42"/>
      <c r="D153" s="42"/>
      <c r="E153" s="42"/>
      <c r="F153" s="116">
        <v>1</v>
      </c>
      <c r="G153" s="111"/>
      <c r="H153" s="116"/>
      <c r="I153" s="116">
        <f>SUM(I152:I152)</f>
        <v>2.1</v>
      </c>
      <c r="J153" s="117">
        <f>SUM(J152:J152)</f>
        <v>2.0552999999999998E-2</v>
      </c>
      <c r="K153" s="116"/>
      <c r="L153" s="116"/>
      <c r="M153" s="116"/>
      <c r="N153" s="118"/>
      <c r="O153" s="118"/>
    </row>
    <row r="154" spans="1:15" s="56" customFormat="1" ht="21" customHeight="1">
      <c r="A154" s="113" t="s">
        <v>574</v>
      </c>
      <c r="B154" s="113" t="s">
        <v>575</v>
      </c>
      <c r="C154" s="113" t="s">
        <v>576</v>
      </c>
      <c r="D154" s="113" t="s">
        <v>214</v>
      </c>
      <c r="E154" s="83">
        <v>45710</v>
      </c>
      <c r="F154" s="113">
        <v>1</v>
      </c>
      <c r="G154" s="113" t="s">
        <v>97</v>
      </c>
      <c r="H154" s="113">
        <v>1</v>
      </c>
      <c r="I154" s="113">
        <v>1.8</v>
      </c>
      <c r="J154" s="114">
        <f>K154*L154*M154/1000000</f>
        <v>1.7441999999999999E-2</v>
      </c>
      <c r="K154" s="113">
        <v>38</v>
      </c>
      <c r="L154" s="113">
        <v>27</v>
      </c>
      <c r="M154" s="113">
        <v>17</v>
      </c>
      <c r="N154" s="113"/>
      <c r="O154" s="113" t="s">
        <v>24</v>
      </c>
    </row>
    <row r="155" spans="1:15" s="56" customFormat="1" ht="21" customHeight="1">
      <c r="A155" s="42"/>
      <c r="B155" s="42"/>
      <c r="C155" s="42"/>
      <c r="D155" s="42"/>
      <c r="E155" s="42"/>
      <c r="F155" s="116">
        <v>1</v>
      </c>
      <c r="G155" s="111"/>
      <c r="H155" s="116"/>
      <c r="I155" s="116">
        <f>SUM(I154:I154)</f>
        <v>1.8</v>
      </c>
      <c r="J155" s="117">
        <f>SUM(J154:J154)</f>
        <v>1.7441999999999999E-2</v>
      </c>
      <c r="K155" s="116"/>
      <c r="L155" s="116"/>
      <c r="M155" s="116"/>
      <c r="N155" s="118"/>
      <c r="O155" s="118"/>
    </row>
    <row r="156" spans="1:15" s="56" customFormat="1" ht="21" customHeight="1">
      <c r="A156" s="81" t="s">
        <v>175</v>
      </c>
      <c r="B156" s="113" t="s">
        <v>585</v>
      </c>
      <c r="C156" s="106" t="s">
        <v>586</v>
      </c>
      <c r="D156" s="113" t="s">
        <v>587</v>
      </c>
      <c r="E156" s="175">
        <v>45712</v>
      </c>
      <c r="F156" s="113">
        <v>1</v>
      </c>
      <c r="G156" s="113" t="s">
        <v>97</v>
      </c>
      <c r="H156" s="113">
        <v>1</v>
      </c>
      <c r="I156" s="113">
        <v>0.7</v>
      </c>
      <c r="J156" s="114">
        <v>1.17E-2</v>
      </c>
      <c r="K156" s="113">
        <v>36</v>
      </c>
      <c r="L156" s="113">
        <v>25</v>
      </c>
      <c r="M156" s="113">
        <v>13</v>
      </c>
      <c r="N156" s="113"/>
      <c r="O156" s="113" t="s">
        <v>24</v>
      </c>
    </row>
    <row r="157" spans="1:15" s="56" customFormat="1" ht="21" customHeight="1">
      <c r="A157" s="42"/>
      <c r="B157" s="42"/>
      <c r="C157" s="42"/>
      <c r="D157" s="42"/>
      <c r="E157" s="42"/>
      <c r="F157" s="116">
        <v>1</v>
      </c>
      <c r="G157" s="111"/>
      <c r="H157" s="116"/>
      <c r="I157" s="116">
        <f>SUM(I156:I156)</f>
        <v>0.7</v>
      </c>
      <c r="J157" s="117">
        <f>SUM(J156:J156)</f>
        <v>1.17E-2</v>
      </c>
      <c r="K157" s="116"/>
      <c r="L157" s="116"/>
      <c r="M157" s="116"/>
      <c r="N157" s="118"/>
      <c r="O157" s="118"/>
    </row>
    <row r="158" spans="1:15" s="56" customFormat="1" ht="21" customHeight="1">
      <c r="A158" s="113" t="s">
        <v>588</v>
      </c>
      <c r="B158" s="113" t="s">
        <v>589</v>
      </c>
      <c r="C158" s="113" t="s">
        <v>590</v>
      </c>
      <c r="D158" s="113" t="s">
        <v>591</v>
      </c>
      <c r="E158" s="175">
        <v>45712</v>
      </c>
      <c r="F158" s="113">
        <v>1</v>
      </c>
      <c r="G158" s="113" t="s">
        <v>592</v>
      </c>
      <c r="H158" s="113"/>
      <c r="I158" s="113">
        <v>1.2</v>
      </c>
      <c r="J158" s="114">
        <v>9.9749999999999995E-3</v>
      </c>
      <c r="K158" s="113">
        <v>25</v>
      </c>
      <c r="L158" s="113">
        <v>21</v>
      </c>
      <c r="M158" s="113">
        <v>19</v>
      </c>
      <c r="N158" s="113"/>
      <c r="O158" s="113" t="s">
        <v>24</v>
      </c>
    </row>
    <row r="159" spans="1:15" s="56" customFormat="1" ht="21" customHeight="1">
      <c r="A159" s="42"/>
      <c r="B159" s="42"/>
      <c r="C159" s="42"/>
      <c r="D159" s="42"/>
      <c r="E159" s="42"/>
      <c r="F159" s="116">
        <v>1</v>
      </c>
      <c r="G159" s="111"/>
      <c r="H159" s="116"/>
      <c r="I159" s="116">
        <f>SUM(I158:I158)</f>
        <v>1.2</v>
      </c>
      <c r="J159" s="117">
        <f>SUM(J158:J158)</f>
        <v>9.9749999999999995E-3</v>
      </c>
      <c r="K159" s="116"/>
      <c r="L159" s="116"/>
      <c r="M159" s="116"/>
      <c r="N159" s="118"/>
      <c r="O159" s="118"/>
    </row>
    <row r="160" spans="1:15" s="56" customFormat="1" ht="21" customHeight="1">
      <c r="A160" s="113" t="s">
        <v>593</v>
      </c>
      <c r="B160" s="113" t="s">
        <v>594</v>
      </c>
      <c r="C160" s="113" t="s">
        <v>595</v>
      </c>
      <c r="D160" s="113" t="s">
        <v>596</v>
      </c>
      <c r="E160" s="175">
        <v>45712</v>
      </c>
      <c r="F160" s="113">
        <v>1</v>
      </c>
      <c r="G160" s="106" t="s">
        <v>597</v>
      </c>
      <c r="H160" s="113">
        <v>10</v>
      </c>
      <c r="I160" s="113">
        <v>10.1</v>
      </c>
      <c r="J160" s="114">
        <v>3.9269999999999999E-2</v>
      </c>
      <c r="K160" s="113">
        <v>35</v>
      </c>
      <c r="L160" s="113">
        <v>34</v>
      </c>
      <c r="M160" s="113">
        <v>33</v>
      </c>
      <c r="N160" s="113"/>
      <c r="O160" s="113"/>
    </row>
    <row r="161" spans="1:15" s="56" customFormat="1" ht="21" customHeight="1">
      <c r="A161" s="42"/>
      <c r="B161" s="42"/>
      <c r="C161" s="42"/>
      <c r="D161" s="42"/>
      <c r="E161" s="42"/>
      <c r="F161" s="116">
        <v>1</v>
      </c>
      <c r="G161" s="111"/>
      <c r="H161" s="116"/>
      <c r="I161" s="116">
        <v>10.1</v>
      </c>
      <c r="J161" s="117">
        <v>3.9269999999999999E-2</v>
      </c>
      <c r="K161" s="116"/>
      <c r="L161" s="116"/>
      <c r="M161" s="116"/>
      <c r="N161" s="118"/>
      <c r="O161" s="118"/>
    </row>
    <row r="162" spans="1:15" s="56" customFormat="1" ht="21" customHeight="1">
      <c r="A162" s="113" t="s">
        <v>598</v>
      </c>
      <c r="B162" s="214" t="s">
        <v>599</v>
      </c>
      <c r="C162" s="113" t="s">
        <v>600</v>
      </c>
      <c r="D162" s="214" t="s">
        <v>238</v>
      </c>
      <c r="E162" s="249">
        <v>45713</v>
      </c>
      <c r="F162" s="113">
        <v>1</v>
      </c>
      <c r="G162" s="214" t="s">
        <v>97</v>
      </c>
      <c r="H162" s="113"/>
      <c r="I162" s="113">
        <v>1.4</v>
      </c>
      <c r="J162" s="114">
        <v>1.3875E-2</v>
      </c>
      <c r="K162" s="113">
        <v>25</v>
      </c>
      <c r="L162" s="113">
        <v>15</v>
      </c>
      <c r="M162" s="113">
        <v>37</v>
      </c>
      <c r="N162" s="113"/>
      <c r="O162" s="214" t="s">
        <v>24</v>
      </c>
    </row>
    <row r="163" spans="1:15" s="56" customFormat="1" ht="21" customHeight="1">
      <c r="A163" s="113" t="s">
        <v>601</v>
      </c>
      <c r="B163" s="216"/>
      <c r="C163" s="113" t="s">
        <v>602</v>
      </c>
      <c r="D163" s="216"/>
      <c r="E163" s="250"/>
      <c r="F163" s="113">
        <v>2</v>
      </c>
      <c r="G163" s="216"/>
      <c r="H163" s="113"/>
      <c r="I163" s="113">
        <v>2</v>
      </c>
      <c r="J163" s="114">
        <v>1.9344E-2</v>
      </c>
      <c r="K163" s="113">
        <v>39</v>
      </c>
      <c r="L163" s="113">
        <v>31</v>
      </c>
      <c r="M163" s="113">
        <v>16</v>
      </c>
      <c r="N163" s="113"/>
      <c r="O163" s="216"/>
    </row>
    <row r="164" spans="1:15" s="56" customFormat="1" ht="21" customHeight="1">
      <c r="A164" s="42"/>
      <c r="B164" s="42"/>
      <c r="C164" s="42"/>
      <c r="D164" s="42"/>
      <c r="E164" s="42"/>
      <c r="F164" s="116">
        <v>2</v>
      </c>
      <c r="G164" s="111"/>
      <c r="H164" s="116"/>
      <c r="I164" s="116">
        <f>SUM(I162:I163)</f>
        <v>3.4</v>
      </c>
      <c r="J164" s="117">
        <f>SUM(J162:J163)</f>
        <v>3.3218999999999999E-2</v>
      </c>
      <c r="K164" s="116"/>
      <c r="L164" s="116"/>
      <c r="M164" s="116"/>
      <c r="N164" s="118"/>
      <c r="O164" s="118"/>
    </row>
    <row r="165" spans="1:15" s="56" customFormat="1" ht="21" customHeight="1">
      <c r="A165" s="113" t="s">
        <v>603</v>
      </c>
      <c r="B165" s="214" t="s">
        <v>604</v>
      </c>
      <c r="C165" s="214" t="s">
        <v>605</v>
      </c>
      <c r="D165" s="214" t="s">
        <v>606</v>
      </c>
      <c r="E165" s="249">
        <v>45713</v>
      </c>
      <c r="F165" s="113">
        <v>1</v>
      </c>
      <c r="G165" s="214" t="s">
        <v>97</v>
      </c>
      <c r="H165" s="214">
        <v>120</v>
      </c>
      <c r="I165" s="113">
        <v>20.7</v>
      </c>
      <c r="J165" s="114">
        <v>0.11700000000000001</v>
      </c>
      <c r="K165" s="113">
        <v>60</v>
      </c>
      <c r="L165" s="113">
        <v>39</v>
      </c>
      <c r="M165" s="113">
        <v>50</v>
      </c>
      <c r="N165" s="113"/>
      <c r="O165" s="214" t="s">
        <v>24</v>
      </c>
    </row>
    <row r="166" spans="1:15" s="56" customFormat="1" ht="21" customHeight="1">
      <c r="A166" s="113" t="s">
        <v>607</v>
      </c>
      <c r="B166" s="215"/>
      <c r="C166" s="215"/>
      <c r="D166" s="215"/>
      <c r="E166" s="223"/>
      <c r="F166" s="113">
        <v>2</v>
      </c>
      <c r="G166" s="215"/>
      <c r="H166" s="215"/>
      <c r="I166" s="113">
        <v>19.5</v>
      </c>
      <c r="J166" s="114">
        <v>0.11700000000000001</v>
      </c>
      <c r="K166" s="113">
        <v>60</v>
      </c>
      <c r="L166" s="113">
        <v>39</v>
      </c>
      <c r="M166" s="113">
        <v>50</v>
      </c>
      <c r="N166" s="113"/>
      <c r="O166" s="215"/>
    </row>
    <row r="167" spans="1:15" s="56" customFormat="1" ht="21" customHeight="1">
      <c r="A167" s="113" t="s">
        <v>608</v>
      </c>
      <c r="B167" s="215"/>
      <c r="C167" s="215"/>
      <c r="D167" s="215"/>
      <c r="E167" s="223"/>
      <c r="F167" s="113">
        <v>3</v>
      </c>
      <c r="G167" s="215"/>
      <c r="H167" s="215"/>
      <c r="I167" s="113">
        <v>22</v>
      </c>
      <c r="J167" s="114">
        <v>0.11700000000000001</v>
      </c>
      <c r="K167" s="113">
        <v>60</v>
      </c>
      <c r="L167" s="113">
        <v>39</v>
      </c>
      <c r="M167" s="113">
        <v>50</v>
      </c>
      <c r="N167" s="113"/>
      <c r="O167" s="215"/>
    </row>
    <row r="168" spans="1:15" s="56" customFormat="1" ht="21" customHeight="1">
      <c r="A168" s="113" t="s">
        <v>609</v>
      </c>
      <c r="B168" s="215"/>
      <c r="C168" s="215"/>
      <c r="D168" s="215"/>
      <c r="E168" s="223"/>
      <c r="F168" s="113">
        <v>4</v>
      </c>
      <c r="G168" s="215"/>
      <c r="H168" s="215"/>
      <c r="I168" s="113">
        <v>21.2</v>
      </c>
      <c r="J168" s="114">
        <v>0.11700000000000001</v>
      </c>
      <c r="K168" s="113">
        <v>60</v>
      </c>
      <c r="L168" s="113">
        <v>39</v>
      </c>
      <c r="M168" s="113">
        <v>50</v>
      </c>
      <c r="N168" s="113"/>
      <c r="O168" s="215"/>
    </row>
    <row r="169" spans="1:15" s="56" customFormat="1" ht="21" customHeight="1">
      <c r="A169" s="113" t="s">
        <v>610</v>
      </c>
      <c r="B169" s="215"/>
      <c r="C169" s="215"/>
      <c r="D169" s="215"/>
      <c r="E169" s="223"/>
      <c r="F169" s="113">
        <v>5</v>
      </c>
      <c r="G169" s="215"/>
      <c r="H169" s="215"/>
      <c r="I169" s="113">
        <v>19.600000000000001</v>
      </c>
      <c r="J169" s="114">
        <v>0.11700000000000001</v>
      </c>
      <c r="K169" s="113">
        <v>60</v>
      </c>
      <c r="L169" s="113">
        <v>39</v>
      </c>
      <c r="M169" s="113">
        <v>50</v>
      </c>
      <c r="N169" s="113"/>
      <c r="O169" s="215"/>
    </row>
    <row r="170" spans="1:15" s="56" customFormat="1" ht="21" customHeight="1">
      <c r="A170" s="113" t="s">
        <v>611</v>
      </c>
      <c r="B170" s="216"/>
      <c r="C170" s="216"/>
      <c r="D170" s="216"/>
      <c r="E170" s="221"/>
      <c r="F170" s="113">
        <v>6</v>
      </c>
      <c r="G170" s="216"/>
      <c r="H170" s="216"/>
      <c r="I170" s="113">
        <v>20.2</v>
      </c>
      <c r="J170" s="114">
        <v>0.11700000000000001</v>
      </c>
      <c r="K170" s="113">
        <v>60</v>
      </c>
      <c r="L170" s="113">
        <v>39</v>
      </c>
      <c r="M170" s="113">
        <v>50</v>
      </c>
      <c r="N170" s="113"/>
      <c r="O170" s="216"/>
    </row>
    <row r="171" spans="1:15" s="56" customFormat="1" ht="21" customHeight="1">
      <c r="A171" s="42"/>
      <c r="B171" s="42"/>
      <c r="C171" s="42"/>
      <c r="D171" s="42"/>
      <c r="E171" s="42"/>
      <c r="F171" s="116">
        <v>6</v>
      </c>
      <c r="G171" s="116"/>
      <c r="H171" s="116"/>
      <c r="I171" s="116">
        <v>123.2</v>
      </c>
      <c r="J171" s="117">
        <v>0.70200000000000007</v>
      </c>
      <c r="K171" s="116"/>
      <c r="L171" s="116"/>
      <c r="M171" s="116"/>
      <c r="N171" s="118"/>
      <c r="O171" s="176"/>
    </row>
    <row r="172" spans="1:15" s="56" customFormat="1" ht="21" customHeight="1">
      <c r="A172" s="99" t="s">
        <v>619</v>
      </c>
      <c r="B172" s="190" t="s">
        <v>620</v>
      </c>
      <c r="C172" s="190" t="s">
        <v>621</v>
      </c>
      <c r="D172" s="190" t="s">
        <v>155</v>
      </c>
      <c r="E172" s="193">
        <v>45714</v>
      </c>
      <c r="F172" s="99">
        <v>1</v>
      </c>
      <c r="G172" s="190" t="s">
        <v>622</v>
      </c>
      <c r="H172" s="190"/>
      <c r="I172" s="99">
        <v>7.1</v>
      </c>
      <c r="J172" s="100">
        <f t="shared" ref="J172:J179" si="1">K172*L172*M172/1000000</f>
        <v>7.8399999999999997E-2</v>
      </c>
      <c r="K172" s="99">
        <v>49</v>
      </c>
      <c r="L172" s="99">
        <v>40</v>
      </c>
      <c r="M172" s="99">
        <v>40</v>
      </c>
      <c r="N172" s="99"/>
      <c r="O172" s="190" t="s">
        <v>24</v>
      </c>
    </row>
    <row r="173" spans="1:15" s="56" customFormat="1" ht="21" customHeight="1">
      <c r="A173" s="99" t="s">
        <v>623</v>
      </c>
      <c r="B173" s="191"/>
      <c r="C173" s="191"/>
      <c r="D173" s="191"/>
      <c r="E173" s="194"/>
      <c r="F173" s="99">
        <v>2</v>
      </c>
      <c r="G173" s="191"/>
      <c r="H173" s="191"/>
      <c r="I173" s="99">
        <v>7.3</v>
      </c>
      <c r="J173" s="100">
        <f t="shared" si="1"/>
        <v>7.8399999999999997E-2</v>
      </c>
      <c r="K173" s="99">
        <v>49</v>
      </c>
      <c r="L173" s="99">
        <v>40</v>
      </c>
      <c r="M173" s="99">
        <v>40</v>
      </c>
      <c r="N173" s="99"/>
      <c r="O173" s="191"/>
    </row>
    <row r="174" spans="1:15" s="56" customFormat="1" ht="21" customHeight="1">
      <c r="A174" s="99" t="s">
        <v>624</v>
      </c>
      <c r="B174" s="191"/>
      <c r="C174" s="191"/>
      <c r="D174" s="191"/>
      <c r="E174" s="194"/>
      <c r="F174" s="99">
        <v>3</v>
      </c>
      <c r="G174" s="191"/>
      <c r="H174" s="191"/>
      <c r="I174" s="99">
        <v>7</v>
      </c>
      <c r="J174" s="100">
        <f t="shared" si="1"/>
        <v>7.8399999999999997E-2</v>
      </c>
      <c r="K174" s="99">
        <v>49</v>
      </c>
      <c r="L174" s="99">
        <v>40</v>
      </c>
      <c r="M174" s="99">
        <v>40</v>
      </c>
      <c r="N174" s="99"/>
      <c r="O174" s="191"/>
    </row>
    <row r="175" spans="1:15" s="56" customFormat="1" ht="21" customHeight="1">
      <c r="A175" s="99" t="s">
        <v>625</v>
      </c>
      <c r="B175" s="191"/>
      <c r="C175" s="191"/>
      <c r="D175" s="191"/>
      <c r="E175" s="194"/>
      <c r="F175" s="99">
        <v>4</v>
      </c>
      <c r="G175" s="191"/>
      <c r="H175" s="191"/>
      <c r="I175" s="99">
        <v>8.4</v>
      </c>
      <c r="J175" s="100">
        <f t="shared" si="1"/>
        <v>7.8399999999999997E-2</v>
      </c>
      <c r="K175" s="99">
        <v>49</v>
      </c>
      <c r="L175" s="99">
        <v>40</v>
      </c>
      <c r="M175" s="99">
        <v>40</v>
      </c>
      <c r="N175" s="99"/>
      <c r="O175" s="191"/>
    </row>
    <row r="176" spans="1:15" s="56" customFormat="1" ht="21" customHeight="1">
      <c r="A176" s="99" t="s">
        <v>626</v>
      </c>
      <c r="B176" s="191"/>
      <c r="C176" s="191"/>
      <c r="D176" s="191"/>
      <c r="E176" s="194"/>
      <c r="F176" s="99">
        <v>5</v>
      </c>
      <c r="G176" s="191"/>
      <c r="H176" s="191"/>
      <c r="I176" s="99">
        <v>6.7</v>
      </c>
      <c r="J176" s="100">
        <f t="shared" si="1"/>
        <v>7.8399999999999997E-2</v>
      </c>
      <c r="K176" s="99">
        <v>49</v>
      </c>
      <c r="L176" s="99">
        <v>40</v>
      </c>
      <c r="M176" s="99">
        <v>40</v>
      </c>
      <c r="N176" s="99"/>
      <c r="O176" s="191"/>
    </row>
    <row r="177" spans="1:15" s="56" customFormat="1" ht="21" customHeight="1">
      <c r="A177" s="99" t="s">
        <v>627</v>
      </c>
      <c r="B177" s="191"/>
      <c r="C177" s="191"/>
      <c r="D177" s="191"/>
      <c r="E177" s="194"/>
      <c r="F177" s="99">
        <v>6</v>
      </c>
      <c r="G177" s="191"/>
      <c r="H177" s="191"/>
      <c r="I177" s="99">
        <v>6.9</v>
      </c>
      <c r="J177" s="100">
        <f t="shared" si="1"/>
        <v>7.8399999999999997E-2</v>
      </c>
      <c r="K177" s="99">
        <v>49</v>
      </c>
      <c r="L177" s="99">
        <v>40</v>
      </c>
      <c r="M177" s="99">
        <v>40</v>
      </c>
      <c r="N177" s="99"/>
      <c r="O177" s="191"/>
    </row>
    <row r="178" spans="1:15" s="56" customFormat="1" ht="21" customHeight="1">
      <c r="A178" s="99" t="s">
        <v>628</v>
      </c>
      <c r="B178" s="191"/>
      <c r="C178" s="191"/>
      <c r="D178" s="191"/>
      <c r="E178" s="194"/>
      <c r="F178" s="99">
        <v>7</v>
      </c>
      <c r="G178" s="191"/>
      <c r="H178" s="191"/>
      <c r="I178" s="99">
        <v>5.8</v>
      </c>
      <c r="J178" s="100">
        <f t="shared" si="1"/>
        <v>7.8399999999999997E-2</v>
      </c>
      <c r="K178" s="99">
        <v>49</v>
      </c>
      <c r="L178" s="99">
        <v>40</v>
      </c>
      <c r="M178" s="99">
        <v>40</v>
      </c>
      <c r="N178" s="99"/>
      <c r="O178" s="191"/>
    </row>
    <row r="179" spans="1:15" s="56" customFormat="1" ht="21" customHeight="1">
      <c r="A179" s="99" t="s">
        <v>629</v>
      </c>
      <c r="B179" s="192"/>
      <c r="C179" s="192"/>
      <c r="D179" s="192"/>
      <c r="E179" s="195"/>
      <c r="F179" s="99">
        <v>8</v>
      </c>
      <c r="G179" s="192"/>
      <c r="H179" s="192"/>
      <c r="I179" s="99">
        <v>7.1</v>
      </c>
      <c r="J179" s="100">
        <f t="shared" si="1"/>
        <v>7.8399999999999997E-2</v>
      </c>
      <c r="K179" s="99">
        <v>49</v>
      </c>
      <c r="L179" s="99">
        <v>40</v>
      </c>
      <c r="M179" s="99">
        <v>40</v>
      </c>
      <c r="N179" s="99"/>
      <c r="O179" s="192"/>
    </row>
    <row r="180" spans="1:15" s="56" customFormat="1" ht="21" customHeight="1">
      <c r="A180" s="178"/>
      <c r="B180" s="179"/>
      <c r="C180" s="179"/>
      <c r="D180" s="179"/>
      <c r="E180" s="180"/>
      <c r="F180" s="102">
        <v>8</v>
      </c>
      <c r="G180" s="109"/>
      <c r="H180" s="109"/>
      <c r="I180" s="102">
        <f>SUM(I172:I179)</f>
        <v>56.3</v>
      </c>
      <c r="J180" s="103">
        <f>SUM(J172:J179)</f>
        <v>0.62720000000000009</v>
      </c>
      <c r="K180" s="102"/>
      <c r="L180" s="102"/>
      <c r="M180" s="102"/>
      <c r="N180" s="104"/>
      <c r="O180" s="104"/>
    </row>
    <row r="181" spans="1:15" s="56" customFormat="1" ht="21" customHeight="1">
      <c r="A181" s="113" t="s">
        <v>637</v>
      </c>
      <c r="B181" s="113" t="s">
        <v>638</v>
      </c>
      <c r="C181" s="113" t="s">
        <v>639</v>
      </c>
      <c r="D181" s="113" t="s">
        <v>238</v>
      </c>
      <c r="E181" s="83">
        <v>45715</v>
      </c>
      <c r="F181" s="113">
        <v>1</v>
      </c>
      <c r="G181" s="113" t="s">
        <v>97</v>
      </c>
      <c r="H181" s="113">
        <v>1</v>
      </c>
      <c r="I181" s="113">
        <v>1.8</v>
      </c>
      <c r="J181" s="114">
        <v>2.8275000000000002E-2</v>
      </c>
      <c r="K181" s="113">
        <v>39</v>
      </c>
      <c r="L181" s="113">
        <v>29</v>
      </c>
      <c r="M181" s="113">
        <v>25</v>
      </c>
      <c r="N181" s="113"/>
      <c r="O181" s="113" t="s">
        <v>24</v>
      </c>
    </row>
    <row r="182" spans="1:15" s="56" customFormat="1" ht="21" customHeight="1">
      <c r="A182" s="42"/>
      <c r="B182" s="42"/>
      <c r="C182" s="42"/>
      <c r="D182" s="42"/>
      <c r="E182" s="42"/>
      <c r="F182" s="116">
        <v>1</v>
      </c>
      <c r="G182" s="111"/>
      <c r="H182" s="116"/>
      <c r="I182" s="116">
        <f>I181</f>
        <v>1.8</v>
      </c>
      <c r="J182" s="117">
        <f>J181</f>
        <v>2.8275000000000002E-2</v>
      </c>
      <c r="K182" s="116"/>
      <c r="L182" s="116"/>
      <c r="M182" s="116"/>
      <c r="N182" s="118"/>
      <c r="O182" s="118"/>
    </row>
    <row r="183" spans="1:15" s="56" customFormat="1" ht="21" customHeight="1">
      <c r="A183" s="113" t="s">
        <v>640</v>
      </c>
      <c r="B183" s="113" t="s">
        <v>641</v>
      </c>
      <c r="C183" s="113" t="s">
        <v>642</v>
      </c>
      <c r="D183" s="113" t="s">
        <v>643</v>
      </c>
      <c r="E183" s="83">
        <v>45715</v>
      </c>
      <c r="F183" s="113">
        <v>1</v>
      </c>
      <c r="G183" s="113" t="s">
        <v>97</v>
      </c>
      <c r="H183" s="113">
        <v>10</v>
      </c>
      <c r="I183" s="113">
        <v>12.7</v>
      </c>
      <c r="J183" s="114">
        <v>0.11015999999999999</v>
      </c>
      <c r="K183" s="113">
        <v>60</v>
      </c>
      <c r="L183" s="113">
        <v>51</v>
      </c>
      <c r="M183" s="113">
        <v>36</v>
      </c>
      <c r="N183" s="113"/>
      <c r="O183" s="113" t="s">
        <v>24</v>
      </c>
    </row>
    <row r="184" spans="1:15" s="56" customFormat="1" ht="21" customHeight="1">
      <c r="A184" s="42"/>
      <c r="B184" s="42"/>
      <c r="C184" s="42"/>
      <c r="D184" s="42"/>
      <c r="E184" s="42"/>
      <c r="F184" s="116">
        <v>1</v>
      </c>
      <c r="G184" s="116"/>
      <c r="H184" s="116"/>
      <c r="I184" s="116">
        <v>12.7</v>
      </c>
      <c r="J184" s="117">
        <v>0.11015999999999999</v>
      </c>
      <c r="K184" s="116"/>
      <c r="L184" s="116"/>
      <c r="M184" s="116"/>
      <c r="N184" s="118"/>
      <c r="O184" s="118"/>
    </row>
    <row r="185" spans="1:15" s="56" customFormat="1" ht="21" customHeight="1">
      <c r="A185" s="60" t="s">
        <v>644</v>
      </c>
      <c r="B185" s="207" t="s">
        <v>645</v>
      </c>
      <c r="C185" s="207" t="s">
        <v>646</v>
      </c>
      <c r="D185" s="207" t="s">
        <v>44</v>
      </c>
      <c r="E185" s="210">
        <v>45715</v>
      </c>
      <c r="F185" s="60">
        <v>1</v>
      </c>
      <c r="G185" s="213" t="s">
        <v>647</v>
      </c>
      <c r="H185" s="207">
        <v>604</v>
      </c>
      <c r="I185" s="60">
        <v>15.9</v>
      </c>
      <c r="J185" s="182">
        <v>8.6730000000000002E-2</v>
      </c>
      <c r="K185" s="60">
        <v>59</v>
      </c>
      <c r="L185" s="60">
        <v>30</v>
      </c>
      <c r="M185" s="60">
        <v>49</v>
      </c>
      <c r="N185" s="60"/>
      <c r="O185" s="207" t="s">
        <v>648</v>
      </c>
    </row>
    <row r="186" spans="1:15" s="56" customFormat="1" ht="21" customHeight="1">
      <c r="A186" s="60" t="s">
        <v>649</v>
      </c>
      <c r="B186" s="208"/>
      <c r="C186" s="208"/>
      <c r="D186" s="208"/>
      <c r="E186" s="211"/>
      <c r="F186" s="60">
        <v>2</v>
      </c>
      <c r="G186" s="208"/>
      <c r="H186" s="208"/>
      <c r="I186" s="60">
        <v>14.2</v>
      </c>
      <c r="J186" s="182">
        <v>8.6730000000000002E-2</v>
      </c>
      <c r="K186" s="60">
        <v>59</v>
      </c>
      <c r="L186" s="60">
        <v>30</v>
      </c>
      <c r="M186" s="60">
        <v>49</v>
      </c>
      <c r="N186" s="60"/>
      <c r="O186" s="208"/>
    </row>
    <row r="187" spans="1:15" s="56" customFormat="1" ht="21" customHeight="1">
      <c r="A187" s="60" t="s">
        <v>650</v>
      </c>
      <c r="B187" s="208"/>
      <c r="C187" s="208"/>
      <c r="D187" s="208"/>
      <c r="E187" s="211"/>
      <c r="F187" s="60">
        <v>3</v>
      </c>
      <c r="G187" s="208"/>
      <c r="H187" s="208"/>
      <c r="I187" s="60">
        <v>14.8</v>
      </c>
      <c r="J187" s="182">
        <v>8.6730000000000002E-2</v>
      </c>
      <c r="K187" s="60">
        <v>59</v>
      </c>
      <c r="L187" s="60">
        <v>30</v>
      </c>
      <c r="M187" s="60">
        <v>49</v>
      </c>
      <c r="N187" s="60"/>
      <c r="O187" s="208"/>
    </row>
    <row r="188" spans="1:15" s="56" customFormat="1" ht="21" customHeight="1">
      <c r="A188" s="60" t="s">
        <v>651</v>
      </c>
      <c r="B188" s="208"/>
      <c r="C188" s="208"/>
      <c r="D188" s="208"/>
      <c r="E188" s="211"/>
      <c r="F188" s="60">
        <v>4</v>
      </c>
      <c r="G188" s="208"/>
      <c r="H188" s="208"/>
      <c r="I188" s="60">
        <v>16.7</v>
      </c>
      <c r="J188" s="182">
        <v>8.6730000000000002E-2</v>
      </c>
      <c r="K188" s="60">
        <v>59</v>
      </c>
      <c r="L188" s="60">
        <v>30</v>
      </c>
      <c r="M188" s="60">
        <v>49</v>
      </c>
      <c r="N188" s="60"/>
      <c r="O188" s="208"/>
    </row>
    <row r="189" spans="1:15" s="56" customFormat="1" ht="21" customHeight="1">
      <c r="A189" s="60" t="s">
        <v>652</v>
      </c>
      <c r="B189" s="208"/>
      <c r="C189" s="208"/>
      <c r="D189" s="208"/>
      <c r="E189" s="211"/>
      <c r="F189" s="60">
        <v>5</v>
      </c>
      <c r="G189" s="208"/>
      <c r="H189" s="208"/>
      <c r="I189" s="60">
        <v>7.4</v>
      </c>
      <c r="J189" s="182">
        <v>8.6730000000000002E-2</v>
      </c>
      <c r="K189" s="60">
        <v>59</v>
      </c>
      <c r="L189" s="60">
        <v>30</v>
      </c>
      <c r="M189" s="60">
        <v>49</v>
      </c>
      <c r="N189" s="60"/>
      <c r="O189" s="208"/>
    </row>
    <row r="190" spans="1:15" s="56" customFormat="1" ht="21" customHeight="1">
      <c r="A190" s="60" t="s">
        <v>457</v>
      </c>
      <c r="B190" s="208"/>
      <c r="C190" s="208"/>
      <c r="D190" s="208"/>
      <c r="E190" s="211"/>
      <c r="F190" s="60">
        <v>6</v>
      </c>
      <c r="G190" s="208"/>
      <c r="H190" s="208"/>
      <c r="I190" s="60">
        <v>5.9</v>
      </c>
      <c r="J190" s="182">
        <v>8.6730000000000002E-2</v>
      </c>
      <c r="K190" s="60">
        <v>59</v>
      </c>
      <c r="L190" s="60">
        <v>30</v>
      </c>
      <c r="M190" s="60">
        <v>49</v>
      </c>
      <c r="N190" s="60"/>
      <c r="O190" s="208"/>
    </row>
    <row r="191" spans="1:15" s="56" customFormat="1" ht="21" customHeight="1">
      <c r="A191" s="60" t="s">
        <v>653</v>
      </c>
      <c r="B191" s="209"/>
      <c r="C191" s="209"/>
      <c r="D191" s="209"/>
      <c r="E191" s="212"/>
      <c r="F191" s="60">
        <v>7</v>
      </c>
      <c r="G191" s="209"/>
      <c r="H191" s="209"/>
      <c r="I191" s="60">
        <v>3.6</v>
      </c>
      <c r="J191" s="182">
        <v>2.8875000000000001E-2</v>
      </c>
      <c r="K191" s="60">
        <v>35</v>
      </c>
      <c r="L191" s="60">
        <v>33</v>
      </c>
      <c r="M191" s="60">
        <v>25</v>
      </c>
      <c r="N191" s="60"/>
      <c r="O191" s="209"/>
    </row>
    <row r="192" spans="1:15" s="56" customFormat="1" ht="21" customHeight="1">
      <c r="A192" s="42"/>
      <c r="B192" s="42"/>
      <c r="C192" s="42"/>
      <c r="D192" s="42"/>
      <c r="E192" s="42"/>
      <c r="F192" s="116">
        <v>7</v>
      </c>
      <c r="G192" s="116"/>
      <c r="H192" s="116"/>
      <c r="I192" s="116">
        <v>78.500000000000014</v>
      </c>
      <c r="J192" s="117">
        <v>0.54925499999999994</v>
      </c>
      <c r="K192" s="116"/>
      <c r="L192" s="116"/>
      <c r="M192" s="116"/>
      <c r="N192" s="55"/>
      <c r="O192" s="128"/>
    </row>
    <row r="193" spans="1:15" s="56" customFormat="1" ht="21" customHeight="1">
      <c r="A193" s="113" t="s">
        <v>654</v>
      </c>
      <c r="B193" s="214" t="s">
        <v>655</v>
      </c>
      <c r="C193" s="214" t="s">
        <v>656</v>
      </c>
      <c r="D193" s="214" t="s">
        <v>155</v>
      </c>
      <c r="E193" s="217">
        <v>45715</v>
      </c>
      <c r="F193" s="113">
        <v>1</v>
      </c>
      <c r="G193" s="214" t="s">
        <v>97</v>
      </c>
      <c r="H193" s="214">
        <v>20</v>
      </c>
      <c r="I193" s="113">
        <v>7.1</v>
      </c>
      <c r="J193" s="114">
        <v>7.8399999999999997E-2</v>
      </c>
      <c r="K193" s="113">
        <v>49</v>
      </c>
      <c r="L193" s="113">
        <v>40</v>
      </c>
      <c r="M193" s="113">
        <v>40</v>
      </c>
      <c r="N193" s="113"/>
      <c r="O193" s="214" t="s">
        <v>24</v>
      </c>
    </row>
    <row r="194" spans="1:15" s="56" customFormat="1" ht="21" customHeight="1">
      <c r="A194" s="113" t="s">
        <v>657</v>
      </c>
      <c r="B194" s="215"/>
      <c r="C194" s="215"/>
      <c r="D194" s="215"/>
      <c r="E194" s="218"/>
      <c r="F194" s="113">
        <v>2</v>
      </c>
      <c r="G194" s="215"/>
      <c r="H194" s="215"/>
      <c r="I194" s="113">
        <v>6.9</v>
      </c>
      <c r="J194" s="114">
        <v>7.8399999999999997E-2</v>
      </c>
      <c r="K194" s="113">
        <v>49</v>
      </c>
      <c r="L194" s="113">
        <v>40</v>
      </c>
      <c r="M194" s="113">
        <v>40</v>
      </c>
      <c r="N194" s="113"/>
      <c r="O194" s="215"/>
    </row>
    <row r="195" spans="1:15" s="56" customFormat="1" ht="21" customHeight="1">
      <c r="A195" s="113" t="s">
        <v>658</v>
      </c>
      <c r="B195" s="216"/>
      <c r="C195" s="216"/>
      <c r="D195" s="216"/>
      <c r="E195" s="219"/>
      <c r="F195" s="113">
        <v>3</v>
      </c>
      <c r="G195" s="216"/>
      <c r="H195" s="216"/>
      <c r="I195" s="113">
        <v>6.9</v>
      </c>
      <c r="J195" s="114">
        <v>7.8399999999999997E-2</v>
      </c>
      <c r="K195" s="113">
        <v>49</v>
      </c>
      <c r="L195" s="113">
        <v>40</v>
      </c>
      <c r="M195" s="113">
        <v>40</v>
      </c>
      <c r="N195" s="113"/>
      <c r="O195" s="216"/>
    </row>
    <row r="196" spans="1:15" s="56" customFormat="1" ht="21" customHeight="1">
      <c r="A196" s="42"/>
      <c r="B196" s="42"/>
      <c r="C196" s="42"/>
      <c r="D196" s="42"/>
      <c r="E196" s="42"/>
      <c r="F196" s="116">
        <v>3</v>
      </c>
      <c r="G196" s="116"/>
      <c r="H196" s="116"/>
      <c r="I196" s="116">
        <v>20.9</v>
      </c>
      <c r="J196" s="117">
        <v>0.23519999999999999</v>
      </c>
      <c r="K196" s="116"/>
      <c r="L196" s="116"/>
      <c r="M196" s="116"/>
      <c r="N196" s="118"/>
      <c r="O196" s="118"/>
    </row>
    <row r="197" spans="1:15" s="56" customFormat="1" ht="21" customHeight="1">
      <c r="A197" s="99" t="s">
        <v>659</v>
      </c>
      <c r="B197" s="190" t="s">
        <v>660</v>
      </c>
      <c r="C197" s="99" t="s">
        <v>661</v>
      </c>
      <c r="D197" s="190" t="s">
        <v>643</v>
      </c>
      <c r="E197" s="193">
        <v>45716</v>
      </c>
      <c r="F197" s="99">
        <v>1</v>
      </c>
      <c r="G197" s="190" t="s">
        <v>97</v>
      </c>
      <c r="H197" s="99">
        <v>11</v>
      </c>
      <c r="I197" s="99">
        <v>11.7</v>
      </c>
      <c r="J197" s="100">
        <f>K197*L197*M197/1000000</f>
        <v>0.11322</v>
      </c>
      <c r="K197" s="99">
        <v>51</v>
      </c>
      <c r="L197" s="99">
        <v>37</v>
      </c>
      <c r="M197" s="99">
        <v>60</v>
      </c>
      <c r="N197" s="99"/>
      <c r="O197" s="190" t="s">
        <v>24</v>
      </c>
    </row>
    <row r="198" spans="1:15" s="56" customFormat="1" ht="21" customHeight="1">
      <c r="A198" s="99" t="s">
        <v>662</v>
      </c>
      <c r="B198" s="191"/>
      <c r="C198" s="99" t="s">
        <v>663</v>
      </c>
      <c r="D198" s="191"/>
      <c r="E198" s="194"/>
      <c r="F198" s="99">
        <v>2</v>
      </c>
      <c r="G198" s="191"/>
      <c r="H198" s="99">
        <v>11</v>
      </c>
      <c r="I198" s="99">
        <v>10.9</v>
      </c>
      <c r="J198" s="100">
        <f>K198*L198*M198/1000000</f>
        <v>0.11322</v>
      </c>
      <c r="K198" s="99">
        <v>51</v>
      </c>
      <c r="L198" s="99">
        <v>37</v>
      </c>
      <c r="M198" s="99">
        <v>60</v>
      </c>
      <c r="N198" s="99"/>
      <c r="O198" s="191"/>
    </row>
    <row r="199" spans="1:15" s="56" customFormat="1" ht="21" customHeight="1">
      <c r="A199" s="99" t="s">
        <v>664</v>
      </c>
      <c r="B199" s="192"/>
      <c r="C199" s="99" t="s">
        <v>665</v>
      </c>
      <c r="D199" s="192"/>
      <c r="E199" s="195"/>
      <c r="F199" s="99">
        <v>3</v>
      </c>
      <c r="G199" s="192"/>
      <c r="H199" s="99">
        <v>10</v>
      </c>
      <c r="I199" s="99">
        <v>11.1</v>
      </c>
      <c r="J199" s="100">
        <f>K199*L199*M199/1000000</f>
        <v>0.11322</v>
      </c>
      <c r="K199" s="99">
        <v>51</v>
      </c>
      <c r="L199" s="99">
        <v>37</v>
      </c>
      <c r="M199" s="99">
        <v>60</v>
      </c>
      <c r="N199" s="99"/>
      <c r="O199" s="192"/>
    </row>
    <row r="200" spans="1:15" s="56" customFormat="1" ht="21" customHeight="1">
      <c r="A200" s="42"/>
      <c r="B200" s="42"/>
      <c r="C200" s="42"/>
      <c r="D200" s="42"/>
      <c r="E200" s="42"/>
      <c r="F200" s="102">
        <v>3</v>
      </c>
      <c r="G200" s="102"/>
      <c r="H200" s="102"/>
      <c r="I200" s="102">
        <f>SUM(I197:I199)</f>
        <v>33.700000000000003</v>
      </c>
      <c r="J200" s="103">
        <f>SUM(J197:J199)</f>
        <v>0.33966000000000002</v>
      </c>
      <c r="K200" s="102"/>
      <c r="L200" s="102"/>
      <c r="M200" s="102"/>
      <c r="N200" s="104"/>
      <c r="O200" s="104"/>
    </row>
    <row r="201" spans="1:15" s="56" customFormat="1" ht="21" customHeight="1">
      <c r="A201" s="99" t="s">
        <v>666</v>
      </c>
      <c r="B201" s="99" t="s">
        <v>667</v>
      </c>
      <c r="C201" s="99" t="s">
        <v>668</v>
      </c>
      <c r="D201" s="99" t="s">
        <v>214</v>
      </c>
      <c r="E201" s="91">
        <v>45717</v>
      </c>
      <c r="F201" s="99">
        <v>1</v>
      </c>
      <c r="G201" s="99" t="s">
        <v>97</v>
      </c>
      <c r="H201" s="99">
        <v>1</v>
      </c>
      <c r="I201" s="99">
        <v>1.4</v>
      </c>
      <c r="J201" s="100">
        <v>1.404E-2</v>
      </c>
      <c r="K201" s="99">
        <v>26</v>
      </c>
      <c r="L201" s="99">
        <v>15</v>
      </c>
      <c r="M201" s="99">
        <v>36</v>
      </c>
      <c r="N201" s="99"/>
      <c r="O201" s="99" t="s">
        <v>24</v>
      </c>
    </row>
    <row r="202" spans="1:15" s="56" customFormat="1" ht="21" customHeight="1">
      <c r="A202" s="178"/>
      <c r="B202" s="179"/>
      <c r="C202" s="179"/>
      <c r="D202" s="179"/>
      <c r="E202" s="180"/>
      <c r="F202" s="116">
        <v>1</v>
      </c>
      <c r="G202" s="116"/>
      <c r="H202" s="116"/>
      <c r="I202" s="116">
        <f>I201</f>
        <v>1.4</v>
      </c>
      <c r="J202" s="117">
        <f>J201</f>
        <v>1.404E-2</v>
      </c>
      <c r="K202" s="116"/>
      <c r="L202" s="116"/>
      <c r="M202" s="116"/>
      <c r="N202" s="118"/>
      <c r="O202" s="118"/>
    </row>
    <row r="203" spans="1:15" s="56" customFormat="1" ht="21" customHeight="1">
      <c r="A203" s="99" t="s">
        <v>669</v>
      </c>
      <c r="B203" s="190" t="s">
        <v>670</v>
      </c>
      <c r="C203" s="99" t="s">
        <v>671</v>
      </c>
      <c r="D203" s="190" t="s">
        <v>643</v>
      </c>
      <c r="E203" s="193">
        <v>45717</v>
      </c>
      <c r="F203" s="99">
        <v>1</v>
      </c>
      <c r="G203" s="190" t="s">
        <v>97</v>
      </c>
      <c r="H203" s="99">
        <v>10</v>
      </c>
      <c r="I203" s="99">
        <v>12.5</v>
      </c>
      <c r="J203" s="100">
        <v>0.108</v>
      </c>
      <c r="K203" s="99">
        <v>50</v>
      </c>
      <c r="L203" s="99">
        <v>36</v>
      </c>
      <c r="M203" s="99">
        <v>60</v>
      </c>
      <c r="N203" s="99"/>
      <c r="O203" s="190" t="s">
        <v>24</v>
      </c>
    </row>
    <row r="204" spans="1:15" s="56" customFormat="1" ht="21" customHeight="1">
      <c r="A204" s="99" t="s">
        <v>672</v>
      </c>
      <c r="B204" s="192"/>
      <c r="C204" s="99" t="s">
        <v>673</v>
      </c>
      <c r="D204" s="192"/>
      <c r="E204" s="195"/>
      <c r="F204" s="99">
        <v>2</v>
      </c>
      <c r="G204" s="192"/>
      <c r="H204" s="99">
        <v>10</v>
      </c>
      <c r="I204" s="99">
        <v>12.1</v>
      </c>
      <c r="J204" s="100">
        <v>0.108</v>
      </c>
      <c r="K204" s="99">
        <v>50</v>
      </c>
      <c r="L204" s="99">
        <v>36</v>
      </c>
      <c r="M204" s="99">
        <v>60</v>
      </c>
      <c r="N204" s="99"/>
      <c r="O204" s="192"/>
    </row>
    <row r="205" spans="1:15" s="56" customFormat="1" ht="21" customHeight="1">
      <c r="A205" s="178"/>
      <c r="B205" s="179"/>
      <c r="C205" s="179"/>
      <c r="D205" s="179"/>
      <c r="E205" s="180"/>
      <c r="F205" s="102">
        <v>2</v>
      </c>
      <c r="G205" s="102"/>
      <c r="H205" s="102"/>
      <c r="I205" s="102">
        <v>24.6</v>
      </c>
      <c r="J205" s="103">
        <v>0.216</v>
      </c>
      <c r="K205" s="102"/>
      <c r="L205" s="102"/>
      <c r="M205" s="102"/>
      <c r="N205" s="104"/>
      <c r="O205" s="183"/>
    </row>
    <row r="206" spans="1:15" s="56" customFormat="1" ht="21" customHeight="1">
      <c r="A206" s="99" t="s">
        <v>674</v>
      </c>
      <c r="B206" s="99" t="s">
        <v>675</v>
      </c>
      <c r="C206" s="99" t="s">
        <v>676</v>
      </c>
      <c r="D206" s="99" t="s">
        <v>467</v>
      </c>
      <c r="E206" s="91">
        <v>45719</v>
      </c>
      <c r="F206" s="99">
        <v>1</v>
      </c>
      <c r="G206" s="106" t="s">
        <v>677</v>
      </c>
      <c r="H206" s="99">
        <v>1</v>
      </c>
      <c r="I206" s="99">
        <v>1.3</v>
      </c>
      <c r="J206" s="100">
        <v>1.456E-2</v>
      </c>
      <c r="K206" s="99">
        <v>28</v>
      </c>
      <c r="L206" s="99">
        <v>26</v>
      </c>
      <c r="M206" s="99">
        <v>20</v>
      </c>
      <c r="N206" s="99"/>
      <c r="O206" s="99" t="s">
        <v>24</v>
      </c>
    </row>
    <row r="207" spans="1:15" s="56" customFormat="1" ht="21" customHeight="1">
      <c r="A207" s="178"/>
      <c r="B207" s="179"/>
      <c r="C207" s="179"/>
      <c r="D207" s="179"/>
      <c r="E207" s="180"/>
      <c r="F207" s="116">
        <v>1</v>
      </c>
      <c r="G207" s="116"/>
      <c r="H207" s="116"/>
      <c r="I207" s="116">
        <f>I206</f>
        <v>1.3</v>
      </c>
      <c r="J207" s="117">
        <f>J206</f>
        <v>1.456E-2</v>
      </c>
      <c r="K207" s="116"/>
      <c r="L207" s="116"/>
      <c r="M207" s="116"/>
      <c r="N207" s="118"/>
      <c r="O207" s="118"/>
    </row>
    <row r="208" spans="1:15" s="56" customFormat="1" ht="21" customHeight="1">
      <c r="A208" s="99" t="s">
        <v>678</v>
      </c>
      <c r="B208" s="99" t="s">
        <v>679</v>
      </c>
      <c r="C208" s="99" t="s">
        <v>680</v>
      </c>
      <c r="D208" s="99" t="s">
        <v>643</v>
      </c>
      <c r="E208" s="91">
        <v>45719</v>
      </c>
      <c r="F208" s="99">
        <v>1</v>
      </c>
      <c r="G208" s="99" t="s">
        <v>681</v>
      </c>
      <c r="H208" s="99">
        <v>11</v>
      </c>
      <c r="I208" s="99">
        <v>13.1</v>
      </c>
      <c r="J208" s="100">
        <v>9.1800000000000007E-2</v>
      </c>
      <c r="K208" s="99">
        <v>51</v>
      </c>
      <c r="L208" s="99">
        <v>30</v>
      </c>
      <c r="M208" s="99">
        <v>60</v>
      </c>
      <c r="N208" s="99"/>
      <c r="O208" s="99" t="s">
        <v>24</v>
      </c>
    </row>
    <row r="209" spans="1:15" s="56" customFormat="1" ht="21" customHeight="1">
      <c r="A209" s="178"/>
      <c r="B209" s="179"/>
      <c r="C209" s="179"/>
      <c r="D209" s="179"/>
      <c r="E209" s="180"/>
      <c r="F209" s="116">
        <v>1</v>
      </c>
      <c r="G209" s="116"/>
      <c r="H209" s="116"/>
      <c r="I209" s="116">
        <f>I208</f>
        <v>13.1</v>
      </c>
      <c r="J209" s="117">
        <f>J208</f>
        <v>9.1800000000000007E-2</v>
      </c>
      <c r="K209" s="116"/>
      <c r="L209" s="116"/>
      <c r="M209" s="116"/>
      <c r="N209" s="118"/>
      <c r="O209" s="118"/>
    </row>
    <row r="210" spans="1:15" s="56" customFormat="1" ht="21" customHeight="1">
      <c r="A210" s="99" t="s">
        <v>682</v>
      </c>
      <c r="B210" s="190" t="s">
        <v>683</v>
      </c>
      <c r="C210" s="99"/>
      <c r="D210" s="190" t="s">
        <v>343</v>
      </c>
      <c r="E210" s="193">
        <v>45719</v>
      </c>
      <c r="F210" s="99">
        <v>1</v>
      </c>
      <c r="G210" s="206" t="s">
        <v>684</v>
      </c>
      <c r="H210" s="99">
        <v>100</v>
      </c>
      <c r="I210" s="99">
        <v>22.2</v>
      </c>
      <c r="J210" s="100">
        <v>0.11799999999999999</v>
      </c>
      <c r="K210" s="99">
        <v>59</v>
      </c>
      <c r="L210" s="99">
        <v>50</v>
      </c>
      <c r="M210" s="99">
        <v>40</v>
      </c>
      <c r="N210" s="99"/>
      <c r="O210" s="99"/>
    </row>
    <row r="211" spans="1:15" s="56" customFormat="1" ht="21" customHeight="1">
      <c r="A211" s="99" t="s">
        <v>685</v>
      </c>
      <c r="B211" s="192"/>
      <c r="C211" s="99"/>
      <c r="D211" s="192"/>
      <c r="E211" s="195"/>
      <c r="F211" s="99">
        <v>2</v>
      </c>
      <c r="G211" s="192"/>
      <c r="H211" s="99">
        <v>100</v>
      </c>
      <c r="I211" s="99">
        <v>25.5</v>
      </c>
      <c r="J211" s="100">
        <v>0.119364</v>
      </c>
      <c r="K211" s="99">
        <v>58</v>
      </c>
      <c r="L211" s="99">
        <v>42</v>
      </c>
      <c r="M211" s="99">
        <v>49</v>
      </c>
      <c r="N211" s="99"/>
      <c r="O211" s="99"/>
    </row>
    <row r="212" spans="1:15" s="56" customFormat="1" ht="21" customHeight="1">
      <c r="A212" s="178"/>
      <c r="B212" s="179"/>
      <c r="C212" s="179"/>
      <c r="D212" s="179"/>
      <c r="E212" s="180"/>
      <c r="F212" s="102">
        <v>2</v>
      </c>
      <c r="G212" s="102"/>
      <c r="H212" s="102"/>
      <c r="I212" s="102">
        <v>24.6</v>
      </c>
      <c r="J212" s="103">
        <v>0.216</v>
      </c>
      <c r="K212" s="102"/>
      <c r="L212" s="102"/>
      <c r="M212" s="102"/>
      <c r="N212" s="104"/>
      <c r="O212" s="183"/>
    </row>
    <row r="213" spans="1:15" s="56" customFormat="1" ht="21" customHeight="1">
      <c r="A213" s="99" t="s">
        <v>690</v>
      </c>
      <c r="B213" s="190" t="s">
        <v>691</v>
      </c>
      <c r="C213" s="99" t="s">
        <v>692</v>
      </c>
      <c r="D213" s="190" t="s">
        <v>643</v>
      </c>
      <c r="E213" s="193">
        <v>45720</v>
      </c>
      <c r="F213" s="99">
        <v>1</v>
      </c>
      <c r="G213" s="206" t="s">
        <v>693</v>
      </c>
      <c r="H213" s="99">
        <v>12</v>
      </c>
      <c r="I213" s="99">
        <v>12.8</v>
      </c>
      <c r="J213" s="100">
        <v>0.108324</v>
      </c>
      <c r="K213" s="99">
        <v>51</v>
      </c>
      <c r="L213" s="99">
        <v>36</v>
      </c>
      <c r="M213" s="99">
        <v>59</v>
      </c>
      <c r="N213" s="99"/>
      <c r="O213" s="190" t="s">
        <v>24</v>
      </c>
    </row>
    <row r="214" spans="1:15" s="56" customFormat="1" ht="21" customHeight="1">
      <c r="A214" s="99" t="s">
        <v>694</v>
      </c>
      <c r="B214" s="192"/>
      <c r="C214" s="99" t="s">
        <v>695</v>
      </c>
      <c r="D214" s="192"/>
      <c r="E214" s="195"/>
      <c r="F214" s="99">
        <v>2</v>
      </c>
      <c r="G214" s="234"/>
      <c r="H214" s="99">
        <v>12</v>
      </c>
      <c r="I214" s="99">
        <v>11.7</v>
      </c>
      <c r="J214" s="100">
        <v>0.108324</v>
      </c>
      <c r="K214" s="99">
        <v>51</v>
      </c>
      <c r="L214" s="99">
        <v>36</v>
      </c>
      <c r="M214" s="99">
        <v>59</v>
      </c>
      <c r="N214" s="99"/>
      <c r="O214" s="192"/>
    </row>
    <row r="215" spans="1:15" s="56" customFormat="1" ht="21" customHeight="1">
      <c r="A215" s="42"/>
      <c r="B215" s="42"/>
      <c r="C215" s="42"/>
      <c r="D215" s="42"/>
      <c r="E215" s="42"/>
      <c r="F215" s="102">
        <v>2</v>
      </c>
      <c r="G215" s="121"/>
      <c r="H215" s="102"/>
      <c r="I215" s="102">
        <v>24.5</v>
      </c>
      <c r="J215" s="103">
        <v>0.21664800000000001</v>
      </c>
      <c r="K215" s="102"/>
      <c r="L215" s="102"/>
      <c r="M215" s="102"/>
      <c r="N215" s="104"/>
      <c r="O215" s="183"/>
    </row>
    <row r="216" spans="1:15" s="56" customFormat="1" ht="21" customHeight="1">
      <c r="A216" s="99" t="s">
        <v>696</v>
      </c>
      <c r="B216" s="99" t="s">
        <v>697</v>
      </c>
      <c r="C216" s="99" t="s">
        <v>698</v>
      </c>
      <c r="D216" s="99" t="s">
        <v>643</v>
      </c>
      <c r="E216" s="91">
        <v>45721</v>
      </c>
      <c r="F216" s="99">
        <v>1</v>
      </c>
      <c r="G216" s="106" t="s">
        <v>693</v>
      </c>
      <c r="H216" s="99">
        <v>12</v>
      </c>
      <c r="I216" s="99">
        <v>12.3</v>
      </c>
      <c r="J216" s="100">
        <v>0.108</v>
      </c>
      <c r="K216" s="99">
        <v>50</v>
      </c>
      <c r="L216" s="99">
        <v>36</v>
      </c>
      <c r="M216" s="99">
        <v>60</v>
      </c>
      <c r="N216" s="99"/>
      <c r="O216" s="99" t="s">
        <v>24</v>
      </c>
    </row>
    <row r="217" spans="1:15" s="56" customFormat="1" ht="21" customHeight="1">
      <c r="A217" s="42"/>
      <c r="B217" s="42"/>
      <c r="C217" s="42"/>
      <c r="D217" s="42"/>
      <c r="E217" s="42"/>
      <c r="F217" s="102">
        <v>1</v>
      </c>
      <c r="G217" s="111"/>
      <c r="H217" s="102"/>
      <c r="I217" s="102">
        <v>12.3</v>
      </c>
      <c r="J217" s="103">
        <v>0.108</v>
      </c>
      <c r="K217" s="102"/>
      <c r="L217" s="102"/>
      <c r="M217" s="102"/>
      <c r="N217" s="104"/>
      <c r="O217" s="104"/>
    </row>
    <row r="218" spans="1:15" s="56" customFormat="1" ht="21" customHeight="1">
      <c r="A218" s="99" t="s">
        <v>740</v>
      </c>
      <c r="B218" s="99" t="s">
        <v>741</v>
      </c>
      <c r="C218" s="99" t="s">
        <v>742</v>
      </c>
      <c r="D218" s="99" t="s">
        <v>643</v>
      </c>
      <c r="E218" s="91">
        <v>45722</v>
      </c>
      <c r="F218" s="99">
        <v>1</v>
      </c>
      <c r="G218" s="99" t="s">
        <v>97</v>
      </c>
      <c r="H218" s="99">
        <v>10</v>
      </c>
      <c r="I218" s="99">
        <v>12.8</v>
      </c>
      <c r="J218" s="100">
        <f>K218*L218*M218/1000000</f>
        <v>0.108324</v>
      </c>
      <c r="K218" s="99">
        <v>51</v>
      </c>
      <c r="L218" s="99">
        <v>36</v>
      </c>
      <c r="M218" s="99">
        <v>59</v>
      </c>
      <c r="N218" s="99"/>
      <c r="O218" s="99" t="s">
        <v>24</v>
      </c>
    </row>
    <row r="219" spans="1:15" s="56" customFormat="1" ht="21" customHeight="1">
      <c r="A219" s="42"/>
      <c r="B219" s="42"/>
      <c r="C219" s="42"/>
      <c r="D219" s="42"/>
      <c r="E219" s="42"/>
      <c r="F219" s="102">
        <v>1</v>
      </c>
      <c r="G219" s="102"/>
      <c r="H219" s="102"/>
      <c r="I219" s="102">
        <f>SUM(I218:I218)</f>
        <v>12.8</v>
      </c>
      <c r="J219" s="103">
        <f>SUM(J218:J218)</f>
        <v>0.108324</v>
      </c>
      <c r="K219" s="102"/>
      <c r="L219" s="102"/>
      <c r="M219" s="102"/>
      <c r="N219" s="104"/>
      <c r="O219" s="104"/>
    </row>
    <row r="220" spans="1:15" s="56" customFormat="1" ht="21" customHeight="1">
      <c r="A220" s="99" t="s">
        <v>144</v>
      </c>
      <c r="B220" s="190" t="s">
        <v>743</v>
      </c>
      <c r="C220" s="190" t="s">
        <v>744</v>
      </c>
      <c r="D220" s="190" t="s">
        <v>44</v>
      </c>
      <c r="E220" s="193">
        <v>45723</v>
      </c>
      <c r="F220" s="99">
        <v>1</v>
      </c>
      <c r="G220" s="190" t="s">
        <v>745</v>
      </c>
      <c r="H220" s="190"/>
      <c r="I220" s="99">
        <v>27.4</v>
      </c>
      <c r="J220" s="100">
        <f>K220*L220*M220/1000000</f>
        <v>3.7949999999999998E-2</v>
      </c>
      <c r="K220" s="99">
        <v>50</v>
      </c>
      <c r="L220" s="99">
        <v>33</v>
      </c>
      <c r="M220" s="99">
        <v>23</v>
      </c>
      <c r="N220" s="99"/>
      <c r="O220" s="99"/>
    </row>
    <row r="221" spans="1:15" s="56" customFormat="1" ht="21" customHeight="1">
      <c r="A221" s="99" t="s">
        <v>746</v>
      </c>
      <c r="B221" s="191"/>
      <c r="C221" s="191"/>
      <c r="D221" s="191"/>
      <c r="E221" s="194"/>
      <c r="F221" s="99">
        <v>2</v>
      </c>
      <c r="G221" s="191"/>
      <c r="H221" s="191"/>
      <c r="I221" s="99">
        <v>16.5</v>
      </c>
      <c r="J221" s="100">
        <f>K221*L221*M221/1000000</f>
        <v>3.7949999999999998E-2</v>
      </c>
      <c r="K221" s="99">
        <v>50</v>
      </c>
      <c r="L221" s="99">
        <v>33</v>
      </c>
      <c r="M221" s="99">
        <v>23</v>
      </c>
      <c r="N221" s="99"/>
      <c r="O221" s="99"/>
    </row>
    <row r="222" spans="1:15" s="56" customFormat="1" ht="21" customHeight="1">
      <c r="A222" s="99" t="s">
        <v>521</v>
      </c>
      <c r="B222" s="192"/>
      <c r="C222" s="192"/>
      <c r="D222" s="192"/>
      <c r="E222" s="195"/>
      <c r="F222" s="99">
        <v>3</v>
      </c>
      <c r="G222" s="192"/>
      <c r="H222" s="192"/>
      <c r="I222" s="99">
        <v>24.2</v>
      </c>
      <c r="J222" s="100">
        <f>K222*L222*M222/1000000</f>
        <v>3.7949999999999998E-2</v>
      </c>
      <c r="K222" s="99">
        <v>50</v>
      </c>
      <c r="L222" s="99">
        <v>33</v>
      </c>
      <c r="M222" s="99">
        <v>23</v>
      </c>
      <c r="N222" s="99"/>
      <c r="O222" s="99"/>
    </row>
    <row r="223" spans="1:15" s="56" customFormat="1" ht="21" customHeight="1">
      <c r="A223" s="42"/>
      <c r="B223" s="42"/>
      <c r="C223" s="42"/>
      <c r="D223" s="42"/>
      <c r="E223" s="42"/>
      <c r="F223" s="102">
        <v>3</v>
      </c>
      <c r="G223" s="102"/>
      <c r="H223" s="102"/>
      <c r="I223" s="102">
        <f>SUM(I220:I222)</f>
        <v>68.099999999999994</v>
      </c>
      <c r="J223" s="103">
        <f>SUM(J220:J222)</f>
        <v>0.11384999999999999</v>
      </c>
      <c r="K223" s="102"/>
      <c r="L223" s="102"/>
      <c r="M223" s="102"/>
      <c r="N223" s="104"/>
      <c r="O223" s="104"/>
    </row>
    <row r="224" spans="1:15" s="56" customFormat="1" ht="21" customHeight="1">
      <c r="A224" s="99" t="s">
        <v>747</v>
      </c>
      <c r="B224" s="99" t="s">
        <v>748</v>
      </c>
      <c r="C224" s="99">
        <v>17347080229</v>
      </c>
      <c r="D224" s="99" t="s">
        <v>343</v>
      </c>
      <c r="E224" s="91">
        <v>45726</v>
      </c>
      <c r="F224" s="99">
        <v>1</v>
      </c>
      <c r="G224" s="106" t="s">
        <v>749</v>
      </c>
      <c r="H224" s="99"/>
      <c r="I224" s="99">
        <v>4.3</v>
      </c>
      <c r="J224" s="100">
        <f>K224*L224*M224/1000000</f>
        <v>3.8808000000000002E-2</v>
      </c>
      <c r="K224" s="99">
        <v>42</v>
      </c>
      <c r="L224" s="99">
        <v>33</v>
      </c>
      <c r="M224" s="99">
        <v>28</v>
      </c>
      <c r="N224" s="99"/>
      <c r="O224" s="99"/>
    </row>
    <row r="225" spans="1:15" s="56" customFormat="1" ht="21" customHeight="1">
      <c r="A225" s="42"/>
      <c r="B225" s="42"/>
      <c r="C225" s="42"/>
      <c r="D225" s="42"/>
      <c r="E225" s="42"/>
      <c r="F225" s="102">
        <v>1</v>
      </c>
      <c r="G225" s="102"/>
      <c r="H225" s="102"/>
      <c r="I225" s="102">
        <f>SUM(I224:I224)</f>
        <v>4.3</v>
      </c>
      <c r="J225" s="103">
        <f>SUM(J224:J224)</f>
        <v>3.8808000000000002E-2</v>
      </c>
      <c r="K225" s="102"/>
      <c r="L225" s="102"/>
      <c r="M225" s="102"/>
      <c r="N225" s="104"/>
      <c r="O225" s="104"/>
    </row>
    <row r="226" spans="1:15" s="56" customFormat="1" ht="21" customHeight="1">
      <c r="E226" s="143"/>
    </row>
    <row r="227" spans="1:15" s="56" customFormat="1" ht="21" customHeight="1">
      <c r="E227" s="143"/>
    </row>
    <row r="228" spans="1:15" s="56" customFormat="1" ht="21" customHeight="1">
      <c r="E228" s="143"/>
    </row>
    <row r="229" spans="1:15" s="56" customFormat="1" ht="21" customHeight="1">
      <c r="E229" s="143"/>
    </row>
    <row r="230" spans="1:15" s="56" customFormat="1" ht="21" customHeight="1">
      <c r="E230" s="143"/>
    </row>
    <row r="231" spans="1:15" s="56" customFormat="1" ht="21" customHeight="1">
      <c r="E231" s="143"/>
    </row>
    <row r="248" spans="1:16" ht="40.5">
      <c r="A248" s="232" t="s">
        <v>444</v>
      </c>
      <c r="B248" s="232"/>
    </row>
    <row r="250" spans="1:16" ht="84">
      <c r="A250" s="150"/>
      <c r="B250" s="81" t="s">
        <v>371</v>
      </c>
      <c r="C250" s="54" t="s">
        <v>372</v>
      </c>
      <c r="D250" s="81" t="s">
        <v>73</v>
      </c>
      <c r="E250" s="83">
        <v>45659</v>
      </c>
      <c r="F250" s="3" t="s">
        <v>373</v>
      </c>
      <c r="G250" s="81" t="s">
        <v>72</v>
      </c>
      <c r="H250" s="81"/>
      <c r="I250" s="81">
        <v>240</v>
      </c>
      <c r="J250" s="10">
        <v>1.1200000000000001</v>
      </c>
      <c r="K250" s="81">
        <v>50</v>
      </c>
      <c r="L250" s="81">
        <v>50</v>
      </c>
      <c r="M250" s="81">
        <v>32</v>
      </c>
      <c r="N250" s="82">
        <v>45672</v>
      </c>
      <c r="O250" s="82">
        <v>45700</v>
      </c>
      <c r="P250" s="81" t="s">
        <v>374</v>
      </c>
    </row>
    <row r="251" spans="1:16" ht="22.5">
      <c r="A251" s="150"/>
      <c r="B251" s="189" t="s">
        <v>12</v>
      </c>
      <c r="C251" s="189"/>
      <c r="D251" s="189"/>
      <c r="E251" s="189"/>
      <c r="F251" s="64" t="s">
        <v>375</v>
      </c>
      <c r="G251" s="52"/>
      <c r="H251" s="52"/>
      <c r="I251" s="52">
        <v>240</v>
      </c>
      <c r="J251" s="65">
        <v>1.1200000000000001</v>
      </c>
      <c r="K251" s="52"/>
      <c r="L251" s="52"/>
      <c r="M251" s="52"/>
      <c r="N251" s="67"/>
      <c r="O251" s="67"/>
      <c r="P251" s="67"/>
    </row>
    <row r="252" spans="1:16" ht="37.5">
      <c r="A252" s="150"/>
      <c r="B252" s="207" t="s">
        <v>376</v>
      </c>
      <c r="C252" s="213" t="s">
        <v>377</v>
      </c>
      <c r="D252" s="207" t="s">
        <v>378</v>
      </c>
      <c r="E252" s="210">
        <v>45659</v>
      </c>
      <c r="F252" s="62" t="s">
        <v>21</v>
      </c>
      <c r="G252" s="53" t="s">
        <v>379</v>
      </c>
      <c r="H252" s="60">
        <v>1</v>
      </c>
      <c r="I252" s="207">
        <v>255</v>
      </c>
      <c r="J252" s="63">
        <v>0.65100000000000002</v>
      </c>
      <c r="K252" s="60">
        <v>100</v>
      </c>
      <c r="L252" s="60">
        <v>105</v>
      </c>
      <c r="M252" s="60">
        <v>62</v>
      </c>
      <c r="N252" s="229">
        <v>45663</v>
      </c>
      <c r="O252" s="229">
        <v>45705</v>
      </c>
      <c r="P252" s="207" t="s">
        <v>380</v>
      </c>
    </row>
    <row r="253" spans="1:16" ht="21">
      <c r="A253" s="150"/>
      <c r="B253" s="208"/>
      <c r="C253" s="226"/>
      <c r="D253" s="208"/>
      <c r="E253" s="211"/>
      <c r="F253" s="62" t="s">
        <v>15</v>
      </c>
      <c r="G253" s="53" t="s">
        <v>381</v>
      </c>
      <c r="H253" s="60">
        <v>1</v>
      </c>
      <c r="I253" s="208"/>
      <c r="J253" s="63">
        <v>0.54978000000000005</v>
      </c>
      <c r="K253" s="60">
        <v>68</v>
      </c>
      <c r="L253" s="60">
        <v>105</v>
      </c>
      <c r="M253" s="60">
        <v>77</v>
      </c>
      <c r="N253" s="208"/>
      <c r="O253" s="208"/>
      <c r="P253" s="208"/>
    </row>
    <row r="254" spans="1:16" ht="37.5">
      <c r="A254" s="150"/>
      <c r="B254" s="208"/>
      <c r="C254" s="226"/>
      <c r="D254" s="208"/>
      <c r="E254" s="211"/>
      <c r="F254" s="62" t="s">
        <v>30</v>
      </c>
      <c r="G254" s="53" t="s">
        <v>382</v>
      </c>
      <c r="H254" s="60">
        <v>1</v>
      </c>
      <c r="I254" s="208"/>
      <c r="J254" s="63">
        <v>0.51480000000000004</v>
      </c>
      <c r="K254" s="60">
        <v>72</v>
      </c>
      <c r="L254" s="60">
        <v>110</v>
      </c>
      <c r="M254" s="60">
        <v>65</v>
      </c>
      <c r="N254" s="208"/>
      <c r="O254" s="208"/>
      <c r="P254" s="208"/>
    </row>
    <row r="255" spans="1:16" ht="56.25">
      <c r="A255" s="150"/>
      <c r="B255" s="209"/>
      <c r="C255" s="227"/>
      <c r="D255" s="209"/>
      <c r="E255" s="212"/>
      <c r="F255" s="62" t="s">
        <v>25</v>
      </c>
      <c r="G255" s="53" t="s">
        <v>383</v>
      </c>
      <c r="H255" s="60">
        <v>1</v>
      </c>
      <c r="I255" s="209"/>
      <c r="J255" s="63">
        <v>7.3800000000000004E-2</v>
      </c>
      <c r="K255" s="60">
        <v>100</v>
      </c>
      <c r="L255" s="60">
        <v>41</v>
      </c>
      <c r="M255" s="60">
        <v>18</v>
      </c>
      <c r="N255" s="209"/>
      <c r="O255" s="209"/>
      <c r="P255" s="209"/>
    </row>
    <row r="256" spans="1:16" ht="22.5">
      <c r="A256" s="177">
        <v>45692</v>
      </c>
      <c r="B256" s="189" t="s">
        <v>12</v>
      </c>
      <c r="C256" s="189"/>
      <c r="D256" s="189"/>
      <c r="E256" s="189"/>
      <c r="F256" s="64" t="s">
        <v>25</v>
      </c>
      <c r="G256" s="52"/>
      <c r="H256" s="52"/>
      <c r="I256" s="52">
        <v>255</v>
      </c>
      <c r="J256" s="65">
        <v>1.7893800000000002</v>
      </c>
      <c r="K256" s="52"/>
      <c r="L256" s="52"/>
      <c r="M256" s="52"/>
      <c r="N256" s="128"/>
      <c r="O256" s="128"/>
      <c r="P256" s="55"/>
    </row>
    <row r="257" spans="1:16" ht="117">
      <c r="A257" s="150"/>
      <c r="B257" s="81" t="s">
        <v>384</v>
      </c>
      <c r="C257" s="129" t="s">
        <v>385</v>
      </c>
      <c r="D257" s="81" t="s">
        <v>73</v>
      </c>
      <c r="E257" s="83">
        <v>45659</v>
      </c>
      <c r="F257" s="3" t="s">
        <v>386</v>
      </c>
      <c r="G257" s="81" t="s">
        <v>71</v>
      </c>
      <c r="H257" s="81">
        <f>40*222</f>
        <v>8880</v>
      </c>
      <c r="I257" s="81">
        <f>4800/222*150</f>
        <v>3243.2432432432433</v>
      </c>
      <c r="J257" s="10">
        <f>K257*L257*M257/1000000*150</f>
        <v>14.363999999999999</v>
      </c>
      <c r="K257" s="81">
        <v>60</v>
      </c>
      <c r="L257" s="81">
        <v>57</v>
      </c>
      <c r="M257" s="81">
        <v>28</v>
      </c>
      <c r="N257" s="82">
        <v>45663</v>
      </c>
      <c r="O257" s="82">
        <v>45705</v>
      </c>
      <c r="P257" s="54" t="s">
        <v>387</v>
      </c>
    </row>
    <row r="258" spans="1:16" ht="22.5">
      <c r="A258" s="150"/>
      <c r="B258" s="189" t="s">
        <v>12</v>
      </c>
      <c r="C258" s="189"/>
      <c r="D258" s="189"/>
      <c r="E258" s="189"/>
      <c r="F258" s="64" t="s">
        <v>388</v>
      </c>
      <c r="G258" s="7"/>
      <c r="H258" s="52"/>
      <c r="I258" s="7">
        <f>SUM(I257:I257)</f>
        <v>3243.2432432432433</v>
      </c>
      <c r="J258" s="65">
        <f>SUM(J257:J257)</f>
        <v>14.363999999999999</v>
      </c>
      <c r="K258" s="52"/>
      <c r="L258" s="52"/>
      <c r="M258" s="52"/>
      <c r="N258" s="67"/>
      <c r="O258" s="67"/>
      <c r="P258" s="67"/>
    </row>
    <row r="259" spans="1:16" ht="117">
      <c r="A259" s="150"/>
      <c r="B259" s="81" t="s">
        <v>384</v>
      </c>
      <c r="C259" s="129" t="s">
        <v>385</v>
      </c>
      <c r="D259" s="81" t="s">
        <v>73</v>
      </c>
      <c r="E259" s="83">
        <v>45659</v>
      </c>
      <c r="F259" s="3" t="s">
        <v>389</v>
      </c>
      <c r="G259" s="81" t="s">
        <v>71</v>
      </c>
      <c r="H259" s="81">
        <f>40*222</f>
        <v>8880</v>
      </c>
      <c r="I259" s="81">
        <f>4800/222*72</f>
        <v>1556.7567567567567</v>
      </c>
      <c r="J259" s="10">
        <f>K259*L259*M259/1000000*72</f>
        <v>6.8947199999999995</v>
      </c>
      <c r="K259" s="81">
        <v>60</v>
      </c>
      <c r="L259" s="81">
        <v>57</v>
      </c>
      <c r="M259" s="81">
        <v>28</v>
      </c>
      <c r="N259" s="82">
        <v>45665</v>
      </c>
      <c r="O259" s="82">
        <v>45706</v>
      </c>
      <c r="P259" s="54" t="s">
        <v>390</v>
      </c>
    </row>
    <row r="260" spans="1:16" ht="22.5">
      <c r="A260" s="150"/>
      <c r="B260" s="189" t="s">
        <v>12</v>
      </c>
      <c r="C260" s="189"/>
      <c r="D260" s="189"/>
      <c r="E260" s="189"/>
      <c r="F260" s="64" t="s">
        <v>391</v>
      </c>
      <c r="G260" s="7"/>
      <c r="H260" s="52"/>
      <c r="I260" s="7">
        <f>SUM(I259:I259)</f>
        <v>1556.7567567567567</v>
      </c>
      <c r="J260" s="65">
        <f>SUM(J259:J259)</f>
        <v>6.8947199999999995</v>
      </c>
      <c r="K260" s="52"/>
      <c r="L260" s="52"/>
      <c r="M260" s="52"/>
      <c r="N260" s="67"/>
      <c r="O260" s="67"/>
      <c r="P260" s="67"/>
    </row>
    <row r="261" spans="1:16" ht="98.25">
      <c r="A261" s="150"/>
      <c r="B261" s="81" t="s">
        <v>384</v>
      </c>
      <c r="C261" s="129" t="s">
        <v>385</v>
      </c>
      <c r="D261" s="81" t="s">
        <v>73</v>
      </c>
      <c r="E261" s="83">
        <v>45659</v>
      </c>
      <c r="F261" s="3" t="s">
        <v>392</v>
      </c>
      <c r="G261" s="81" t="s">
        <v>71</v>
      </c>
      <c r="H261" s="81">
        <v>8880</v>
      </c>
      <c r="I261" s="81">
        <v>4800</v>
      </c>
      <c r="J261" s="10">
        <v>21.25872</v>
      </c>
      <c r="K261" s="81">
        <v>60</v>
      </c>
      <c r="L261" s="81">
        <v>57</v>
      </c>
      <c r="M261" s="81">
        <v>28</v>
      </c>
      <c r="N261" s="81" t="s">
        <v>88</v>
      </c>
      <c r="O261" s="81" t="s">
        <v>88</v>
      </c>
      <c r="P261" s="54" t="s">
        <v>393</v>
      </c>
    </row>
    <row r="262" spans="1:16" ht="22.5">
      <c r="A262" s="150"/>
      <c r="B262" s="189" t="s">
        <v>12</v>
      </c>
      <c r="C262" s="189"/>
      <c r="D262" s="189"/>
      <c r="E262" s="189"/>
      <c r="F262" s="64" t="s">
        <v>394</v>
      </c>
      <c r="G262" s="52"/>
      <c r="H262" s="52"/>
      <c r="I262" s="52">
        <v>4800</v>
      </c>
      <c r="J262" s="65">
        <v>21.25872</v>
      </c>
      <c r="K262" s="52"/>
      <c r="L262" s="52"/>
      <c r="M262" s="52"/>
      <c r="N262" s="67"/>
      <c r="O262" s="67"/>
      <c r="P262" s="67"/>
    </row>
    <row r="263" spans="1:16" ht="21">
      <c r="A263" s="150"/>
      <c r="B263" s="222" t="s">
        <v>395</v>
      </c>
      <c r="C263" s="222" t="s">
        <v>396</v>
      </c>
      <c r="D263" s="222" t="s">
        <v>397</v>
      </c>
      <c r="E263" s="217">
        <v>45660</v>
      </c>
      <c r="F263" s="3" t="s">
        <v>21</v>
      </c>
      <c r="G263" s="203" t="s">
        <v>398</v>
      </c>
      <c r="H263" s="81">
        <v>130</v>
      </c>
      <c r="I263" s="222">
        <v>7600</v>
      </c>
      <c r="J263" s="10">
        <v>2.863146</v>
      </c>
      <c r="K263" s="81">
        <v>611</v>
      </c>
      <c r="L263" s="81">
        <v>71</v>
      </c>
      <c r="M263" s="81">
        <v>66</v>
      </c>
      <c r="N263" s="220">
        <v>45665</v>
      </c>
      <c r="O263" s="220">
        <v>45706</v>
      </c>
      <c r="P263" s="222" t="s">
        <v>399</v>
      </c>
    </row>
    <row r="264" spans="1:16" ht="21">
      <c r="A264" s="150"/>
      <c r="B264" s="223"/>
      <c r="C264" s="223"/>
      <c r="D264" s="223"/>
      <c r="E264" s="218"/>
      <c r="F264" s="3" t="s">
        <v>15</v>
      </c>
      <c r="G264" s="204"/>
      <c r="H264" s="81">
        <v>120</v>
      </c>
      <c r="I264" s="223"/>
      <c r="J264" s="10">
        <v>3.167424</v>
      </c>
      <c r="K264" s="81">
        <v>611</v>
      </c>
      <c r="L264" s="81">
        <v>72</v>
      </c>
      <c r="M264" s="81">
        <v>72</v>
      </c>
      <c r="N264" s="223"/>
      <c r="O264" s="223"/>
      <c r="P264" s="223"/>
    </row>
    <row r="265" spans="1:16" ht="21">
      <c r="A265" s="150"/>
      <c r="B265" s="223"/>
      <c r="C265" s="223"/>
      <c r="D265" s="223"/>
      <c r="E265" s="218"/>
      <c r="F265" s="3" t="s">
        <v>30</v>
      </c>
      <c r="G265" s="204"/>
      <c r="H265" s="81">
        <v>130</v>
      </c>
      <c r="I265" s="223"/>
      <c r="J265" s="10">
        <v>3.383718</v>
      </c>
      <c r="K265" s="81">
        <v>611</v>
      </c>
      <c r="L265" s="81">
        <v>78</v>
      </c>
      <c r="M265" s="81">
        <v>71</v>
      </c>
      <c r="N265" s="223"/>
      <c r="O265" s="223"/>
      <c r="P265" s="223"/>
    </row>
    <row r="266" spans="1:16" ht="21">
      <c r="A266" s="150"/>
      <c r="B266" s="223"/>
      <c r="C266" s="223"/>
      <c r="D266" s="223"/>
      <c r="E266" s="218"/>
      <c r="F266" s="3" t="s">
        <v>25</v>
      </c>
      <c r="G266" s="205"/>
      <c r="H266" s="81">
        <v>220</v>
      </c>
      <c r="I266" s="223"/>
      <c r="J266" s="10">
        <v>2.5405380000000002</v>
      </c>
      <c r="K266" s="81">
        <v>611</v>
      </c>
      <c r="L266" s="81">
        <v>66</v>
      </c>
      <c r="M266" s="81">
        <v>63</v>
      </c>
      <c r="N266" s="223"/>
      <c r="O266" s="223"/>
      <c r="P266" s="223"/>
    </row>
    <row r="267" spans="1:16" ht="21">
      <c r="A267" s="150"/>
      <c r="B267" s="221"/>
      <c r="C267" s="221"/>
      <c r="D267" s="221"/>
      <c r="E267" s="219"/>
      <c r="F267" s="3" t="s">
        <v>13</v>
      </c>
      <c r="G267" s="54" t="s">
        <v>400</v>
      </c>
      <c r="H267" s="81">
        <v>1599</v>
      </c>
      <c r="I267" s="221"/>
      <c r="J267" s="10">
        <v>0.68834399999999996</v>
      </c>
      <c r="K267" s="81">
        <v>87</v>
      </c>
      <c r="L267" s="81">
        <v>86</v>
      </c>
      <c r="M267" s="81">
        <v>92</v>
      </c>
      <c r="N267" s="221"/>
      <c r="O267" s="221"/>
      <c r="P267" s="221"/>
    </row>
    <row r="268" spans="1:16" ht="22.5">
      <c r="A268" s="177">
        <v>45689</v>
      </c>
      <c r="B268" s="189" t="s">
        <v>12</v>
      </c>
      <c r="C268" s="189"/>
      <c r="D268" s="189"/>
      <c r="E268" s="189"/>
      <c r="F268" s="64" t="s">
        <v>13</v>
      </c>
      <c r="G268" s="69"/>
      <c r="H268" s="52"/>
      <c r="I268" s="9">
        <v>7600</v>
      </c>
      <c r="J268" s="65">
        <v>12.64317</v>
      </c>
      <c r="K268" s="52"/>
      <c r="L268" s="52"/>
      <c r="M268" s="52"/>
      <c r="N268" s="67"/>
      <c r="O268" s="67"/>
      <c r="P268" s="67"/>
    </row>
    <row r="269" spans="1:16" ht="42">
      <c r="A269" s="150"/>
      <c r="B269" s="60" t="s">
        <v>401</v>
      </c>
      <c r="C269" s="60"/>
      <c r="D269" s="60" t="s">
        <v>402</v>
      </c>
      <c r="E269" s="107">
        <v>45660</v>
      </c>
      <c r="F269" s="62" t="s">
        <v>403</v>
      </c>
      <c r="G269" s="60" t="s">
        <v>404</v>
      </c>
      <c r="H269" s="60">
        <v>130</v>
      </c>
      <c r="I269" s="60">
        <v>149</v>
      </c>
      <c r="J269" s="63">
        <v>1.1248</v>
      </c>
      <c r="K269" s="60">
        <v>74</v>
      </c>
      <c r="L269" s="60">
        <v>38</v>
      </c>
      <c r="M269" s="60">
        <v>40</v>
      </c>
      <c r="N269" s="60" t="s">
        <v>82</v>
      </c>
      <c r="O269" s="60" t="s">
        <v>82</v>
      </c>
      <c r="P269" s="53" t="s">
        <v>405</v>
      </c>
    </row>
    <row r="270" spans="1:16" ht="22.5">
      <c r="A270" s="150"/>
      <c r="B270" s="189" t="s">
        <v>12</v>
      </c>
      <c r="C270" s="189"/>
      <c r="D270" s="189"/>
      <c r="E270" s="189"/>
      <c r="F270" s="64" t="s">
        <v>406</v>
      </c>
      <c r="G270" s="52"/>
      <c r="H270" s="52"/>
      <c r="I270" s="52">
        <v>149</v>
      </c>
      <c r="J270" s="65">
        <v>1.1248</v>
      </c>
      <c r="K270" s="52"/>
      <c r="L270" s="52"/>
      <c r="M270" s="52"/>
      <c r="N270" s="55"/>
      <c r="O270" s="55"/>
      <c r="P270" s="55"/>
    </row>
    <row r="271" spans="1:16" ht="42">
      <c r="A271" s="150"/>
      <c r="B271" s="81" t="s">
        <v>407</v>
      </c>
      <c r="C271" s="81"/>
      <c r="D271" s="81" t="s">
        <v>73</v>
      </c>
      <c r="E271" s="83">
        <v>45663</v>
      </c>
      <c r="F271" s="3" t="s">
        <v>408</v>
      </c>
      <c r="G271" s="81" t="s">
        <v>71</v>
      </c>
      <c r="H271" s="81">
        <f>40*107</f>
        <v>4280</v>
      </c>
      <c r="I271" s="81">
        <f>21*107</f>
        <v>2247</v>
      </c>
      <c r="J271" s="10">
        <f>K271*L271*M271/1000000*107</f>
        <v>11.234999999999999</v>
      </c>
      <c r="K271" s="81">
        <v>50</v>
      </c>
      <c r="L271" s="81">
        <v>50</v>
      </c>
      <c r="M271" s="81">
        <v>42</v>
      </c>
      <c r="N271" s="81" t="s">
        <v>88</v>
      </c>
      <c r="O271" s="81" t="s">
        <v>88</v>
      </c>
      <c r="P271" s="81" t="s">
        <v>24</v>
      </c>
    </row>
    <row r="272" spans="1:16" ht="22.5">
      <c r="A272" s="150"/>
      <c r="B272" s="189" t="s">
        <v>12</v>
      </c>
      <c r="C272" s="189"/>
      <c r="D272" s="189"/>
      <c r="E272" s="189"/>
      <c r="F272" s="64" t="s">
        <v>409</v>
      </c>
      <c r="G272" s="52"/>
      <c r="H272" s="52"/>
      <c r="I272" s="52">
        <f>SUM(I271:I271)</f>
        <v>2247</v>
      </c>
      <c r="J272" s="65">
        <f>SUM(J271:J271)</f>
        <v>11.234999999999999</v>
      </c>
      <c r="K272" s="52"/>
      <c r="L272" s="52"/>
      <c r="M272" s="52"/>
      <c r="N272" s="67"/>
      <c r="O272" s="67"/>
      <c r="P272" s="67"/>
    </row>
    <row r="273" spans="1:16" ht="37.5">
      <c r="A273" s="177"/>
      <c r="B273" s="222" t="s">
        <v>410</v>
      </c>
      <c r="C273" s="222" t="s">
        <v>411</v>
      </c>
      <c r="D273" s="222" t="s">
        <v>412</v>
      </c>
      <c r="E273" s="217">
        <v>45665</v>
      </c>
      <c r="F273" s="3" t="s">
        <v>98</v>
      </c>
      <c r="G273" s="54" t="s">
        <v>413</v>
      </c>
      <c r="H273" s="81">
        <f>12*28</f>
        <v>336</v>
      </c>
      <c r="I273" s="81">
        <v>322</v>
      </c>
      <c r="J273" s="10">
        <f>K273*L273*M273/1000000*28</f>
        <v>2.1785399999999999</v>
      </c>
      <c r="K273" s="81">
        <v>57</v>
      </c>
      <c r="L273" s="81">
        <v>35</v>
      </c>
      <c r="M273" s="81">
        <v>39</v>
      </c>
      <c r="N273" s="220">
        <v>45670</v>
      </c>
      <c r="O273" s="220">
        <v>45712</v>
      </c>
      <c r="P273" s="222" t="s">
        <v>414</v>
      </c>
    </row>
    <row r="274" spans="1:16" ht="37.5">
      <c r="A274" s="177"/>
      <c r="B274" s="223"/>
      <c r="C274" s="223"/>
      <c r="D274" s="223"/>
      <c r="E274" s="218"/>
      <c r="F274" s="3" t="s">
        <v>99</v>
      </c>
      <c r="G274" s="54" t="s">
        <v>415</v>
      </c>
      <c r="H274" s="81">
        <f>15*24</f>
        <v>360</v>
      </c>
      <c r="I274" s="81">
        <v>230</v>
      </c>
      <c r="J274" s="10">
        <f>K274*L274*M274/1000000*24</f>
        <v>1.2949439999999999</v>
      </c>
      <c r="K274" s="81">
        <v>47</v>
      </c>
      <c r="L274" s="81">
        <v>41</v>
      </c>
      <c r="M274" s="81">
        <v>28</v>
      </c>
      <c r="N274" s="223"/>
      <c r="O274" s="223"/>
      <c r="P274" s="223"/>
    </row>
    <row r="275" spans="1:16" ht="21">
      <c r="A275" s="177"/>
      <c r="B275" s="223"/>
      <c r="C275" s="223"/>
      <c r="D275" s="223"/>
      <c r="E275" s="218"/>
      <c r="F275" s="3" t="s">
        <v>416</v>
      </c>
      <c r="G275" s="203" t="s">
        <v>417</v>
      </c>
      <c r="H275" s="81">
        <f>104*3</f>
        <v>312</v>
      </c>
      <c r="I275" s="81">
        <v>38</v>
      </c>
      <c r="J275" s="10">
        <f>K275*L275*M275/1000000*3</f>
        <v>0.139932</v>
      </c>
      <c r="K275" s="81">
        <v>52</v>
      </c>
      <c r="L275" s="81">
        <v>23</v>
      </c>
      <c r="M275" s="81">
        <v>39</v>
      </c>
      <c r="N275" s="223"/>
      <c r="O275" s="223"/>
      <c r="P275" s="223"/>
    </row>
    <row r="276" spans="1:16" ht="21">
      <c r="A276" s="177"/>
      <c r="B276" s="223"/>
      <c r="C276" s="223"/>
      <c r="D276" s="223"/>
      <c r="E276" s="218"/>
      <c r="F276" s="3" t="s">
        <v>418</v>
      </c>
      <c r="G276" s="205"/>
      <c r="H276" s="81">
        <v>48</v>
      </c>
      <c r="I276" s="81">
        <v>6</v>
      </c>
      <c r="J276" s="10">
        <f>K276*L276*M276/1000000</f>
        <v>2.7508000000000001E-2</v>
      </c>
      <c r="K276" s="81">
        <v>52</v>
      </c>
      <c r="L276" s="81">
        <v>23</v>
      </c>
      <c r="M276" s="81">
        <v>23</v>
      </c>
      <c r="N276" s="223"/>
      <c r="O276" s="223"/>
      <c r="P276" s="223"/>
    </row>
    <row r="277" spans="1:16" ht="37.5">
      <c r="A277" s="177"/>
      <c r="B277" s="221"/>
      <c r="C277" s="221"/>
      <c r="D277" s="221"/>
      <c r="E277" s="219"/>
      <c r="F277" s="3" t="s">
        <v>419</v>
      </c>
      <c r="G277" s="54" t="s">
        <v>420</v>
      </c>
      <c r="H277" s="81">
        <f>24/12</f>
        <v>2</v>
      </c>
      <c r="I277" s="81">
        <v>160</v>
      </c>
      <c r="J277" s="10">
        <f>K277*L277*M277/1000000*12</f>
        <v>0.92496</v>
      </c>
      <c r="K277" s="81">
        <v>41</v>
      </c>
      <c r="L277" s="81">
        <v>40</v>
      </c>
      <c r="M277" s="81">
        <v>47</v>
      </c>
      <c r="N277" s="221"/>
      <c r="O277" s="221"/>
      <c r="P277" s="221"/>
    </row>
    <row r="278" spans="1:16" ht="22.5">
      <c r="A278" s="177">
        <v>45702</v>
      </c>
      <c r="B278" s="189" t="s">
        <v>12</v>
      </c>
      <c r="C278" s="189"/>
      <c r="D278" s="189"/>
      <c r="E278" s="189"/>
      <c r="F278" s="64" t="s">
        <v>421</v>
      </c>
      <c r="G278" s="69"/>
      <c r="H278" s="52"/>
      <c r="I278" s="52">
        <f>SUM(I273:I277)</f>
        <v>756</v>
      </c>
      <c r="J278" s="65">
        <f>SUM(J273:J277)</f>
        <v>4.5658840000000005</v>
      </c>
      <c r="K278" s="52"/>
      <c r="L278" s="52"/>
      <c r="M278" s="52"/>
      <c r="N278" s="67"/>
      <c r="O278" s="67"/>
      <c r="P278" s="67"/>
    </row>
    <row r="279" spans="1:16" ht="21">
      <c r="A279" s="177"/>
      <c r="B279" s="81" t="s">
        <v>422</v>
      </c>
      <c r="C279" s="54" t="s">
        <v>423</v>
      </c>
      <c r="D279" s="81" t="s">
        <v>424</v>
      </c>
      <c r="E279" s="83">
        <v>45666</v>
      </c>
      <c r="F279" s="3" t="s">
        <v>16</v>
      </c>
      <c r="G279" s="54" t="s">
        <v>425</v>
      </c>
      <c r="H279" s="81">
        <v>4</v>
      </c>
      <c r="I279" s="81">
        <v>65</v>
      </c>
      <c r="J279" s="10">
        <v>0.17399999999999999</v>
      </c>
      <c r="K279" s="81">
        <v>50</v>
      </c>
      <c r="L279" s="81">
        <v>29</v>
      </c>
      <c r="M279" s="81">
        <v>30</v>
      </c>
      <c r="N279" s="82">
        <v>45670</v>
      </c>
      <c r="O279" s="82">
        <v>45712</v>
      </c>
      <c r="P279" s="81" t="s">
        <v>414</v>
      </c>
    </row>
    <row r="280" spans="1:16" ht="22.5">
      <c r="A280" s="177">
        <v>45707</v>
      </c>
      <c r="B280" s="189" t="s">
        <v>12</v>
      </c>
      <c r="C280" s="189"/>
      <c r="D280" s="189"/>
      <c r="E280" s="189"/>
      <c r="F280" s="64" t="s">
        <v>25</v>
      </c>
      <c r="G280" s="69"/>
      <c r="H280" s="52"/>
      <c r="I280" s="52">
        <v>65</v>
      </c>
      <c r="J280" s="65">
        <v>0.17399999999999999</v>
      </c>
      <c r="K280" s="52"/>
      <c r="L280" s="52"/>
      <c r="M280" s="52"/>
      <c r="N280" s="67"/>
      <c r="O280" s="67"/>
      <c r="P280" s="67"/>
    </row>
    <row r="281" spans="1:16" ht="21">
      <c r="A281" s="177"/>
      <c r="B281" s="222" t="s">
        <v>426</v>
      </c>
      <c r="C281" s="203" t="s">
        <v>427</v>
      </c>
      <c r="D281" s="222" t="s">
        <v>18</v>
      </c>
      <c r="E281" s="217">
        <v>45666</v>
      </c>
      <c r="F281" s="3" t="s">
        <v>21</v>
      </c>
      <c r="G281" s="203" t="s">
        <v>428</v>
      </c>
      <c r="H281" s="81"/>
      <c r="I281" s="222">
        <v>13</v>
      </c>
      <c r="J281" s="10">
        <v>5.6160000000000002E-2</v>
      </c>
      <c r="K281" s="81">
        <v>40</v>
      </c>
      <c r="L281" s="81">
        <v>39</v>
      </c>
      <c r="M281" s="81">
        <v>36</v>
      </c>
      <c r="N281" s="220">
        <v>45670</v>
      </c>
      <c r="O281" s="220">
        <v>45712</v>
      </c>
      <c r="P281" s="222" t="s">
        <v>429</v>
      </c>
    </row>
    <row r="282" spans="1:16" ht="21">
      <c r="A282" s="177"/>
      <c r="B282" s="221"/>
      <c r="C282" s="205"/>
      <c r="D282" s="221"/>
      <c r="E282" s="219"/>
      <c r="F282" s="3" t="s">
        <v>15</v>
      </c>
      <c r="G282" s="221"/>
      <c r="H282" s="81"/>
      <c r="I282" s="221"/>
      <c r="J282" s="10">
        <v>2.3751000000000001E-2</v>
      </c>
      <c r="K282" s="81">
        <v>39</v>
      </c>
      <c r="L282" s="81">
        <v>21</v>
      </c>
      <c r="M282" s="81">
        <v>29</v>
      </c>
      <c r="N282" s="221"/>
      <c r="O282" s="221"/>
      <c r="P282" s="221"/>
    </row>
    <row r="283" spans="1:16" ht="22.5">
      <c r="A283" s="177">
        <v>45694</v>
      </c>
      <c r="B283" s="189" t="s">
        <v>12</v>
      </c>
      <c r="C283" s="189"/>
      <c r="D283" s="189"/>
      <c r="E283" s="189"/>
      <c r="F283" s="64" t="s">
        <v>15</v>
      </c>
      <c r="G283" s="9"/>
      <c r="H283" s="52"/>
      <c r="I283" s="9">
        <v>13</v>
      </c>
      <c r="J283" s="65">
        <v>7.991100000000001E-2</v>
      </c>
      <c r="K283" s="52"/>
      <c r="L283" s="52"/>
      <c r="M283" s="52"/>
      <c r="N283" s="67"/>
      <c r="O283" s="67"/>
      <c r="P283" s="67"/>
    </row>
    <row r="284" spans="1:16" ht="42">
      <c r="B284" s="81" t="s">
        <v>430</v>
      </c>
      <c r="C284" s="81"/>
      <c r="D284" s="81" t="s">
        <v>53</v>
      </c>
      <c r="E284" s="83">
        <v>45667</v>
      </c>
      <c r="F284" s="3" t="s">
        <v>436</v>
      </c>
      <c r="G284" s="54" t="s">
        <v>54</v>
      </c>
      <c r="H284" s="81">
        <f>2*750</f>
        <v>1500</v>
      </c>
      <c r="I284" s="81">
        <f>24*200</f>
        <v>4800</v>
      </c>
      <c r="J284" s="10">
        <f>K284*L284*M284/1000000*200</f>
        <v>8.16</v>
      </c>
      <c r="K284" s="81">
        <v>40</v>
      </c>
      <c r="L284" s="81">
        <v>34</v>
      </c>
      <c r="M284" s="81">
        <v>30</v>
      </c>
      <c r="N284" s="82">
        <v>45671</v>
      </c>
      <c r="O284" s="82">
        <v>45714</v>
      </c>
      <c r="P284" s="81" t="s">
        <v>437</v>
      </c>
    </row>
    <row r="285" spans="1:16" ht="22.5">
      <c r="B285" s="235" t="s">
        <v>12</v>
      </c>
      <c r="C285" s="236"/>
      <c r="D285" s="236"/>
      <c r="E285" s="237"/>
      <c r="F285" s="64" t="s">
        <v>433</v>
      </c>
      <c r="G285" s="69"/>
      <c r="H285" s="52"/>
      <c r="I285" s="7">
        <f>SUM(I284:I284)</f>
        <v>4800</v>
      </c>
      <c r="J285" s="65">
        <f>SUM(J284:J284)</f>
        <v>8.16</v>
      </c>
      <c r="K285" s="52"/>
      <c r="L285" s="52"/>
      <c r="M285" s="52"/>
      <c r="N285" s="67"/>
      <c r="O285" s="67"/>
      <c r="P285" s="67"/>
    </row>
    <row r="286" spans="1:16" ht="42">
      <c r="B286" s="130" t="s">
        <v>430</v>
      </c>
      <c r="C286" s="130"/>
      <c r="D286" s="130" t="s">
        <v>53</v>
      </c>
      <c r="E286" s="131">
        <v>45667</v>
      </c>
      <c r="F286" s="132" t="s">
        <v>431</v>
      </c>
      <c r="G286" s="133" t="s">
        <v>54</v>
      </c>
      <c r="H286" s="130">
        <f>2*750</f>
        <v>1500</v>
      </c>
      <c r="I286" s="130">
        <f>24*200</f>
        <v>4800</v>
      </c>
      <c r="J286" s="134">
        <f>K286*L286*M286/1000000*200</f>
        <v>8.16</v>
      </c>
      <c r="K286" s="130">
        <v>40</v>
      </c>
      <c r="L286" s="130">
        <v>34</v>
      </c>
      <c r="M286" s="130">
        <v>30</v>
      </c>
      <c r="N286" s="82">
        <v>45673</v>
      </c>
      <c r="O286" s="82">
        <v>45715</v>
      </c>
      <c r="P286" s="81" t="s">
        <v>432</v>
      </c>
    </row>
    <row r="287" spans="1:16" ht="22.5">
      <c r="B287" s="235" t="s">
        <v>12</v>
      </c>
      <c r="C287" s="236"/>
      <c r="D287" s="236"/>
      <c r="E287" s="237"/>
      <c r="F287" s="135" t="s">
        <v>433</v>
      </c>
      <c r="G287" s="136"/>
      <c r="H287" s="137"/>
      <c r="I287" s="138">
        <f>SUM(I286:I286)</f>
        <v>4800</v>
      </c>
      <c r="J287" s="139">
        <f>SUM(J286:J286)</f>
        <v>8.16</v>
      </c>
      <c r="K287" s="137"/>
      <c r="L287" s="137"/>
      <c r="M287" s="137"/>
      <c r="N287" s="67"/>
      <c r="O287" s="67"/>
      <c r="P287" s="67"/>
    </row>
    <row r="288" spans="1:16" ht="42">
      <c r="B288" s="81" t="s">
        <v>430</v>
      </c>
      <c r="C288" s="81"/>
      <c r="D288" s="81" t="s">
        <v>53</v>
      </c>
      <c r="E288" s="83">
        <v>45667</v>
      </c>
      <c r="F288" s="3" t="s">
        <v>434</v>
      </c>
      <c r="G288" s="54" t="s">
        <v>54</v>
      </c>
      <c r="H288" s="81">
        <f>2*750</f>
        <v>1500</v>
      </c>
      <c r="I288" s="81">
        <f>24*150</f>
        <v>3600</v>
      </c>
      <c r="J288" s="10">
        <f>K288*L288*M288/1000000*150</f>
        <v>6.12</v>
      </c>
      <c r="K288" s="81">
        <v>40</v>
      </c>
      <c r="L288" s="81">
        <v>34</v>
      </c>
      <c r="M288" s="81">
        <v>30</v>
      </c>
      <c r="N288" s="82">
        <v>45673</v>
      </c>
      <c r="O288" s="82">
        <v>45715</v>
      </c>
      <c r="P288" s="81" t="s">
        <v>435</v>
      </c>
    </row>
    <row r="289" spans="1:16" ht="22.5">
      <c r="B289" s="235" t="s">
        <v>12</v>
      </c>
      <c r="C289" s="236"/>
      <c r="D289" s="236"/>
      <c r="E289" s="237"/>
      <c r="F289" s="64" t="s">
        <v>388</v>
      </c>
      <c r="G289" s="69"/>
      <c r="H289" s="52"/>
      <c r="I289" s="52">
        <f>SUM(I288:I288)</f>
        <v>3600</v>
      </c>
      <c r="J289" s="65">
        <f>SUM(J288:J288)</f>
        <v>6.12</v>
      </c>
      <c r="K289" s="52"/>
      <c r="L289" s="52"/>
      <c r="M289" s="52"/>
      <c r="N289" s="67"/>
      <c r="O289" s="67"/>
      <c r="P289" s="67"/>
    </row>
    <row r="290" spans="1:16" ht="42">
      <c r="B290" s="81" t="s">
        <v>430</v>
      </c>
      <c r="C290" s="81"/>
      <c r="D290" s="81" t="s">
        <v>53</v>
      </c>
      <c r="E290" s="83">
        <v>45667</v>
      </c>
      <c r="F290" s="3" t="s">
        <v>438</v>
      </c>
      <c r="G290" s="54" t="s">
        <v>54</v>
      </c>
      <c r="H290" s="81">
        <f>2*750</f>
        <v>1500</v>
      </c>
      <c r="I290" s="81">
        <f>24*200</f>
        <v>4800</v>
      </c>
      <c r="J290" s="10">
        <f>K290*L290*M290/1000000*200</f>
        <v>8.16</v>
      </c>
      <c r="K290" s="81">
        <v>40</v>
      </c>
      <c r="L290" s="81">
        <v>34</v>
      </c>
      <c r="M290" s="81">
        <v>30</v>
      </c>
      <c r="N290" s="82">
        <v>45675</v>
      </c>
      <c r="O290" s="82">
        <v>45716</v>
      </c>
      <c r="P290" s="81" t="s">
        <v>439</v>
      </c>
    </row>
    <row r="291" spans="1:16" ht="22.5">
      <c r="B291" s="235" t="s">
        <v>12</v>
      </c>
      <c r="C291" s="236"/>
      <c r="D291" s="236"/>
      <c r="E291" s="237"/>
      <c r="F291" s="64" t="s">
        <v>433</v>
      </c>
      <c r="G291" s="69"/>
      <c r="H291" s="52"/>
      <c r="I291" s="7">
        <f>SUM(I290:I290)</f>
        <v>4800</v>
      </c>
      <c r="J291" s="65">
        <f>SUM(J290:J290)</f>
        <v>8.16</v>
      </c>
      <c r="K291" s="52"/>
      <c r="L291" s="52"/>
      <c r="M291" s="52"/>
      <c r="N291" s="67"/>
      <c r="O291" s="67"/>
      <c r="P291" s="67"/>
    </row>
    <row r="292" spans="1:16" ht="21">
      <c r="A292" s="177"/>
      <c r="B292" s="222" t="s">
        <v>100</v>
      </c>
      <c r="C292" s="222">
        <v>1392620920</v>
      </c>
      <c r="D292" s="222" t="s">
        <v>20</v>
      </c>
      <c r="E292" s="217">
        <v>45667</v>
      </c>
      <c r="F292" s="3" t="s">
        <v>14</v>
      </c>
      <c r="G292" s="203" t="s">
        <v>68</v>
      </c>
      <c r="H292" s="81">
        <v>8</v>
      </c>
      <c r="I292" s="222">
        <v>357</v>
      </c>
      <c r="J292" s="10">
        <v>0.15443999999999999</v>
      </c>
      <c r="K292" s="81">
        <v>110</v>
      </c>
      <c r="L292" s="81">
        <v>27</v>
      </c>
      <c r="M292" s="81">
        <v>26</v>
      </c>
      <c r="N292" s="220">
        <v>45670</v>
      </c>
      <c r="O292" s="220">
        <v>45699</v>
      </c>
      <c r="P292" s="222" t="s">
        <v>136</v>
      </c>
    </row>
    <row r="293" spans="1:16" ht="21">
      <c r="A293" s="177"/>
      <c r="B293" s="223"/>
      <c r="C293" s="223"/>
      <c r="D293" s="223"/>
      <c r="E293" s="218"/>
      <c r="F293" s="3" t="s">
        <v>30</v>
      </c>
      <c r="G293" s="204"/>
      <c r="H293" s="81">
        <v>2</v>
      </c>
      <c r="I293" s="223"/>
      <c r="J293" s="10">
        <v>7.7219999999999997E-2</v>
      </c>
      <c r="K293" s="81">
        <v>110</v>
      </c>
      <c r="L293" s="81">
        <v>27</v>
      </c>
      <c r="M293" s="81">
        <v>26</v>
      </c>
      <c r="N293" s="223"/>
      <c r="O293" s="223"/>
      <c r="P293" s="223"/>
    </row>
    <row r="294" spans="1:16" ht="21">
      <c r="A294" s="177"/>
      <c r="B294" s="223"/>
      <c r="C294" s="223"/>
      <c r="D294" s="223"/>
      <c r="E294" s="218"/>
      <c r="F294" s="3" t="s">
        <v>25</v>
      </c>
      <c r="G294" s="205"/>
      <c r="H294" s="81">
        <v>4</v>
      </c>
      <c r="I294" s="223"/>
      <c r="J294" s="10">
        <v>0.12675</v>
      </c>
      <c r="K294" s="81">
        <v>130</v>
      </c>
      <c r="L294" s="81">
        <v>39</v>
      </c>
      <c r="M294" s="81">
        <v>25</v>
      </c>
      <c r="N294" s="223"/>
      <c r="O294" s="223"/>
      <c r="P294" s="223"/>
    </row>
    <row r="295" spans="1:16" ht="21">
      <c r="A295" s="177"/>
      <c r="B295" s="223"/>
      <c r="C295" s="223"/>
      <c r="D295" s="223"/>
      <c r="E295" s="218"/>
      <c r="F295" s="3" t="s">
        <v>61</v>
      </c>
      <c r="G295" s="203" t="s">
        <v>58</v>
      </c>
      <c r="H295" s="81">
        <v>20</v>
      </c>
      <c r="I295" s="223"/>
      <c r="J295" s="10">
        <v>0.31099199999999999</v>
      </c>
      <c r="K295" s="81">
        <v>93</v>
      </c>
      <c r="L295" s="81">
        <v>44</v>
      </c>
      <c r="M295" s="81">
        <v>38</v>
      </c>
      <c r="N295" s="223"/>
      <c r="O295" s="223"/>
      <c r="P295" s="223"/>
    </row>
    <row r="296" spans="1:16" ht="21">
      <c r="A296" s="177"/>
      <c r="B296" s="223"/>
      <c r="C296" s="223"/>
      <c r="D296" s="223"/>
      <c r="E296" s="218"/>
      <c r="F296" s="3" t="s">
        <v>31</v>
      </c>
      <c r="G296" s="204"/>
      <c r="H296" s="81">
        <v>10</v>
      </c>
      <c r="I296" s="223"/>
      <c r="J296" s="10">
        <v>0.13718</v>
      </c>
      <c r="K296" s="81">
        <v>95</v>
      </c>
      <c r="L296" s="81">
        <v>38</v>
      </c>
      <c r="M296" s="81">
        <v>38</v>
      </c>
      <c r="N296" s="223"/>
      <c r="O296" s="223"/>
      <c r="P296" s="223"/>
    </row>
    <row r="297" spans="1:16" ht="21">
      <c r="A297" s="177"/>
      <c r="B297" s="223"/>
      <c r="C297" s="223"/>
      <c r="D297" s="223"/>
      <c r="E297" s="218"/>
      <c r="F297" s="3" t="s">
        <v>26</v>
      </c>
      <c r="G297" s="204"/>
      <c r="H297" s="81">
        <v>10</v>
      </c>
      <c r="I297" s="223"/>
      <c r="J297" s="10">
        <v>0.13718</v>
      </c>
      <c r="K297" s="81">
        <v>95</v>
      </c>
      <c r="L297" s="81">
        <v>38</v>
      </c>
      <c r="M297" s="81">
        <v>38</v>
      </c>
      <c r="N297" s="223"/>
      <c r="O297" s="223"/>
      <c r="P297" s="223"/>
    </row>
    <row r="298" spans="1:16" ht="21">
      <c r="A298" s="177"/>
      <c r="B298" s="223"/>
      <c r="C298" s="223"/>
      <c r="D298" s="223"/>
      <c r="E298" s="218"/>
      <c r="F298" s="3" t="s">
        <v>22</v>
      </c>
      <c r="G298" s="204"/>
      <c r="H298" s="81">
        <v>20</v>
      </c>
      <c r="I298" s="223"/>
      <c r="J298" s="10">
        <v>0.13718</v>
      </c>
      <c r="K298" s="81">
        <v>95</v>
      </c>
      <c r="L298" s="81">
        <v>38</v>
      </c>
      <c r="M298" s="81">
        <v>38</v>
      </c>
      <c r="N298" s="223"/>
      <c r="O298" s="223"/>
      <c r="P298" s="223"/>
    </row>
    <row r="299" spans="1:16" ht="21">
      <c r="A299" s="177"/>
      <c r="B299" s="223"/>
      <c r="C299" s="223"/>
      <c r="D299" s="223"/>
      <c r="E299" s="218"/>
      <c r="F299" s="3" t="s">
        <v>101</v>
      </c>
      <c r="G299" s="204"/>
      <c r="H299" s="81">
        <v>50</v>
      </c>
      <c r="I299" s="223"/>
      <c r="J299" s="10">
        <v>0.68589999999999995</v>
      </c>
      <c r="K299" s="81">
        <v>95</v>
      </c>
      <c r="L299" s="81">
        <v>38</v>
      </c>
      <c r="M299" s="81">
        <v>38</v>
      </c>
      <c r="N299" s="223"/>
      <c r="O299" s="223"/>
      <c r="P299" s="223"/>
    </row>
    <row r="300" spans="1:16" ht="21">
      <c r="A300" s="177"/>
      <c r="B300" s="223"/>
      <c r="C300" s="223"/>
      <c r="D300" s="223"/>
      <c r="E300" s="218"/>
      <c r="F300" s="3" t="s">
        <v>27</v>
      </c>
      <c r="G300" s="205"/>
      <c r="H300" s="81">
        <v>10</v>
      </c>
      <c r="I300" s="223"/>
      <c r="J300" s="10">
        <v>6.93E-2</v>
      </c>
      <c r="K300" s="81">
        <v>50</v>
      </c>
      <c r="L300" s="81">
        <v>42</v>
      </c>
      <c r="M300" s="81">
        <v>33</v>
      </c>
      <c r="N300" s="223"/>
      <c r="O300" s="223"/>
      <c r="P300" s="223"/>
    </row>
    <row r="301" spans="1:16" ht="21">
      <c r="A301" s="177"/>
      <c r="B301" s="223"/>
      <c r="C301" s="223"/>
      <c r="D301" s="223"/>
      <c r="E301" s="218"/>
      <c r="F301" s="3" t="s">
        <v>28</v>
      </c>
      <c r="G301" s="81" t="s">
        <v>102</v>
      </c>
      <c r="H301" s="81">
        <v>85</v>
      </c>
      <c r="I301" s="223"/>
      <c r="J301" s="10">
        <v>3.0096000000000001E-2</v>
      </c>
      <c r="K301" s="81">
        <v>38</v>
      </c>
      <c r="L301" s="81">
        <v>33</v>
      </c>
      <c r="M301" s="81">
        <v>24</v>
      </c>
      <c r="N301" s="223"/>
      <c r="O301" s="223"/>
      <c r="P301" s="223"/>
    </row>
    <row r="302" spans="1:16" ht="21">
      <c r="A302" s="177"/>
      <c r="B302" s="223"/>
      <c r="C302" s="223"/>
      <c r="D302" s="223"/>
      <c r="E302" s="218"/>
      <c r="F302" s="3" t="s">
        <v>29</v>
      </c>
      <c r="G302" s="54" t="s">
        <v>69</v>
      </c>
      <c r="H302" s="81">
        <v>50</v>
      </c>
      <c r="I302" s="223"/>
      <c r="J302" s="10">
        <v>5.3921999999999998E-2</v>
      </c>
      <c r="K302" s="81">
        <v>43</v>
      </c>
      <c r="L302" s="81">
        <v>38</v>
      </c>
      <c r="M302" s="81">
        <v>33</v>
      </c>
      <c r="N302" s="223"/>
      <c r="O302" s="223"/>
      <c r="P302" s="223"/>
    </row>
    <row r="303" spans="1:16" ht="21">
      <c r="A303" s="177"/>
      <c r="B303" s="223"/>
      <c r="C303" s="223"/>
      <c r="D303" s="223"/>
      <c r="E303" s="218"/>
      <c r="F303" s="3" t="s">
        <v>57</v>
      </c>
      <c r="G303" s="54" t="s">
        <v>103</v>
      </c>
      <c r="H303" s="81">
        <v>14</v>
      </c>
      <c r="I303" s="223"/>
      <c r="J303" s="10">
        <v>0.16819999999999999</v>
      </c>
      <c r="K303" s="81">
        <v>145</v>
      </c>
      <c r="L303" s="81">
        <v>58</v>
      </c>
      <c r="M303" s="81">
        <v>20</v>
      </c>
      <c r="N303" s="223"/>
      <c r="O303" s="223"/>
      <c r="P303" s="223"/>
    </row>
    <row r="304" spans="1:16" ht="37.5">
      <c r="A304" s="177"/>
      <c r="B304" s="221"/>
      <c r="C304" s="221"/>
      <c r="D304" s="221"/>
      <c r="E304" s="219"/>
      <c r="F304" s="3" t="s">
        <v>87</v>
      </c>
      <c r="G304" s="54" t="s">
        <v>58</v>
      </c>
      <c r="H304" s="81">
        <v>10</v>
      </c>
      <c r="I304" s="221"/>
      <c r="J304" s="10">
        <v>0.35963200000000001</v>
      </c>
      <c r="K304" s="81">
        <v>91</v>
      </c>
      <c r="L304" s="81">
        <v>52</v>
      </c>
      <c r="M304" s="81">
        <v>38</v>
      </c>
      <c r="N304" s="221"/>
      <c r="O304" s="221"/>
      <c r="P304" s="221"/>
    </row>
    <row r="305" spans="1:16" ht="22.5">
      <c r="A305" s="177">
        <v>45702</v>
      </c>
      <c r="B305" s="189" t="s">
        <v>12</v>
      </c>
      <c r="C305" s="189"/>
      <c r="D305" s="189"/>
      <c r="E305" s="189"/>
      <c r="F305" s="64" t="s">
        <v>19</v>
      </c>
      <c r="G305" s="69"/>
      <c r="H305" s="52"/>
      <c r="I305" s="9">
        <v>357</v>
      </c>
      <c r="J305" s="65">
        <v>2.4479919999999997</v>
      </c>
      <c r="K305" s="52"/>
      <c r="L305" s="52"/>
      <c r="M305" s="52"/>
      <c r="N305" s="67"/>
      <c r="O305" s="67"/>
      <c r="P305" s="67"/>
    </row>
    <row r="306" spans="1:16" ht="42">
      <c r="A306" s="177"/>
      <c r="B306" s="81" t="s">
        <v>104</v>
      </c>
      <c r="C306" s="129" t="s">
        <v>105</v>
      </c>
      <c r="D306" s="81" t="s">
        <v>18</v>
      </c>
      <c r="E306" s="83">
        <v>45667</v>
      </c>
      <c r="F306" s="3" t="s">
        <v>16</v>
      </c>
      <c r="G306" s="54" t="s">
        <v>70</v>
      </c>
      <c r="H306" s="81"/>
      <c r="I306" s="81">
        <v>88</v>
      </c>
      <c r="J306" s="10">
        <v>0.107184</v>
      </c>
      <c r="K306" s="81">
        <v>44</v>
      </c>
      <c r="L306" s="81">
        <v>29</v>
      </c>
      <c r="M306" s="81">
        <v>21</v>
      </c>
      <c r="N306" s="82">
        <v>45670</v>
      </c>
      <c r="O306" s="82">
        <v>45699</v>
      </c>
      <c r="P306" s="81" t="s">
        <v>136</v>
      </c>
    </row>
    <row r="307" spans="1:16" ht="22.5">
      <c r="A307" s="177">
        <v>45702</v>
      </c>
      <c r="B307" s="189" t="s">
        <v>12</v>
      </c>
      <c r="C307" s="189"/>
      <c r="D307" s="189"/>
      <c r="E307" s="189"/>
      <c r="F307" s="64" t="s">
        <v>25</v>
      </c>
      <c r="G307" s="52"/>
      <c r="H307" s="52"/>
      <c r="I307" s="52">
        <v>88</v>
      </c>
      <c r="J307" s="65">
        <v>0.107184</v>
      </c>
      <c r="K307" s="52"/>
      <c r="L307" s="52"/>
      <c r="M307" s="52"/>
      <c r="N307" s="67" t="s">
        <v>210</v>
      </c>
      <c r="O307" s="67"/>
      <c r="P307" s="67"/>
    </row>
    <row r="308" spans="1:16" ht="37.5">
      <c r="A308" s="177"/>
      <c r="B308" s="81" t="s">
        <v>106</v>
      </c>
      <c r="C308" s="129" t="s">
        <v>107</v>
      </c>
      <c r="D308" s="81" t="s">
        <v>18</v>
      </c>
      <c r="E308" s="83">
        <v>45667</v>
      </c>
      <c r="F308" s="3" t="s">
        <v>16</v>
      </c>
      <c r="G308" s="54" t="s">
        <v>70</v>
      </c>
      <c r="H308" s="81">
        <v>1000</v>
      </c>
      <c r="I308" s="81">
        <v>52</v>
      </c>
      <c r="J308" s="10">
        <v>0.12474</v>
      </c>
      <c r="K308" s="81">
        <v>45</v>
      </c>
      <c r="L308" s="81">
        <v>33</v>
      </c>
      <c r="M308" s="81">
        <v>21</v>
      </c>
      <c r="N308" s="82">
        <v>45670</v>
      </c>
      <c r="O308" s="82">
        <v>45699</v>
      </c>
      <c r="P308" s="81" t="s">
        <v>136</v>
      </c>
    </row>
    <row r="309" spans="1:16" ht="22.5">
      <c r="A309" s="177">
        <v>45702</v>
      </c>
      <c r="B309" s="189" t="s">
        <v>12</v>
      </c>
      <c r="C309" s="189"/>
      <c r="D309" s="189"/>
      <c r="E309" s="189"/>
      <c r="F309" s="64" t="s">
        <v>25</v>
      </c>
      <c r="G309" s="52"/>
      <c r="H309" s="52"/>
      <c r="I309" s="52">
        <v>52</v>
      </c>
      <c r="J309" s="65">
        <v>0.12474</v>
      </c>
      <c r="K309" s="52"/>
      <c r="L309" s="52"/>
      <c r="M309" s="52"/>
      <c r="N309" s="67"/>
      <c r="O309" s="67"/>
      <c r="P309" s="67"/>
    </row>
    <row r="310" spans="1:16" ht="21">
      <c r="A310" s="177"/>
      <c r="B310" s="207" t="s">
        <v>108</v>
      </c>
      <c r="C310" s="213" t="s">
        <v>440</v>
      </c>
      <c r="D310" s="207" t="s">
        <v>109</v>
      </c>
      <c r="E310" s="210">
        <v>45668</v>
      </c>
      <c r="F310" s="62" t="s">
        <v>110</v>
      </c>
      <c r="G310" s="213" t="s">
        <v>111</v>
      </c>
      <c r="H310" s="60">
        <v>385</v>
      </c>
      <c r="I310" s="207">
        <v>1451</v>
      </c>
      <c r="J310" s="63">
        <v>3.5475000000000003</v>
      </c>
      <c r="K310" s="60">
        <v>86</v>
      </c>
      <c r="L310" s="60">
        <v>25</v>
      </c>
      <c r="M310" s="60">
        <v>30</v>
      </c>
      <c r="N310" s="229">
        <v>45671</v>
      </c>
      <c r="O310" s="229">
        <v>45714</v>
      </c>
      <c r="P310" s="207" t="s">
        <v>441</v>
      </c>
    </row>
    <row r="311" spans="1:16" ht="21">
      <c r="A311" s="177"/>
      <c r="B311" s="208"/>
      <c r="C311" s="226"/>
      <c r="D311" s="208"/>
      <c r="E311" s="211"/>
      <c r="F311" s="62" t="s">
        <v>112</v>
      </c>
      <c r="G311" s="227"/>
      <c r="H311" s="60">
        <v>36</v>
      </c>
      <c r="I311" s="208"/>
      <c r="J311" s="63">
        <v>0.29759999999999998</v>
      </c>
      <c r="K311" s="60">
        <v>62</v>
      </c>
      <c r="L311" s="60">
        <v>40</v>
      </c>
      <c r="M311" s="60">
        <v>20</v>
      </c>
      <c r="N311" s="208"/>
      <c r="O311" s="208"/>
      <c r="P311" s="208"/>
    </row>
    <row r="312" spans="1:16" ht="21">
      <c r="A312" s="177"/>
      <c r="B312" s="208"/>
      <c r="C312" s="226"/>
      <c r="D312" s="208"/>
      <c r="E312" s="211"/>
      <c r="F312" s="62" t="s">
        <v>113</v>
      </c>
      <c r="G312" s="53" t="s">
        <v>114</v>
      </c>
      <c r="H312" s="60">
        <v>26</v>
      </c>
      <c r="I312" s="208"/>
      <c r="J312" s="63">
        <v>9.2663999999999996E-2</v>
      </c>
      <c r="K312" s="60">
        <v>54</v>
      </c>
      <c r="L312" s="60">
        <v>52</v>
      </c>
      <c r="M312" s="60">
        <v>33</v>
      </c>
      <c r="N312" s="208"/>
      <c r="O312" s="208"/>
      <c r="P312" s="208"/>
    </row>
    <row r="313" spans="1:16" ht="21">
      <c r="A313" s="177"/>
      <c r="B313" s="208"/>
      <c r="C313" s="226"/>
      <c r="D313" s="208"/>
      <c r="E313" s="211"/>
      <c r="F313" s="62" t="s">
        <v>115</v>
      </c>
      <c r="G313" s="53" t="s">
        <v>116</v>
      </c>
      <c r="H313" s="60">
        <v>121</v>
      </c>
      <c r="I313" s="208"/>
      <c r="J313" s="63">
        <v>3.456E-2</v>
      </c>
      <c r="K313" s="60">
        <v>30</v>
      </c>
      <c r="L313" s="60">
        <v>48</v>
      </c>
      <c r="M313" s="60">
        <v>24</v>
      </c>
      <c r="N313" s="208"/>
      <c r="O313" s="208"/>
      <c r="P313" s="208"/>
    </row>
    <row r="314" spans="1:16" ht="37.5">
      <c r="A314" s="177"/>
      <c r="B314" s="208"/>
      <c r="C314" s="226"/>
      <c r="D314" s="208"/>
      <c r="E314" s="211"/>
      <c r="F314" s="62" t="s">
        <v>117</v>
      </c>
      <c r="G314" s="53" t="s">
        <v>111</v>
      </c>
      <c r="H314" s="60">
        <v>24</v>
      </c>
      <c r="I314" s="208"/>
      <c r="J314" s="63">
        <v>7.4880000000000002E-2</v>
      </c>
      <c r="K314" s="60">
        <v>32</v>
      </c>
      <c r="L314" s="60">
        <v>39</v>
      </c>
      <c r="M314" s="60">
        <v>15</v>
      </c>
      <c r="N314" s="208"/>
      <c r="O314" s="208"/>
      <c r="P314" s="208"/>
    </row>
    <row r="315" spans="1:16" ht="21">
      <c r="A315" s="177"/>
      <c r="B315" s="209"/>
      <c r="C315" s="227"/>
      <c r="D315" s="209"/>
      <c r="E315" s="212"/>
      <c r="F315" s="62" t="s">
        <v>118</v>
      </c>
      <c r="G315" s="53" t="s">
        <v>114</v>
      </c>
      <c r="H315" s="60">
        <v>150</v>
      </c>
      <c r="I315" s="209"/>
      <c r="J315" s="63">
        <v>1.512</v>
      </c>
      <c r="K315" s="60">
        <v>56</v>
      </c>
      <c r="L315" s="60">
        <v>36</v>
      </c>
      <c r="M315" s="60">
        <v>30</v>
      </c>
      <c r="N315" s="209"/>
      <c r="O315" s="209"/>
      <c r="P315" s="209"/>
    </row>
    <row r="316" spans="1:16" ht="22.5">
      <c r="A316" s="177">
        <v>45698</v>
      </c>
      <c r="B316" s="189" t="s">
        <v>12</v>
      </c>
      <c r="C316" s="189"/>
      <c r="D316" s="189"/>
      <c r="E316" s="189"/>
      <c r="F316" s="64" t="s">
        <v>119</v>
      </c>
      <c r="G316" s="52"/>
      <c r="H316" s="52"/>
      <c r="I316" s="9">
        <v>1451</v>
      </c>
      <c r="J316" s="65">
        <v>5.5592040000000011</v>
      </c>
      <c r="K316" s="52"/>
      <c r="L316" s="52"/>
      <c r="M316" s="52"/>
      <c r="N316" s="128"/>
      <c r="O316" s="128"/>
      <c r="P316" s="55"/>
    </row>
    <row r="317" spans="1:16" ht="21">
      <c r="A317" s="177"/>
      <c r="B317" s="207" t="s">
        <v>120</v>
      </c>
      <c r="C317" s="213" t="s">
        <v>442</v>
      </c>
      <c r="D317" s="207" t="s">
        <v>62</v>
      </c>
      <c r="E317" s="210">
        <v>45668</v>
      </c>
      <c r="F317" s="62" t="s">
        <v>60</v>
      </c>
      <c r="G317" s="213" t="s">
        <v>77</v>
      </c>
      <c r="H317" s="60">
        <v>300</v>
      </c>
      <c r="I317" s="207">
        <v>680</v>
      </c>
      <c r="J317" s="63">
        <v>0.23760000000000003</v>
      </c>
      <c r="K317" s="60">
        <v>50</v>
      </c>
      <c r="L317" s="60">
        <v>33</v>
      </c>
      <c r="M317" s="60">
        <v>24</v>
      </c>
      <c r="N317" s="229">
        <v>45671</v>
      </c>
      <c r="O317" s="229">
        <v>45714</v>
      </c>
      <c r="P317" s="207" t="s">
        <v>137</v>
      </c>
    </row>
    <row r="318" spans="1:16" ht="21">
      <c r="A318" s="177"/>
      <c r="B318" s="208"/>
      <c r="C318" s="226"/>
      <c r="D318" s="208"/>
      <c r="E318" s="211"/>
      <c r="F318" s="62" t="s">
        <v>65</v>
      </c>
      <c r="G318" s="208"/>
      <c r="H318" s="60">
        <v>80</v>
      </c>
      <c r="I318" s="208"/>
      <c r="J318" s="63">
        <v>0.189</v>
      </c>
      <c r="K318" s="60">
        <v>70</v>
      </c>
      <c r="L318" s="60">
        <v>45</v>
      </c>
      <c r="M318" s="60">
        <v>30</v>
      </c>
      <c r="N318" s="208"/>
      <c r="O318" s="208"/>
      <c r="P318" s="208"/>
    </row>
    <row r="319" spans="1:16" ht="21">
      <c r="A319" s="177"/>
      <c r="B319" s="209"/>
      <c r="C319" s="227"/>
      <c r="D319" s="209"/>
      <c r="E319" s="212"/>
      <c r="F319" s="62" t="s">
        <v>121</v>
      </c>
      <c r="G319" s="209"/>
      <c r="H319" s="60">
        <v>5100</v>
      </c>
      <c r="I319" s="209"/>
      <c r="J319" s="63">
        <v>2.7820800000000001</v>
      </c>
      <c r="K319" s="60">
        <v>46</v>
      </c>
      <c r="L319" s="60">
        <v>40</v>
      </c>
      <c r="M319" s="60">
        <v>28</v>
      </c>
      <c r="N319" s="209"/>
      <c r="O319" s="209"/>
      <c r="P319" s="209"/>
    </row>
    <row r="320" spans="1:16" ht="22.5">
      <c r="A320" s="177">
        <v>45694</v>
      </c>
      <c r="B320" s="189" t="s">
        <v>12</v>
      </c>
      <c r="C320" s="189"/>
      <c r="D320" s="189"/>
      <c r="E320" s="189"/>
      <c r="F320" s="64" t="s">
        <v>113</v>
      </c>
      <c r="G320" s="52"/>
      <c r="H320" s="52"/>
      <c r="I320" s="52">
        <v>680</v>
      </c>
      <c r="J320" s="65">
        <v>3.2086800000000002</v>
      </c>
      <c r="K320" s="52"/>
      <c r="L320" s="52"/>
      <c r="M320" s="52"/>
      <c r="N320" s="55"/>
      <c r="O320" s="55"/>
      <c r="P320" s="55"/>
    </row>
    <row r="321" spans="1:16" ht="42">
      <c r="A321" s="177"/>
      <c r="B321" s="81" t="s">
        <v>122</v>
      </c>
      <c r="C321" s="81" t="s">
        <v>123</v>
      </c>
      <c r="D321" s="81" t="s">
        <v>18</v>
      </c>
      <c r="E321" s="83">
        <v>45668</v>
      </c>
      <c r="F321" s="3" t="s">
        <v>55</v>
      </c>
      <c r="G321" s="54" t="s">
        <v>124</v>
      </c>
      <c r="H321" s="81"/>
      <c r="I321" s="81">
        <v>162</v>
      </c>
      <c r="J321" s="10">
        <v>0.26928000000000002</v>
      </c>
      <c r="K321" s="81">
        <v>51</v>
      </c>
      <c r="L321" s="81">
        <v>22</v>
      </c>
      <c r="M321" s="81">
        <v>20</v>
      </c>
      <c r="N321" s="82">
        <v>45671</v>
      </c>
      <c r="O321" s="82">
        <v>45714</v>
      </c>
      <c r="P321" s="81" t="s">
        <v>137</v>
      </c>
    </row>
    <row r="322" spans="1:16" ht="22.5">
      <c r="A322" s="177">
        <v>45694</v>
      </c>
      <c r="B322" s="189" t="s">
        <v>12</v>
      </c>
      <c r="C322" s="189"/>
      <c r="D322" s="189"/>
      <c r="E322" s="189"/>
      <c r="F322" s="64" t="s">
        <v>23</v>
      </c>
      <c r="G322" s="8"/>
      <c r="H322" s="52"/>
      <c r="I322" s="7">
        <v>162</v>
      </c>
      <c r="J322" s="65">
        <v>0.26928000000000002</v>
      </c>
      <c r="K322" s="52"/>
      <c r="L322" s="52"/>
      <c r="M322" s="52"/>
      <c r="N322" s="67"/>
      <c r="O322" s="67"/>
      <c r="P322" s="67"/>
    </row>
    <row r="323" spans="1:16" ht="21">
      <c r="A323" s="177"/>
      <c r="B323" s="81" t="s">
        <v>125</v>
      </c>
      <c r="C323" s="129" t="s">
        <v>126</v>
      </c>
      <c r="D323" s="81" t="s">
        <v>18</v>
      </c>
      <c r="E323" s="83">
        <v>45668</v>
      </c>
      <c r="F323" s="3" t="s">
        <v>21</v>
      </c>
      <c r="G323" s="54" t="s">
        <v>443</v>
      </c>
      <c r="H323" s="81"/>
      <c r="I323" s="81">
        <v>19</v>
      </c>
      <c r="J323" s="10">
        <v>2.8559999999999999E-2</v>
      </c>
      <c r="K323" s="81">
        <v>35</v>
      </c>
      <c r="L323" s="81">
        <v>24</v>
      </c>
      <c r="M323" s="81">
        <v>34</v>
      </c>
      <c r="N323" s="82">
        <v>45672</v>
      </c>
      <c r="O323" s="82">
        <v>45700</v>
      </c>
      <c r="P323" s="81" t="s">
        <v>532</v>
      </c>
    </row>
    <row r="324" spans="1:16" ht="22.5">
      <c r="A324" s="177">
        <v>45706</v>
      </c>
      <c r="B324" s="189" t="s">
        <v>12</v>
      </c>
      <c r="C324" s="189"/>
      <c r="D324" s="189"/>
      <c r="E324" s="189"/>
      <c r="F324" s="64" t="s">
        <v>21</v>
      </c>
      <c r="G324" s="52"/>
      <c r="H324" s="52"/>
      <c r="I324" s="52">
        <v>19</v>
      </c>
      <c r="J324" s="65">
        <v>2.8559999999999999E-2</v>
      </c>
      <c r="K324" s="52"/>
      <c r="L324" s="52"/>
      <c r="M324" s="52"/>
      <c r="N324" s="67"/>
      <c r="O324" s="67"/>
      <c r="P324" s="67"/>
    </row>
    <row r="325" spans="1:16" ht="42">
      <c r="B325" s="90" t="s">
        <v>127</v>
      </c>
      <c r="C325" s="165" t="s">
        <v>533</v>
      </c>
      <c r="D325" s="90" t="s">
        <v>74</v>
      </c>
      <c r="E325" s="91">
        <v>45670</v>
      </c>
      <c r="F325" s="157" t="s">
        <v>21</v>
      </c>
      <c r="G325" s="166" t="s">
        <v>534</v>
      </c>
      <c r="H325" s="90">
        <f>11+10</f>
        <v>21</v>
      </c>
      <c r="I325" s="90">
        <v>500</v>
      </c>
      <c r="J325" s="158">
        <f>K325*L325*M325/1000000</f>
        <v>1.4069119999999999</v>
      </c>
      <c r="K325" s="90">
        <v>104</v>
      </c>
      <c r="L325" s="90">
        <v>89</v>
      </c>
      <c r="M325" s="90">
        <v>152</v>
      </c>
      <c r="N325" s="82">
        <v>45677</v>
      </c>
      <c r="O325" s="82">
        <v>45720</v>
      </c>
      <c r="P325" s="81" t="s">
        <v>535</v>
      </c>
    </row>
    <row r="326" spans="1:16" ht="22.5">
      <c r="B326" s="189" t="s">
        <v>12</v>
      </c>
      <c r="C326" s="189"/>
      <c r="D326" s="189"/>
      <c r="E326" s="189"/>
      <c r="F326" s="64" t="s">
        <v>21</v>
      </c>
      <c r="G326" s="52"/>
      <c r="H326" s="52"/>
      <c r="I326" s="52">
        <f>SUM(I325:I325)</f>
        <v>500</v>
      </c>
      <c r="J326" s="65">
        <f>SUM(J325:J325)</f>
        <v>1.4069119999999999</v>
      </c>
      <c r="K326" s="52"/>
      <c r="L326" s="52"/>
      <c r="M326" s="52"/>
      <c r="N326" s="67"/>
      <c r="O326" s="67"/>
      <c r="P326" s="67"/>
    </row>
    <row r="327" spans="1:16" ht="37.5">
      <c r="B327" s="60" t="s">
        <v>128</v>
      </c>
      <c r="C327" s="53" t="s">
        <v>129</v>
      </c>
      <c r="D327" s="60" t="s">
        <v>75</v>
      </c>
      <c r="E327" s="107">
        <v>45671</v>
      </c>
      <c r="F327" s="62" t="s">
        <v>130</v>
      </c>
      <c r="G327" s="53" t="s">
        <v>76</v>
      </c>
      <c r="H327" s="60">
        <v>12585</v>
      </c>
      <c r="I327" s="60">
        <v>1050</v>
      </c>
      <c r="J327" s="63">
        <v>3.2826749999999998</v>
      </c>
      <c r="K327" s="60">
        <v>33</v>
      </c>
      <c r="L327" s="60">
        <v>25</v>
      </c>
      <c r="M327" s="60">
        <v>173</v>
      </c>
      <c r="N327" s="60" t="s">
        <v>82</v>
      </c>
      <c r="O327" s="60" t="s">
        <v>82</v>
      </c>
      <c r="P327" s="60"/>
    </row>
    <row r="328" spans="1:16" ht="22.5">
      <c r="B328" s="189" t="s">
        <v>12</v>
      </c>
      <c r="C328" s="189"/>
      <c r="D328" s="189"/>
      <c r="E328" s="189"/>
      <c r="F328" s="64" t="s">
        <v>56</v>
      </c>
      <c r="G328" s="7"/>
      <c r="H328" s="52"/>
      <c r="I328" s="7">
        <v>1050</v>
      </c>
      <c r="J328" s="65">
        <v>3.2826749999999998</v>
      </c>
      <c r="K328" s="52"/>
      <c r="L328" s="52"/>
      <c r="M328" s="52"/>
      <c r="N328" s="55"/>
      <c r="O328" s="55"/>
      <c r="P328" s="55"/>
    </row>
    <row r="329" spans="1:16" ht="42">
      <c r="B329" s="222" t="s">
        <v>131</v>
      </c>
      <c r="C329" s="81"/>
      <c r="D329" s="222" t="s">
        <v>53</v>
      </c>
      <c r="E329" s="217">
        <v>45671</v>
      </c>
      <c r="F329" s="3" t="s">
        <v>132</v>
      </c>
      <c r="G329" s="167" t="s">
        <v>54</v>
      </c>
      <c r="H329" s="90">
        <f>2*185</f>
        <v>370</v>
      </c>
      <c r="I329" s="90">
        <f>24*186</f>
        <v>4464</v>
      </c>
      <c r="J329" s="158">
        <f>K329*L329*M329/1000000*185</f>
        <v>7.5480000000000009</v>
      </c>
      <c r="K329" s="90">
        <v>34</v>
      </c>
      <c r="L329" s="90">
        <v>40</v>
      </c>
      <c r="M329" s="90">
        <v>30</v>
      </c>
      <c r="N329" s="82">
        <v>45680</v>
      </c>
      <c r="O329" s="82">
        <v>45716</v>
      </c>
      <c r="P329" s="81" t="s">
        <v>536</v>
      </c>
    </row>
    <row r="330" spans="1:16" ht="21">
      <c r="B330" s="221"/>
      <c r="C330" s="81"/>
      <c r="D330" s="221"/>
      <c r="E330" s="219"/>
      <c r="F330" s="3" t="s">
        <v>133</v>
      </c>
      <c r="G330" s="166" t="s">
        <v>537</v>
      </c>
      <c r="H330" s="90">
        <v>12</v>
      </c>
      <c r="I330" s="90">
        <v>400</v>
      </c>
      <c r="J330" s="158">
        <f>K330*L330*M330/1000000</f>
        <v>0.67200000000000004</v>
      </c>
      <c r="K330" s="90">
        <v>64</v>
      </c>
      <c r="L330" s="90">
        <v>105</v>
      </c>
      <c r="M330" s="90">
        <v>100</v>
      </c>
      <c r="N330" s="81"/>
      <c r="O330" s="81"/>
      <c r="P330" s="81"/>
    </row>
    <row r="331" spans="1:16" ht="22.5">
      <c r="B331" s="189" t="s">
        <v>12</v>
      </c>
      <c r="C331" s="189"/>
      <c r="D331" s="189"/>
      <c r="E331" s="189"/>
      <c r="F331" s="64" t="s">
        <v>133</v>
      </c>
      <c r="G331" s="52"/>
      <c r="H331" s="52"/>
      <c r="I331" s="52">
        <f>SUM(I329:I330)</f>
        <v>4864</v>
      </c>
      <c r="J331" s="65">
        <f>SUM(J329:J330)</f>
        <v>8.2200000000000006</v>
      </c>
      <c r="K331" s="52"/>
      <c r="L331" s="52"/>
      <c r="M331" s="52"/>
      <c r="N331" s="67"/>
      <c r="O331" s="67"/>
      <c r="P331" s="67"/>
    </row>
    <row r="332" spans="1:16" ht="21">
      <c r="B332" s="207" t="s">
        <v>134</v>
      </c>
      <c r="C332" s="207">
        <v>13924006350</v>
      </c>
      <c r="D332" s="207" t="s">
        <v>64</v>
      </c>
      <c r="E332" s="210">
        <v>45672</v>
      </c>
      <c r="F332" s="62" t="s">
        <v>14</v>
      </c>
      <c r="G332" s="213" t="s">
        <v>135</v>
      </c>
      <c r="H332" s="60">
        <v>2</v>
      </c>
      <c r="I332" s="207">
        <v>1478</v>
      </c>
      <c r="J332" s="63">
        <f>K332*L332*M332/1000000*2</f>
        <v>0.32198399999999999</v>
      </c>
      <c r="K332" s="60">
        <v>78</v>
      </c>
      <c r="L332" s="60">
        <v>48</v>
      </c>
      <c r="M332" s="60">
        <v>43</v>
      </c>
      <c r="N332" s="229">
        <v>45675</v>
      </c>
      <c r="O332" s="229">
        <v>45703</v>
      </c>
      <c r="P332" s="213" t="s">
        <v>538</v>
      </c>
    </row>
    <row r="333" spans="1:16" ht="21">
      <c r="B333" s="208"/>
      <c r="C333" s="208"/>
      <c r="D333" s="208"/>
      <c r="E333" s="211"/>
      <c r="F333" s="62" t="s">
        <v>30</v>
      </c>
      <c r="G333" s="226"/>
      <c r="H333" s="60">
        <v>1</v>
      </c>
      <c r="I333" s="208"/>
      <c r="J333" s="63">
        <f t="shared" ref="J333:J339" si="2">K333*L333*M333/1000000</f>
        <v>2.494008</v>
      </c>
      <c r="K333" s="60">
        <v>99</v>
      </c>
      <c r="L333" s="60">
        <v>134</v>
      </c>
      <c r="M333" s="60">
        <v>188</v>
      </c>
      <c r="N333" s="208"/>
      <c r="O333" s="208"/>
      <c r="P333" s="226"/>
    </row>
    <row r="334" spans="1:16" ht="21">
      <c r="B334" s="208"/>
      <c r="C334" s="208"/>
      <c r="D334" s="208"/>
      <c r="E334" s="211"/>
      <c r="F334" s="62" t="s">
        <v>25</v>
      </c>
      <c r="G334" s="226"/>
      <c r="H334" s="60">
        <v>1</v>
      </c>
      <c r="I334" s="208"/>
      <c r="J334" s="63">
        <f t="shared" si="2"/>
        <v>2.4490620000000001</v>
      </c>
      <c r="K334" s="60">
        <v>186</v>
      </c>
      <c r="L334" s="60">
        <v>99</v>
      </c>
      <c r="M334" s="60">
        <v>133</v>
      </c>
      <c r="N334" s="208"/>
      <c r="O334" s="208"/>
      <c r="P334" s="226"/>
    </row>
    <row r="335" spans="1:16" ht="21">
      <c r="B335" s="208"/>
      <c r="C335" s="208"/>
      <c r="D335" s="208"/>
      <c r="E335" s="211"/>
      <c r="F335" s="62" t="s">
        <v>13</v>
      </c>
      <c r="G335" s="226"/>
      <c r="H335" s="60">
        <v>1</v>
      </c>
      <c r="I335" s="208"/>
      <c r="J335" s="63">
        <f t="shared" si="2"/>
        <v>0.10374</v>
      </c>
      <c r="K335" s="60">
        <v>76</v>
      </c>
      <c r="L335" s="60">
        <v>91</v>
      </c>
      <c r="M335" s="60">
        <v>15</v>
      </c>
      <c r="N335" s="208"/>
      <c r="O335" s="208"/>
      <c r="P335" s="226"/>
    </row>
    <row r="336" spans="1:16" ht="21">
      <c r="B336" s="208"/>
      <c r="C336" s="208"/>
      <c r="D336" s="208"/>
      <c r="E336" s="211"/>
      <c r="F336" s="62" t="s">
        <v>17</v>
      </c>
      <c r="G336" s="226"/>
      <c r="H336" s="60">
        <v>1</v>
      </c>
      <c r="I336" s="208"/>
      <c r="J336" s="63">
        <f t="shared" si="2"/>
        <v>1.81044</v>
      </c>
      <c r="K336" s="60">
        <v>90</v>
      </c>
      <c r="L336" s="60">
        <v>107</v>
      </c>
      <c r="M336" s="60">
        <v>188</v>
      </c>
      <c r="N336" s="208"/>
      <c r="O336" s="208"/>
      <c r="P336" s="226"/>
    </row>
    <row r="337" spans="1:16" ht="21">
      <c r="B337" s="208"/>
      <c r="C337" s="208"/>
      <c r="D337" s="208"/>
      <c r="E337" s="211"/>
      <c r="F337" s="62" t="s">
        <v>31</v>
      </c>
      <c r="G337" s="226"/>
      <c r="H337" s="60">
        <v>1</v>
      </c>
      <c r="I337" s="208"/>
      <c r="J337" s="63">
        <f t="shared" si="2"/>
        <v>1.7482500000000001</v>
      </c>
      <c r="K337" s="60">
        <v>90</v>
      </c>
      <c r="L337" s="60">
        <v>111</v>
      </c>
      <c r="M337" s="60">
        <v>175</v>
      </c>
      <c r="N337" s="208"/>
      <c r="O337" s="208"/>
      <c r="P337" s="226"/>
    </row>
    <row r="338" spans="1:16" ht="21">
      <c r="B338" s="208"/>
      <c r="C338" s="208"/>
      <c r="D338" s="208"/>
      <c r="E338" s="211"/>
      <c r="F338" s="62" t="s">
        <v>26</v>
      </c>
      <c r="G338" s="226"/>
      <c r="H338" s="60">
        <v>1</v>
      </c>
      <c r="I338" s="208"/>
      <c r="J338" s="63">
        <f t="shared" si="2"/>
        <v>1.2261599999999999</v>
      </c>
      <c r="K338" s="60">
        <v>80</v>
      </c>
      <c r="L338" s="60">
        <v>131</v>
      </c>
      <c r="M338" s="60">
        <v>117</v>
      </c>
      <c r="N338" s="208"/>
      <c r="O338" s="208"/>
      <c r="P338" s="226"/>
    </row>
    <row r="339" spans="1:16" ht="21">
      <c r="B339" s="209"/>
      <c r="C339" s="209"/>
      <c r="D339" s="209"/>
      <c r="E339" s="212"/>
      <c r="F339" s="62" t="s">
        <v>22</v>
      </c>
      <c r="G339" s="227"/>
      <c r="H339" s="60">
        <v>1</v>
      </c>
      <c r="I339" s="209"/>
      <c r="J339" s="63">
        <f t="shared" si="2"/>
        <v>2.0717599999999998</v>
      </c>
      <c r="K339" s="60">
        <v>116</v>
      </c>
      <c r="L339" s="60">
        <v>95</v>
      </c>
      <c r="M339" s="60">
        <v>188</v>
      </c>
      <c r="N339" s="209"/>
      <c r="O339" s="209"/>
      <c r="P339" s="227"/>
    </row>
    <row r="340" spans="1:16" ht="22.5">
      <c r="B340" s="189" t="s">
        <v>12</v>
      </c>
      <c r="C340" s="189"/>
      <c r="D340" s="189"/>
      <c r="E340" s="189"/>
      <c r="F340" s="64" t="s">
        <v>22</v>
      </c>
      <c r="G340" s="69"/>
      <c r="H340" s="52"/>
      <c r="I340" s="52">
        <f>SUM(I332:I339)</f>
        <v>1478</v>
      </c>
      <c r="J340" s="65">
        <f>SUM(J332:J339)</f>
        <v>12.225403999999999</v>
      </c>
      <c r="K340" s="52"/>
      <c r="L340" s="52"/>
      <c r="M340" s="52"/>
      <c r="N340" s="128"/>
      <c r="O340" s="128"/>
      <c r="P340" s="128"/>
    </row>
    <row r="341" spans="1:16" ht="37.5">
      <c r="B341" s="110" t="s">
        <v>178</v>
      </c>
      <c r="C341" s="81" t="s">
        <v>179</v>
      </c>
      <c r="D341" s="81" t="s">
        <v>180</v>
      </c>
      <c r="E341" s="83">
        <v>45674</v>
      </c>
      <c r="F341" s="3" t="s">
        <v>21</v>
      </c>
      <c r="G341" s="54" t="s">
        <v>181</v>
      </c>
      <c r="H341" s="81">
        <v>6</v>
      </c>
      <c r="I341" s="81">
        <v>760</v>
      </c>
      <c r="J341" s="10">
        <v>0.31750400000000001</v>
      </c>
      <c r="K341" s="81">
        <v>88</v>
      </c>
      <c r="L341" s="81">
        <v>88</v>
      </c>
      <c r="M341" s="81">
        <v>41</v>
      </c>
      <c r="N341" s="82">
        <v>45681</v>
      </c>
      <c r="O341" s="82">
        <v>45714</v>
      </c>
      <c r="P341" s="81" t="s">
        <v>539</v>
      </c>
    </row>
    <row r="342" spans="1:16" ht="22.5">
      <c r="B342" s="189" t="s">
        <v>12</v>
      </c>
      <c r="C342" s="189"/>
      <c r="D342" s="189"/>
      <c r="E342" s="189"/>
      <c r="F342" s="64" t="s">
        <v>21</v>
      </c>
      <c r="G342" s="8"/>
      <c r="H342" s="52"/>
      <c r="I342" s="7">
        <v>760</v>
      </c>
      <c r="J342" s="65">
        <v>0.31750400000000001</v>
      </c>
      <c r="K342" s="52"/>
      <c r="L342" s="52"/>
      <c r="M342" s="52"/>
      <c r="N342" s="67"/>
      <c r="O342" s="67"/>
      <c r="P342" s="67"/>
    </row>
    <row r="343" spans="1:16" ht="21">
      <c r="B343" s="222" t="s">
        <v>182</v>
      </c>
      <c r="C343" s="228" t="s">
        <v>183</v>
      </c>
      <c r="D343" s="222" t="s">
        <v>184</v>
      </c>
      <c r="E343" s="217">
        <v>45674</v>
      </c>
      <c r="F343" s="3" t="s">
        <v>21</v>
      </c>
      <c r="G343" s="203" t="s">
        <v>185</v>
      </c>
      <c r="H343" s="81"/>
      <c r="I343" s="222">
        <v>80</v>
      </c>
      <c r="J343" s="10">
        <v>0.12953200000000001</v>
      </c>
      <c r="K343" s="81">
        <v>53</v>
      </c>
      <c r="L343" s="81">
        <v>52</v>
      </c>
      <c r="M343" s="81">
        <v>47</v>
      </c>
      <c r="N343" s="81"/>
      <c r="O343" s="81"/>
      <c r="P343" s="81"/>
    </row>
    <row r="344" spans="1:16" ht="21">
      <c r="B344" s="223"/>
      <c r="C344" s="223"/>
      <c r="D344" s="223"/>
      <c r="E344" s="218"/>
      <c r="F344" s="3" t="s">
        <v>15</v>
      </c>
      <c r="G344" s="223"/>
      <c r="H344" s="81"/>
      <c r="I344" s="223"/>
      <c r="J344" s="10">
        <v>9.3149999999999997E-2</v>
      </c>
      <c r="K344" s="81">
        <v>45</v>
      </c>
      <c r="L344" s="81">
        <v>46</v>
      </c>
      <c r="M344" s="81">
        <v>45</v>
      </c>
      <c r="N344" s="81"/>
      <c r="O344" s="81"/>
      <c r="P344" s="81"/>
    </row>
    <row r="345" spans="1:16" ht="21">
      <c r="B345" s="223"/>
      <c r="C345" s="223"/>
      <c r="D345" s="223"/>
      <c r="E345" s="218"/>
      <c r="F345" s="3" t="s">
        <v>30</v>
      </c>
      <c r="G345" s="223"/>
      <c r="H345" s="81"/>
      <c r="I345" s="223"/>
      <c r="J345" s="10">
        <v>9.2663999999999996E-2</v>
      </c>
      <c r="K345" s="81">
        <v>54</v>
      </c>
      <c r="L345" s="81">
        <v>39</v>
      </c>
      <c r="M345" s="81">
        <v>44</v>
      </c>
      <c r="N345" s="81"/>
      <c r="O345" s="81"/>
      <c r="P345" s="81"/>
    </row>
    <row r="346" spans="1:16" ht="21">
      <c r="B346" s="223"/>
      <c r="C346" s="223"/>
      <c r="D346" s="223"/>
      <c r="E346" s="218"/>
      <c r="F346" s="3" t="s">
        <v>25</v>
      </c>
      <c r="G346" s="223"/>
      <c r="H346" s="81"/>
      <c r="I346" s="223"/>
      <c r="J346" s="10">
        <v>9.2663999999999996E-2</v>
      </c>
      <c r="K346" s="81">
        <v>54</v>
      </c>
      <c r="L346" s="81">
        <v>39</v>
      </c>
      <c r="M346" s="81">
        <v>44</v>
      </c>
      <c r="N346" s="81"/>
      <c r="O346" s="81"/>
      <c r="P346" s="81"/>
    </row>
    <row r="347" spans="1:16" ht="21">
      <c r="B347" s="221"/>
      <c r="C347" s="221"/>
      <c r="D347" s="221"/>
      <c r="E347" s="219"/>
      <c r="F347" s="3" t="s">
        <v>13</v>
      </c>
      <c r="G347" s="221"/>
      <c r="H347" s="81"/>
      <c r="I347" s="221"/>
      <c r="J347" s="10">
        <v>2.4570000000000002E-2</v>
      </c>
      <c r="K347" s="81">
        <v>39</v>
      </c>
      <c r="L347" s="81">
        <v>30</v>
      </c>
      <c r="M347" s="81">
        <v>21</v>
      </c>
      <c r="N347" s="81"/>
      <c r="O347" s="81"/>
      <c r="P347" s="81"/>
    </row>
    <row r="348" spans="1:16" ht="22.5">
      <c r="B348" s="189" t="s">
        <v>12</v>
      </c>
      <c r="C348" s="189"/>
      <c r="D348" s="189"/>
      <c r="E348" s="189"/>
      <c r="F348" s="64" t="s">
        <v>13</v>
      </c>
      <c r="G348" s="9"/>
      <c r="H348" s="52"/>
      <c r="I348" s="9">
        <v>80</v>
      </c>
      <c r="J348" s="65">
        <v>0.43257999999999996</v>
      </c>
      <c r="K348" s="52"/>
      <c r="L348" s="52"/>
      <c r="M348" s="52"/>
      <c r="N348" s="67"/>
      <c r="O348" s="67"/>
      <c r="P348" s="67"/>
    </row>
    <row r="349" spans="1:16" ht="75">
      <c r="B349" s="60" t="s">
        <v>186</v>
      </c>
      <c r="C349" s="112" t="s">
        <v>187</v>
      </c>
      <c r="D349" s="60" t="s">
        <v>188</v>
      </c>
      <c r="E349" s="107">
        <v>45675</v>
      </c>
      <c r="F349" s="62" t="s">
        <v>21</v>
      </c>
      <c r="G349" s="53" t="s">
        <v>189</v>
      </c>
      <c r="H349" s="60">
        <v>1</v>
      </c>
      <c r="I349" s="60">
        <v>150</v>
      </c>
      <c r="J349" s="63">
        <f>K349*L349*M349/1000000</f>
        <v>1.1894400000000001</v>
      </c>
      <c r="K349" s="60">
        <v>72</v>
      </c>
      <c r="L349" s="60">
        <v>118</v>
      </c>
      <c r="M349" s="60">
        <v>140</v>
      </c>
      <c r="N349" s="168">
        <v>45678</v>
      </c>
      <c r="O349" s="168">
        <v>45716</v>
      </c>
      <c r="P349" s="60" t="s">
        <v>540</v>
      </c>
    </row>
    <row r="350" spans="1:16" ht="22.5">
      <c r="B350" s="235" t="s">
        <v>12</v>
      </c>
      <c r="C350" s="236"/>
      <c r="D350" s="236"/>
      <c r="E350" s="237"/>
      <c r="F350" s="64" t="s">
        <v>21</v>
      </c>
      <c r="G350" s="52"/>
      <c r="H350" s="52"/>
      <c r="I350" s="52">
        <f>SUM(I349:I349)</f>
        <v>150</v>
      </c>
      <c r="J350" s="65">
        <f>SUM(J349:J349)</f>
        <v>1.1894400000000001</v>
      </c>
      <c r="K350" s="52"/>
      <c r="L350" s="52"/>
      <c r="M350" s="52"/>
      <c r="N350" s="55"/>
      <c r="O350" s="55"/>
      <c r="P350" s="55"/>
    </row>
    <row r="351" spans="1:16" ht="21">
      <c r="A351" s="177"/>
      <c r="B351" s="222" t="s">
        <v>190</v>
      </c>
      <c r="C351" s="222" t="s">
        <v>191</v>
      </c>
      <c r="D351" s="222" t="s">
        <v>18</v>
      </c>
      <c r="E351" s="217">
        <v>45675</v>
      </c>
      <c r="F351" s="3" t="s">
        <v>14</v>
      </c>
      <c r="G351" s="222" t="s">
        <v>192</v>
      </c>
      <c r="H351" s="81">
        <f>247*2</f>
        <v>494</v>
      </c>
      <c r="I351" s="222">
        <v>1907</v>
      </c>
      <c r="J351" s="10">
        <f>K351*L351*M351/1000000*2</f>
        <v>5.5795999999999998E-2</v>
      </c>
      <c r="K351" s="81">
        <v>37</v>
      </c>
      <c r="L351" s="81">
        <v>29</v>
      </c>
      <c r="M351" s="81">
        <v>26</v>
      </c>
      <c r="N351" s="220">
        <v>45680</v>
      </c>
      <c r="O351" s="220">
        <v>45712</v>
      </c>
      <c r="P351" s="222" t="s">
        <v>541</v>
      </c>
    </row>
    <row r="352" spans="1:16" ht="21">
      <c r="A352" s="177"/>
      <c r="B352" s="223"/>
      <c r="C352" s="223"/>
      <c r="D352" s="223"/>
      <c r="E352" s="218"/>
      <c r="F352" s="3" t="s">
        <v>193</v>
      </c>
      <c r="G352" s="223"/>
      <c r="H352" s="81">
        <f>247*5</f>
        <v>1235</v>
      </c>
      <c r="I352" s="223"/>
      <c r="J352" s="10">
        <f>K352*L352*M352/1000000*5</f>
        <v>0.30887999999999999</v>
      </c>
      <c r="K352" s="81">
        <v>39</v>
      </c>
      <c r="L352" s="81">
        <v>44</v>
      </c>
      <c r="M352" s="81">
        <v>36</v>
      </c>
      <c r="N352" s="223"/>
      <c r="O352" s="223"/>
      <c r="P352" s="223"/>
    </row>
    <row r="353" spans="1:16" ht="21">
      <c r="A353" s="177"/>
      <c r="B353" s="223"/>
      <c r="C353" s="223"/>
      <c r="D353" s="223"/>
      <c r="E353" s="218"/>
      <c r="F353" s="3" t="s">
        <v>85</v>
      </c>
      <c r="G353" s="223"/>
      <c r="H353" s="81">
        <f>248*4</f>
        <v>992</v>
      </c>
      <c r="I353" s="223"/>
      <c r="J353" s="10">
        <f>K353*L353*M353/1000000*4</f>
        <v>6.0720000000000003E-2</v>
      </c>
      <c r="K353" s="81">
        <v>33</v>
      </c>
      <c r="L353" s="81">
        <v>23</v>
      </c>
      <c r="M353" s="81">
        <v>20</v>
      </c>
      <c r="N353" s="223"/>
      <c r="O353" s="223"/>
      <c r="P353" s="223"/>
    </row>
    <row r="354" spans="1:16" ht="21">
      <c r="A354" s="177"/>
      <c r="B354" s="223"/>
      <c r="C354" s="223"/>
      <c r="D354" s="223"/>
      <c r="E354" s="218"/>
      <c r="F354" s="3" t="s">
        <v>194</v>
      </c>
      <c r="G354" s="223"/>
      <c r="H354" s="81">
        <f>247*25</f>
        <v>6175</v>
      </c>
      <c r="I354" s="223"/>
      <c r="J354" s="10">
        <f>K354*L354*M354/1000000*25</f>
        <v>0.39899999999999997</v>
      </c>
      <c r="K354" s="81">
        <v>35</v>
      </c>
      <c r="L354" s="81">
        <v>24</v>
      </c>
      <c r="M354" s="81">
        <v>19</v>
      </c>
      <c r="N354" s="223"/>
      <c r="O354" s="223"/>
      <c r="P354" s="223"/>
    </row>
    <row r="355" spans="1:16" ht="21">
      <c r="A355" s="177"/>
      <c r="B355" s="223"/>
      <c r="C355" s="223"/>
      <c r="D355" s="223"/>
      <c r="E355" s="218"/>
      <c r="F355" s="3" t="s">
        <v>195</v>
      </c>
      <c r="G355" s="223"/>
      <c r="H355" s="81">
        <f>247*10</f>
        <v>2470</v>
      </c>
      <c r="I355" s="223"/>
      <c r="J355" s="10">
        <f>K355*L355*M355/1000000*10</f>
        <v>0.60060000000000002</v>
      </c>
      <c r="K355" s="81">
        <v>44</v>
      </c>
      <c r="L355" s="81">
        <v>39</v>
      </c>
      <c r="M355" s="81">
        <v>35</v>
      </c>
      <c r="N355" s="223"/>
      <c r="O355" s="223"/>
      <c r="P355" s="223"/>
    </row>
    <row r="356" spans="1:16" ht="21">
      <c r="A356" s="177"/>
      <c r="B356" s="223"/>
      <c r="C356" s="223"/>
      <c r="D356" s="223"/>
      <c r="E356" s="218"/>
      <c r="F356" s="3" t="s">
        <v>196</v>
      </c>
      <c r="G356" s="223"/>
      <c r="H356" s="81">
        <f>248*5</f>
        <v>1240</v>
      </c>
      <c r="I356" s="223"/>
      <c r="J356" s="10">
        <f>K356*L356*M356/1000000*5</f>
        <v>0.16355999999999998</v>
      </c>
      <c r="K356" s="81">
        <v>47</v>
      </c>
      <c r="L356" s="81">
        <v>29</v>
      </c>
      <c r="M356" s="81">
        <v>24</v>
      </c>
      <c r="N356" s="223"/>
      <c r="O356" s="223"/>
      <c r="P356" s="223"/>
    </row>
    <row r="357" spans="1:16" ht="21">
      <c r="A357" s="177"/>
      <c r="B357" s="221"/>
      <c r="C357" s="221"/>
      <c r="D357" s="221"/>
      <c r="E357" s="219"/>
      <c r="F357" s="3" t="s">
        <v>197</v>
      </c>
      <c r="G357" s="221"/>
      <c r="H357" s="81">
        <f>248*15</f>
        <v>3720</v>
      </c>
      <c r="I357" s="221"/>
      <c r="J357" s="10">
        <f>K357*L357*M357/1000000*15</f>
        <v>0.76690499999999995</v>
      </c>
      <c r="K357" s="81">
        <v>43</v>
      </c>
      <c r="L357" s="81">
        <v>41</v>
      </c>
      <c r="M357" s="81">
        <v>29</v>
      </c>
      <c r="N357" s="221"/>
      <c r="O357" s="221"/>
      <c r="P357" s="221"/>
    </row>
    <row r="358" spans="1:16" ht="22.5">
      <c r="A358" s="177">
        <v>45708</v>
      </c>
      <c r="B358" s="189" t="s">
        <v>12</v>
      </c>
      <c r="C358" s="189"/>
      <c r="D358" s="189"/>
      <c r="E358" s="189"/>
      <c r="F358" s="64" t="s">
        <v>198</v>
      </c>
      <c r="G358" s="69"/>
      <c r="H358" s="52"/>
      <c r="I358" s="52">
        <f>SUM(I351:I357)</f>
        <v>1907</v>
      </c>
      <c r="J358" s="65">
        <f>SUM(J351:J357)</f>
        <v>2.355461</v>
      </c>
      <c r="K358" s="52"/>
      <c r="L358" s="52"/>
      <c r="M358" s="52"/>
      <c r="N358" s="67"/>
      <c r="O358" s="67"/>
      <c r="P358" s="67"/>
    </row>
    <row r="359" spans="1:16" ht="21">
      <c r="B359" s="222" t="s">
        <v>199</v>
      </c>
      <c r="C359" s="222" t="s">
        <v>200</v>
      </c>
      <c r="D359" s="222" t="s">
        <v>73</v>
      </c>
      <c r="E359" s="217">
        <v>45676</v>
      </c>
      <c r="F359" s="3" t="s">
        <v>98</v>
      </c>
      <c r="G359" s="222" t="s">
        <v>71</v>
      </c>
      <c r="H359" s="81">
        <f>35*28</f>
        <v>980</v>
      </c>
      <c r="I359" s="222">
        <f>25*52</f>
        <v>1300</v>
      </c>
      <c r="J359" s="10">
        <f>K359*L359*M359/1000000*28</f>
        <v>4.4806159999999995</v>
      </c>
      <c r="K359" s="81">
        <v>89</v>
      </c>
      <c r="L359" s="81">
        <v>62</v>
      </c>
      <c r="M359" s="81">
        <v>29</v>
      </c>
      <c r="N359" s="220">
        <v>45679</v>
      </c>
      <c r="O359" s="220">
        <v>45716</v>
      </c>
      <c r="P359" s="222" t="s">
        <v>542</v>
      </c>
    </row>
    <row r="360" spans="1:16" ht="21">
      <c r="B360" s="221"/>
      <c r="C360" s="221"/>
      <c r="D360" s="221"/>
      <c r="E360" s="219"/>
      <c r="F360" s="3" t="s">
        <v>99</v>
      </c>
      <c r="G360" s="221"/>
      <c r="H360" s="81">
        <f>35*24</f>
        <v>840</v>
      </c>
      <c r="I360" s="221"/>
      <c r="J360" s="10">
        <f>K360*L360*M360/1000000*24</f>
        <v>2.3353920000000001</v>
      </c>
      <c r="K360" s="81">
        <v>53</v>
      </c>
      <c r="L360" s="81">
        <v>51</v>
      </c>
      <c r="M360" s="81">
        <v>36</v>
      </c>
      <c r="N360" s="221"/>
      <c r="O360" s="221"/>
      <c r="P360" s="221"/>
    </row>
    <row r="361" spans="1:16" ht="22.5">
      <c r="B361" s="189" t="s">
        <v>12</v>
      </c>
      <c r="C361" s="189"/>
      <c r="D361" s="189"/>
      <c r="E361" s="189"/>
      <c r="F361" s="64" t="s">
        <v>201</v>
      </c>
      <c r="G361" s="70"/>
      <c r="H361" s="52"/>
      <c r="I361" s="9">
        <f>SUM(I359:I360)</f>
        <v>1300</v>
      </c>
      <c r="J361" s="65">
        <f>SUM(J359:J360)</f>
        <v>6.8160080000000001</v>
      </c>
      <c r="K361" s="52"/>
      <c r="L361" s="52"/>
      <c r="M361" s="52"/>
      <c r="N361" s="67"/>
      <c r="O361" s="67"/>
      <c r="P361" s="67"/>
    </row>
    <row r="362" spans="1:16" ht="21">
      <c r="B362" s="200" t="s">
        <v>202</v>
      </c>
      <c r="C362" s="200"/>
      <c r="D362" s="200" t="s">
        <v>73</v>
      </c>
      <c r="E362" s="193">
        <v>45677</v>
      </c>
      <c r="F362" s="157" t="s">
        <v>203</v>
      </c>
      <c r="G362" s="200" t="s">
        <v>71</v>
      </c>
      <c r="H362" s="90">
        <f>50*20+60*32+40</f>
        <v>2960</v>
      </c>
      <c r="I362" s="200">
        <f>25*169</f>
        <v>4225</v>
      </c>
      <c r="J362" s="158">
        <f>K362*L362*M362/1000000*53</f>
        <v>6.3599999999999994</v>
      </c>
      <c r="K362" s="90">
        <v>50</v>
      </c>
      <c r="L362" s="90">
        <v>60</v>
      </c>
      <c r="M362" s="90">
        <v>40</v>
      </c>
      <c r="N362" s="224">
        <v>45680</v>
      </c>
      <c r="O362" s="224">
        <v>45716</v>
      </c>
      <c r="P362" s="200" t="s">
        <v>543</v>
      </c>
    </row>
    <row r="363" spans="1:16" ht="21">
      <c r="B363" s="202"/>
      <c r="C363" s="202"/>
      <c r="D363" s="202"/>
      <c r="E363" s="194"/>
      <c r="F363" s="157" t="s">
        <v>204</v>
      </c>
      <c r="G363" s="202"/>
      <c r="H363" s="90">
        <f>40*16</f>
        <v>640</v>
      </c>
      <c r="I363" s="202"/>
      <c r="J363" s="158">
        <f>K363*L363*M363/1000000*16</f>
        <v>1.66656</v>
      </c>
      <c r="K363" s="90">
        <v>62</v>
      </c>
      <c r="L363" s="90">
        <v>60</v>
      </c>
      <c r="M363" s="90">
        <v>28</v>
      </c>
      <c r="N363" s="202"/>
      <c r="O363" s="202"/>
      <c r="P363" s="202"/>
    </row>
    <row r="364" spans="1:16" ht="21">
      <c r="B364" s="201"/>
      <c r="C364" s="201"/>
      <c r="D364" s="201"/>
      <c r="E364" s="195"/>
      <c r="F364" s="157" t="s">
        <v>544</v>
      </c>
      <c r="G364" s="201"/>
      <c r="H364" s="90">
        <f>40*270</f>
        <v>10800</v>
      </c>
      <c r="I364" s="201"/>
      <c r="J364" s="158">
        <f>K364*L364*M364/1000000*100</f>
        <v>11.899999999999999</v>
      </c>
      <c r="K364" s="90">
        <v>50</v>
      </c>
      <c r="L364" s="90">
        <v>34</v>
      </c>
      <c r="M364" s="90">
        <v>70</v>
      </c>
      <c r="N364" s="201"/>
      <c r="O364" s="201"/>
      <c r="P364" s="201"/>
    </row>
    <row r="365" spans="1:16" ht="22.5">
      <c r="B365" s="189" t="s">
        <v>12</v>
      </c>
      <c r="C365" s="189"/>
      <c r="D365" s="189"/>
      <c r="E365" s="189"/>
      <c r="F365" s="153" t="s">
        <v>545</v>
      </c>
      <c r="G365" s="156"/>
      <c r="H365" s="154"/>
      <c r="I365" s="169">
        <f>SUM(I362:I364)</f>
        <v>4225</v>
      </c>
      <c r="J365" s="170">
        <f>SUM(J362:J364)</f>
        <v>19.926559999999998</v>
      </c>
      <c r="K365" s="154"/>
      <c r="L365" s="154"/>
      <c r="M365" s="154"/>
      <c r="N365" s="92"/>
      <c r="O365" s="92"/>
      <c r="P365" s="92"/>
    </row>
    <row r="366" spans="1:16" ht="84">
      <c r="B366" s="90" t="s">
        <v>202</v>
      </c>
      <c r="C366" s="90"/>
      <c r="D366" s="90" t="s">
        <v>73</v>
      </c>
      <c r="E366" s="91">
        <v>45677</v>
      </c>
      <c r="F366" s="157" t="s">
        <v>546</v>
      </c>
      <c r="G366" s="90" t="s">
        <v>71</v>
      </c>
      <c r="H366" s="90">
        <f>40*170</f>
        <v>6800</v>
      </c>
      <c r="I366" s="90">
        <f>25*170</f>
        <v>4250</v>
      </c>
      <c r="J366" s="158">
        <f>K366*L366*M366/1000000*170</f>
        <v>20.23</v>
      </c>
      <c r="K366" s="90">
        <v>50</v>
      </c>
      <c r="L366" s="90">
        <v>34</v>
      </c>
      <c r="M366" s="90">
        <v>70</v>
      </c>
      <c r="N366" s="171">
        <v>45680</v>
      </c>
      <c r="O366" s="171">
        <v>45716</v>
      </c>
      <c r="P366" s="90" t="s">
        <v>547</v>
      </c>
    </row>
    <row r="367" spans="1:16" ht="22.5">
      <c r="B367" s="189" t="s">
        <v>12</v>
      </c>
      <c r="C367" s="189"/>
      <c r="D367" s="189"/>
      <c r="E367" s="189"/>
      <c r="F367" s="153" t="s">
        <v>548</v>
      </c>
      <c r="G367" s="154"/>
      <c r="H367" s="154"/>
      <c r="I367" s="154">
        <f>SUM(I366:I366)</f>
        <v>4250</v>
      </c>
      <c r="J367" s="155">
        <f>SUM(J366:J366)</f>
        <v>20.23</v>
      </c>
      <c r="K367" s="154"/>
      <c r="L367" s="154"/>
      <c r="M367" s="154"/>
      <c r="N367" s="92"/>
      <c r="O367" s="92"/>
      <c r="P367" s="92"/>
    </row>
    <row r="368" spans="1:16" ht="21">
      <c r="B368" s="222" t="s">
        <v>205</v>
      </c>
      <c r="C368" s="228" t="s">
        <v>206</v>
      </c>
      <c r="D368" s="222" t="s">
        <v>207</v>
      </c>
      <c r="E368" s="217">
        <v>45678</v>
      </c>
      <c r="F368" s="3" t="s">
        <v>21</v>
      </c>
      <c r="G368" s="222" t="s">
        <v>32</v>
      </c>
      <c r="H368" s="81">
        <v>1</v>
      </c>
      <c r="I368" s="222">
        <v>37</v>
      </c>
      <c r="J368" s="10">
        <f t="shared" ref="J368:J374" si="3">K368*L368*M368/1000000</f>
        <v>8.9599999999999999E-2</v>
      </c>
      <c r="K368" s="81">
        <v>70</v>
      </c>
      <c r="L368" s="81">
        <v>32</v>
      </c>
      <c r="M368" s="81">
        <v>40</v>
      </c>
      <c r="N368" s="220">
        <v>45681</v>
      </c>
      <c r="O368" s="220">
        <v>45714</v>
      </c>
      <c r="P368" s="222" t="s">
        <v>549</v>
      </c>
    </row>
    <row r="369" spans="2:16" ht="21">
      <c r="B369" s="223"/>
      <c r="C369" s="223"/>
      <c r="D369" s="223"/>
      <c r="E369" s="218"/>
      <c r="F369" s="3" t="s">
        <v>15</v>
      </c>
      <c r="G369" s="223"/>
      <c r="H369" s="81">
        <v>10</v>
      </c>
      <c r="I369" s="223"/>
      <c r="J369" s="10">
        <f t="shared" si="3"/>
        <v>0.18360000000000001</v>
      </c>
      <c r="K369" s="81">
        <v>36</v>
      </c>
      <c r="L369" s="81">
        <v>60</v>
      </c>
      <c r="M369" s="81">
        <v>85</v>
      </c>
      <c r="N369" s="223"/>
      <c r="O369" s="223"/>
      <c r="P369" s="223"/>
    </row>
    <row r="370" spans="2:16" ht="21">
      <c r="B370" s="223"/>
      <c r="C370" s="223"/>
      <c r="D370" s="223"/>
      <c r="E370" s="218"/>
      <c r="F370" s="3" t="s">
        <v>30</v>
      </c>
      <c r="G370" s="223"/>
      <c r="H370" s="81">
        <v>10</v>
      </c>
      <c r="I370" s="223"/>
      <c r="J370" s="10">
        <f t="shared" si="3"/>
        <v>0.18240999999999999</v>
      </c>
      <c r="K370" s="81">
        <v>85</v>
      </c>
      <c r="L370" s="81">
        <v>58</v>
      </c>
      <c r="M370" s="81">
        <v>37</v>
      </c>
      <c r="N370" s="223"/>
      <c r="O370" s="223"/>
      <c r="P370" s="223"/>
    </row>
    <row r="371" spans="2:16" ht="21">
      <c r="B371" s="221"/>
      <c r="C371" s="221"/>
      <c r="D371" s="221"/>
      <c r="E371" s="219"/>
      <c r="F371" s="3" t="s">
        <v>25</v>
      </c>
      <c r="G371" s="221"/>
      <c r="H371" s="81">
        <v>2</v>
      </c>
      <c r="I371" s="221"/>
      <c r="J371" s="10">
        <f t="shared" si="3"/>
        <v>4.9919999999999999E-2</v>
      </c>
      <c r="K371" s="81">
        <v>96</v>
      </c>
      <c r="L371" s="81">
        <v>26</v>
      </c>
      <c r="M371" s="81">
        <v>20</v>
      </c>
      <c r="N371" s="223"/>
      <c r="O371" s="223"/>
      <c r="P371" s="223"/>
    </row>
    <row r="372" spans="2:16" ht="21">
      <c r="B372" s="222" t="s">
        <v>208</v>
      </c>
      <c r="C372" s="54" t="s">
        <v>209</v>
      </c>
      <c r="D372" s="222" t="s">
        <v>207</v>
      </c>
      <c r="E372" s="217">
        <v>45678</v>
      </c>
      <c r="F372" s="3" t="s">
        <v>13</v>
      </c>
      <c r="G372" s="222" t="s">
        <v>32</v>
      </c>
      <c r="H372" s="81">
        <v>3</v>
      </c>
      <c r="I372" s="222">
        <v>20</v>
      </c>
      <c r="J372" s="10">
        <f t="shared" si="3"/>
        <v>4.6199999999999998E-2</v>
      </c>
      <c r="K372" s="81">
        <v>33</v>
      </c>
      <c r="L372" s="81">
        <v>50</v>
      </c>
      <c r="M372" s="81">
        <v>28</v>
      </c>
      <c r="N372" s="223"/>
      <c r="O372" s="223"/>
      <c r="P372" s="223"/>
    </row>
    <row r="373" spans="2:16" ht="21">
      <c r="B373" s="223"/>
      <c r="C373" s="81">
        <v>2660</v>
      </c>
      <c r="D373" s="223"/>
      <c r="E373" s="218"/>
      <c r="F373" s="3" t="s">
        <v>17</v>
      </c>
      <c r="G373" s="223"/>
      <c r="H373" s="81">
        <v>10</v>
      </c>
      <c r="I373" s="223"/>
      <c r="J373" s="10">
        <f t="shared" si="3"/>
        <v>4.2335999999999999E-2</v>
      </c>
      <c r="K373" s="81">
        <v>28</v>
      </c>
      <c r="L373" s="81">
        <v>54</v>
      </c>
      <c r="M373" s="81">
        <v>28</v>
      </c>
      <c r="N373" s="223"/>
      <c r="O373" s="223"/>
      <c r="P373" s="223"/>
    </row>
    <row r="374" spans="2:16" ht="21">
      <c r="B374" s="221"/>
      <c r="C374" s="81">
        <v>2461</v>
      </c>
      <c r="D374" s="221"/>
      <c r="E374" s="219"/>
      <c r="F374" s="3" t="s">
        <v>31</v>
      </c>
      <c r="G374" s="221"/>
      <c r="H374" s="81">
        <v>130</v>
      </c>
      <c r="I374" s="221"/>
      <c r="J374" s="10">
        <f t="shared" si="3"/>
        <v>0.1176</v>
      </c>
      <c r="K374" s="81">
        <v>30</v>
      </c>
      <c r="L374" s="81">
        <v>70</v>
      </c>
      <c r="M374" s="81">
        <v>56</v>
      </c>
      <c r="N374" s="221"/>
      <c r="O374" s="221"/>
      <c r="P374" s="221"/>
    </row>
    <row r="375" spans="2:16" ht="22.5">
      <c r="B375" s="189" t="s">
        <v>12</v>
      </c>
      <c r="C375" s="189"/>
      <c r="D375" s="189"/>
      <c r="E375" s="189"/>
      <c r="F375" s="64" t="s">
        <v>31</v>
      </c>
      <c r="G375" s="52"/>
      <c r="H375" s="52"/>
      <c r="I375" s="9">
        <f>SUM(I368:I374)</f>
        <v>57</v>
      </c>
      <c r="J375" s="65">
        <f>SUM(J368:J374)</f>
        <v>0.71166600000000002</v>
      </c>
      <c r="K375" s="52"/>
      <c r="L375" s="52"/>
      <c r="M375" s="52"/>
      <c r="N375" s="67"/>
      <c r="O375" s="67"/>
      <c r="P375" s="67"/>
    </row>
    <row r="376" spans="2:16" ht="42">
      <c r="B376" s="94" t="s">
        <v>474</v>
      </c>
      <c r="C376" s="152" t="s">
        <v>475</v>
      </c>
      <c r="D376" s="94" t="s">
        <v>476</v>
      </c>
      <c r="E376" s="98">
        <v>45702</v>
      </c>
      <c r="F376" s="93" t="s">
        <v>477</v>
      </c>
      <c r="G376" s="53" t="s">
        <v>478</v>
      </c>
      <c r="H376" s="94">
        <v>166</v>
      </c>
      <c r="I376" s="94">
        <v>22</v>
      </c>
      <c r="J376" s="95">
        <v>0.11761200000000001</v>
      </c>
      <c r="K376" s="94">
        <v>44</v>
      </c>
      <c r="L376" s="94">
        <v>33</v>
      </c>
      <c r="M376" s="94">
        <v>27</v>
      </c>
      <c r="N376" s="172">
        <v>45706</v>
      </c>
      <c r="O376" s="172">
        <v>45735</v>
      </c>
      <c r="P376" s="94" t="s">
        <v>550</v>
      </c>
    </row>
    <row r="377" spans="2:16" ht="22.5">
      <c r="B377" s="189" t="s">
        <v>12</v>
      </c>
      <c r="C377" s="189"/>
      <c r="D377" s="189"/>
      <c r="E377" s="189"/>
      <c r="F377" s="153" t="s">
        <v>30</v>
      </c>
      <c r="G377" s="69"/>
      <c r="H377" s="154"/>
      <c r="I377" s="154">
        <v>22</v>
      </c>
      <c r="J377" s="155">
        <v>0.11761200000000001</v>
      </c>
      <c r="K377" s="154"/>
      <c r="L377" s="154"/>
      <c r="M377" s="154"/>
      <c r="N377" s="97"/>
      <c r="O377" s="97"/>
      <c r="P377" s="97"/>
    </row>
    <row r="378" spans="2:16" ht="21">
      <c r="B378" s="186" t="s">
        <v>479</v>
      </c>
      <c r="C378" s="186" t="s">
        <v>480</v>
      </c>
      <c r="D378" s="186" t="s">
        <v>74</v>
      </c>
      <c r="E378" s="197">
        <v>45702</v>
      </c>
      <c r="F378" s="93" t="s">
        <v>21</v>
      </c>
      <c r="G378" s="186" t="s">
        <v>481</v>
      </c>
      <c r="H378" s="94">
        <v>65</v>
      </c>
      <c r="I378" s="186">
        <v>2065</v>
      </c>
      <c r="J378" s="95">
        <v>2.5313129999999999</v>
      </c>
      <c r="K378" s="94">
        <v>113</v>
      </c>
      <c r="L378" s="94">
        <v>131</v>
      </c>
      <c r="M378" s="94">
        <v>171</v>
      </c>
      <c r="N378" s="225">
        <v>45707</v>
      </c>
      <c r="O378" s="225">
        <v>45737</v>
      </c>
      <c r="P378" s="186" t="s">
        <v>551</v>
      </c>
    </row>
    <row r="379" spans="2:16" ht="21">
      <c r="B379" s="187"/>
      <c r="C379" s="187"/>
      <c r="D379" s="187"/>
      <c r="E379" s="198"/>
      <c r="F379" s="93" t="s">
        <v>15</v>
      </c>
      <c r="G379" s="188"/>
      <c r="H379" s="94">
        <v>65</v>
      </c>
      <c r="I379" s="187"/>
      <c r="J379" s="95">
        <v>2.8498800000000002</v>
      </c>
      <c r="K379" s="94">
        <v>127</v>
      </c>
      <c r="L379" s="94">
        <v>204</v>
      </c>
      <c r="M379" s="94">
        <v>110</v>
      </c>
      <c r="N379" s="187"/>
      <c r="O379" s="187"/>
      <c r="P379" s="187"/>
    </row>
    <row r="380" spans="2:16" ht="42">
      <c r="B380" s="188"/>
      <c r="C380" s="188"/>
      <c r="D380" s="188"/>
      <c r="E380" s="199"/>
      <c r="F380" s="93" t="s">
        <v>482</v>
      </c>
      <c r="G380" s="53" t="s">
        <v>577</v>
      </c>
      <c r="H380" s="94">
        <v>180</v>
      </c>
      <c r="I380" s="188"/>
      <c r="J380" s="95">
        <v>4.4021999999999997</v>
      </c>
      <c r="K380" s="94">
        <v>115</v>
      </c>
      <c r="L380" s="94">
        <v>116</v>
      </c>
      <c r="M380" s="94">
        <v>165</v>
      </c>
      <c r="N380" s="188"/>
      <c r="O380" s="188"/>
      <c r="P380" s="188"/>
    </row>
    <row r="381" spans="2:16" ht="22.5">
      <c r="B381" s="189" t="s">
        <v>12</v>
      </c>
      <c r="C381" s="189"/>
      <c r="D381" s="189"/>
      <c r="E381" s="189"/>
      <c r="F381" s="153" t="s">
        <v>25</v>
      </c>
      <c r="G381" s="154"/>
      <c r="H381" s="154"/>
      <c r="I381" s="156">
        <v>2065</v>
      </c>
      <c r="J381" s="155">
        <v>9.7833930000000002</v>
      </c>
      <c r="K381" s="154"/>
      <c r="L381" s="154"/>
      <c r="M381" s="154"/>
      <c r="N381" s="96"/>
      <c r="O381" s="96"/>
      <c r="P381" s="97"/>
    </row>
    <row r="382" spans="2:16" ht="42">
      <c r="B382" s="90" t="s">
        <v>483</v>
      </c>
      <c r="C382" s="90" t="s">
        <v>484</v>
      </c>
      <c r="D382" s="90" t="s">
        <v>485</v>
      </c>
      <c r="E382" s="91">
        <v>45703</v>
      </c>
      <c r="F382" s="157" t="s">
        <v>14</v>
      </c>
      <c r="G382" s="90" t="s">
        <v>71</v>
      </c>
      <c r="H382" s="90">
        <v>80</v>
      </c>
      <c r="I382" s="90">
        <v>55</v>
      </c>
      <c r="J382" s="158">
        <v>0.25480000000000003</v>
      </c>
      <c r="K382" s="90">
        <v>70</v>
      </c>
      <c r="L382" s="90">
        <v>52</v>
      </c>
      <c r="M382" s="90">
        <v>35</v>
      </c>
      <c r="N382" s="171">
        <v>45709</v>
      </c>
      <c r="O382" s="171">
        <v>45739</v>
      </c>
      <c r="P382" s="90" t="s">
        <v>552</v>
      </c>
    </row>
    <row r="383" spans="2:16" ht="22.5">
      <c r="B383" s="189" t="s">
        <v>12</v>
      </c>
      <c r="C383" s="189"/>
      <c r="D383" s="189"/>
      <c r="E383" s="189"/>
      <c r="F383" s="153" t="s">
        <v>15</v>
      </c>
      <c r="G383" s="154"/>
      <c r="H383" s="154"/>
      <c r="I383" s="154">
        <v>55</v>
      </c>
      <c r="J383" s="155">
        <v>0.25480000000000003</v>
      </c>
      <c r="K383" s="154"/>
      <c r="L383" s="154"/>
      <c r="M383" s="154"/>
      <c r="N383" s="92"/>
      <c r="O383" s="92"/>
      <c r="P383" s="92"/>
    </row>
    <row r="384" spans="2:16" ht="42">
      <c r="B384" s="159" t="s">
        <v>486</v>
      </c>
      <c r="C384" s="54" t="s">
        <v>487</v>
      </c>
      <c r="D384" s="159" t="s">
        <v>488</v>
      </c>
      <c r="E384" s="91">
        <v>45701</v>
      </c>
      <c r="F384" s="157" t="s">
        <v>21</v>
      </c>
      <c r="G384" s="160" t="s">
        <v>489</v>
      </c>
      <c r="H384" s="90"/>
      <c r="I384" s="90">
        <v>400</v>
      </c>
      <c r="J384" s="158">
        <v>1.089855</v>
      </c>
      <c r="K384" s="90">
        <v>117</v>
      </c>
      <c r="L384" s="90">
        <v>115</v>
      </c>
      <c r="M384" s="90">
        <v>81</v>
      </c>
      <c r="N384" s="90"/>
      <c r="O384" s="90"/>
      <c r="P384" s="54" t="s">
        <v>490</v>
      </c>
    </row>
    <row r="385" spans="2:16" ht="22.5">
      <c r="B385" s="189" t="s">
        <v>12</v>
      </c>
      <c r="C385" s="189"/>
      <c r="D385" s="189"/>
      <c r="E385" s="189"/>
      <c r="F385" s="153" t="s">
        <v>21</v>
      </c>
      <c r="G385" s="161"/>
      <c r="H385" s="154"/>
      <c r="I385" s="154">
        <v>400</v>
      </c>
      <c r="J385" s="155">
        <v>1.089855</v>
      </c>
      <c r="K385" s="154"/>
      <c r="L385" s="154"/>
      <c r="M385" s="154"/>
      <c r="N385" s="92"/>
      <c r="O385" s="92"/>
      <c r="P385" s="66" t="s">
        <v>491</v>
      </c>
    </row>
    <row r="386" spans="2:16" ht="42">
      <c r="B386" s="90" t="s">
        <v>513</v>
      </c>
      <c r="C386" s="90" t="s">
        <v>514</v>
      </c>
      <c r="D386" s="90" t="s">
        <v>73</v>
      </c>
      <c r="E386" s="91">
        <v>45706</v>
      </c>
      <c r="F386" s="157" t="s">
        <v>515</v>
      </c>
      <c r="G386" s="90" t="s">
        <v>71</v>
      </c>
      <c r="H386" s="90">
        <v>5660</v>
      </c>
      <c r="I386" s="90">
        <v>3400</v>
      </c>
      <c r="J386" s="158">
        <v>16.456440000000001</v>
      </c>
      <c r="K386" s="90">
        <v>70</v>
      </c>
      <c r="L386" s="90">
        <v>52</v>
      </c>
      <c r="M386" s="90">
        <v>33</v>
      </c>
      <c r="N386" s="90" t="s">
        <v>88</v>
      </c>
      <c r="O386" s="90" t="s">
        <v>88</v>
      </c>
      <c r="P386" s="90" t="s">
        <v>24</v>
      </c>
    </row>
    <row r="387" spans="2:16" ht="22.5">
      <c r="B387" s="189" t="s">
        <v>12</v>
      </c>
      <c r="C387" s="189"/>
      <c r="D387" s="189"/>
      <c r="E387" s="189"/>
      <c r="F387" s="153" t="s">
        <v>516</v>
      </c>
      <c r="G387" s="163"/>
      <c r="H387" s="154"/>
      <c r="I387" s="163">
        <v>3400</v>
      </c>
      <c r="J387" s="155">
        <v>16.456440000000001</v>
      </c>
      <c r="K387" s="154"/>
      <c r="L387" s="154"/>
      <c r="M387" s="154"/>
      <c r="N387" s="92"/>
      <c r="O387" s="92"/>
      <c r="P387" s="92"/>
    </row>
    <row r="388" spans="2:16" ht="21">
      <c r="B388" s="90" t="s">
        <v>517</v>
      </c>
      <c r="C388" s="90">
        <v>18680185099</v>
      </c>
      <c r="D388" s="90" t="s">
        <v>518</v>
      </c>
      <c r="E388" s="91">
        <v>45706</v>
      </c>
      <c r="F388" s="157" t="s">
        <v>519</v>
      </c>
      <c r="G388" s="54" t="s">
        <v>520</v>
      </c>
      <c r="H388" s="90">
        <v>3400</v>
      </c>
      <c r="I388" s="90">
        <v>1000</v>
      </c>
      <c r="J388" s="158">
        <v>2.4089999999999998</v>
      </c>
      <c r="K388" s="90">
        <v>50</v>
      </c>
      <c r="L388" s="90">
        <v>33</v>
      </c>
      <c r="M388" s="90">
        <v>73</v>
      </c>
      <c r="N388" s="54"/>
      <c r="O388" s="54"/>
      <c r="P388" s="90"/>
    </row>
    <row r="389" spans="2:16" ht="22.5">
      <c r="B389" s="189" t="s">
        <v>12</v>
      </c>
      <c r="C389" s="189"/>
      <c r="D389" s="189"/>
      <c r="E389" s="189"/>
      <c r="F389" s="153" t="s">
        <v>19</v>
      </c>
      <c r="G389" s="69"/>
      <c r="H389" s="154"/>
      <c r="I389" s="154">
        <v>1000</v>
      </c>
      <c r="J389" s="155">
        <v>2.4089999999999998</v>
      </c>
      <c r="K389" s="154"/>
      <c r="L389" s="154"/>
      <c r="M389" s="154"/>
      <c r="N389" s="92"/>
      <c r="O389" s="92"/>
      <c r="P389" s="92"/>
    </row>
    <row r="390" spans="2:16" ht="21">
      <c r="B390" s="94" t="s">
        <v>553</v>
      </c>
      <c r="C390" s="94">
        <v>2001400521</v>
      </c>
      <c r="D390" s="94" t="s">
        <v>554</v>
      </c>
      <c r="E390" s="98">
        <v>45689</v>
      </c>
      <c r="F390" s="93" t="s">
        <v>555</v>
      </c>
      <c r="G390" s="94" t="s">
        <v>556</v>
      </c>
      <c r="H390" s="94"/>
      <c r="I390" s="94">
        <v>598</v>
      </c>
      <c r="J390" s="95">
        <f>K390*L390*M390/1000000*25</f>
        <v>3.0605250000000002</v>
      </c>
      <c r="K390" s="94">
        <v>73</v>
      </c>
      <c r="L390" s="94">
        <v>43</v>
      </c>
      <c r="M390" s="94">
        <v>39</v>
      </c>
      <c r="N390" s="94" t="s">
        <v>82</v>
      </c>
      <c r="O390" s="94" t="s">
        <v>82</v>
      </c>
      <c r="P390" s="94"/>
    </row>
    <row r="391" spans="2:16" ht="22.5">
      <c r="B391" s="189" t="s">
        <v>12</v>
      </c>
      <c r="C391" s="189"/>
      <c r="D391" s="189"/>
      <c r="E391" s="189"/>
      <c r="F391" s="153" t="s">
        <v>557</v>
      </c>
      <c r="G391" s="154"/>
      <c r="H391" s="154"/>
      <c r="I391" s="154">
        <f>SUM(I390:I390)</f>
        <v>598</v>
      </c>
      <c r="J391" s="155">
        <f>SUM(J390:J390)</f>
        <v>3.0605250000000002</v>
      </c>
      <c r="K391" s="154"/>
      <c r="L391" s="154"/>
      <c r="M391" s="154"/>
      <c r="N391" s="97"/>
      <c r="O391" s="97"/>
      <c r="P391" s="97"/>
    </row>
    <row r="392" spans="2:16" ht="21">
      <c r="B392" s="90" t="s">
        <v>558</v>
      </c>
      <c r="C392" s="90">
        <v>18122785217</v>
      </c>
      <c r="D392" s="90" t="s">
        <v>53</v>
      </c>
      <c r="E392" s="91">
        <v>45710</v>
      </c>
      <c r="F392" s="157" t="s">
        <v>559</v>
      </c>
      <c r="G392" s="90" t="s">
        <v>54</v>
      </c>
      <c r="H392" s="90"/>
      <c r="I392" s="90">
        <f>24*400</f>
        <v>9600</v>
      </c>
      <c r="J392" s="158">
        <f>K392*L392*M392/1000000*400</f>
        <v>16.32</v>
      </c>
      <c r="K392" s="90">
        <v>40</v>
      </c>
      <c r="L392" s="90">
        <v>34</v>
      </c>
      <c r="M392" s="90">
        <v>30</v>
      </c>
      <c r="N392" s="90" t="s">
        <v>52</v>
      </c>
      <c r="O392" s="90" t="s">
        <v>52</v>
      </c>
      <c r="P392" s="90"/>
    </row>
    <row r="393" spans="2:16" ht="22.5">
      <c r="B393" s="189" t="s">
        <v>12</v>
      </c>
      <c r="C393" s="189"/>
      <c r="D393" s="189"/>
      <c r="E393" s="189"/>
      <c r="F393" s="153" t="s">
        <v>560</v>
      </c>
      <c r="G393" s="154"/>
      <c r="H393" s="154"/>
      <c r="I393" s="154">
        <f>SUM(I392:I392)</f>
        <v>9600</v>
      </c>
      <c r="J393" s="155">
        <f>SUM(J392:J392)</f>
        <v>16.32</v>
      </c>
      <c r="K393" s="154"/>
      <c r="L393" s="154"/>
      <c r="M393" s="154"/>
      <c r="N393" s="92"/>
      <c r="O393" s="92"/>
      <c r="P393" s="92"/>
    </row>
    <row r="394" spans="2:16" ht="42">
      <c r="B394" s="90" t="s">
        <v>561</v>
      </c>
      <c r="C394" s="90" t="s">
        <v>562</v>
      </c>
      <c r="D394" s="90" t="s">
        <v>73</v>
      </c>
      <c r="E394" s="91">
        <v>45712</v>
      </c>
      <c r="F394" s="157" t="s">
        <v>563</v>
      </c>
      <c r="G394" s="90" t="s">
        <v>71</v>
      </c>
      <c r="H394" s="90">
        <v>902</v>
      </c>
      <c r="I394" s="90">
        <v>750</v>
      </c>
      <c r="J394" s="158">
        <v>2.7225000000000001</v>
      </c>
      <c r="K394" s="90">
        <v>55</v>
      </c>
      <c r="L394" s="90">
        <v>50</v>
      </c>
      <c r="M394" s="90">
        <v>33</v>
      </c>
      <c r="N394" s="90" t="s">
        <v>88</v>
      </c>
      <c r="O394" s="90" t="s">
        <v>88</v>
      </c>
      <c r="P394" s="90" t="s">
        <v>24</v>
      </c>
    </row>
    <row r="395" spans="2:16" ht="22.5">
      <c r="B395" s="189" t="s">
        <v>12</v>
      </c>
      <c r="C395" s="189"/>
      <c r="D395" s="189"/>
      <c r="E395" s="189"/>
      <c r="F395" s="153" t="s">
        <v>564</v>
      </c>
      <c r="G395" s="154"/>
      <c r="H395" s="154"/>
      <c r="I395" s="154">
        <v>750</v>
      </c>
      <c r="J395" s="155">
        <v>2.7225000000000001</v>
      </c>
      <c r="K395" s="154"/>
      <c r="L395" s="154"/>
      <c r="M395" s="154"/>
      <c r="N395" s="92"/>
      <c r="O395" s="92"/>
      <c r="P395" s="92"/>
    </row>
    <row r="396" spans="2:16" ht="21">
      <c r="B396" s="90" t="s">
        <v>565</v>
      </c>
      <c r="C396" s="90" t="s">
        <v>566</v>
      </c>
      <c r="D396" s="90" t="s">
        <v>567</v>
      </c>
      <c r="E396" s="91">
        <v>45712</v>
      </c>
      <c r="F396" s="173" t="s">
        <v>568</v>
      </c>
      <c r="G396" s="164" t="s">
        <v>67</v>
      </c>
      <c r="H396" s="164">
        <v>100</v>
      </c>
      <c r="I396" s="164">
        <v>225</v>
      </c>
      <c r="J396" s="174">
        <v>1.0647</v>
      </c>
      <c r="K396" s="164">
        <v>65</v>
      </c>
      <c r="L396" s="164">
        <v>52</v>
      </c>
      <c r="M396" s="164">
        <v>35</v>
      </c>
      <c r="N396" s="90"/>
      <c r="O396" s="90"/>
      <c r="P396" s="90" t="s">
        <v>24</v>
      </c>
    </row>
    <row r="397" spans="2:16" ht="22.5">
      <c r="B397" s="189" t="s">
        <v>12</v>
      </c>
      <c r="C397" s="189"/>
      <c r="D397" s="189"/>
      <c r="E397" s="189"/>
      <c r="F397" s="153" t="s">
        <v>22</v>
      </c>
      <c r="G397" s="154"/>
      <c r="H397" s="154"/>
      <c r="I397" s="154">
        <v>225</v>
      </c>
      <c r="J397" s="155">
        <v>1.0647</v>
      </c>
      <c r="K397" s="154"/>
      <c r="L397" s="154"/>
      <c r="M397" s="154"/>
      <c r="N397" s="92"/>
      <c r="O397" s="92"/>
      <c r="P397" s="92"/>
    </row>
    <row r="398" spans="2:16" ht="42">
      <c r="B398" s="81" t="s">
        <v>578</v>
      </c>
      <c r="C398" s="54" t="s">
        <v>579</v>
      </c>
      <c r="D398" s="81" t="s">
        <v>580</v>
      </c>
      <c r="E398" s="83">
        <v>45713</v>
      </c>
      <c r="F398" s="3" t="s">
        <v>477</v>
      </c>
      <c r="G398" s="81" t="s">
        <v>71</v>
      </c>
      <c r="H398" s="81"/>
      <c r="I398" s="81">
        <v>100</v>
      </c>
      <c r="J398" s="10">
        <v>0.48843000000000003</v>
      </c>
      <c r="K398" s="81">
        <v>67</v>
      </c>
      <c r="L398" s="81">
        <v>90</v>
      </c>
      <c r="M398" s="81">
        <v>27</v>
      </c>
      <c r="N398" s="81" t="s">
        <v>88</v>
      </c>
      <c r="O398" s="81" t="s">
        <v>88</v>
      </c>
      <c r="P398" s="81" t="s">
        <v>24</v>
      </c>
    </row>
    <row r="399" spans="2:16" ht="22.5">
      <c r="B399" s="189" t="s">
        <v>12</v>
      </c>
      <c r="C399" s="189"/>
      <c r="D399" s="189"/>
      <c r="E399" s="189"/>
      <c r="F399" s="64" t="s">
        <v>30</v>
      </c>
      <c r="G399" s="52"/>
      <c r="H399" s="52"/>
      <c r="I399" s="52">
        <v>100</v>
      </c>
      <c r="J399" s="65">
        <v>0.48843000000000003</v>
      </c>
      <c r="K399" s="52"/>
      <c r="L399" s="52"/>
      <c r="M399" s="52"/>
      <c r="N399" s="67"/>
      <c r="O399" s="67"/>
      <c r="P399" s="67"/>
    </row>
    <row r="400" spans="2:16" ht="42">
      <c r="B400" s="81" t="s">
        <v>581</v>
      </c>
      <c r="C400" s="54" t="s">
        <v>582</v>
      </c>
      <c r="D400" s="81" t="s">
        <v>73</v>
      </c>
      <c r="E400" s="83">
        <v>45713</v>
      </c>
      <c r="F400" s="3" t="s">
        <v>515</v>
      </c>
      <c r="G400" s="81" t="s">
        <v>71</v>
      </c>
      <c r="H400" s="81">
        <v>5480</v>
      </c>
      <c r="I400" s="81">
        <v>2900</v>
      </c>
      <c r="J400" s="10">
        <v>13.53834</v>
      </c>
      <c r="K400" s="81">
        <v>61</v>
      </c>
      <c r="L400" s="81">
        <v>60</v>
      </c>
      <c r="M400" s="81">
        <v>27</v>
      </c>
      <c r="N400" s="81" t="s">
        <v>88</v>
      </c>
      <c r="O400" s="81" t="s">
        <v>88</v>
      </c>
      <c r="P400" s="81" t="s">
        <v>24</v>
      </c>
    </row>
    <row r="401" spans="2:16" ht="22.5">
      <c r="B401" s="189" t="s">
        <v>12</v>
      </c>
      <c r="C401" s="189"/>
      <c r="D401" s="189"/>
      <c r="E401" s="189"/>
      <c r="F401" s="64" t="s">
        <v>516</v>
      </c>
      <c r="G401" s="52"/>
      <c r="H401" s="52"/>
      <c r="I401" s="52">
        <v>2900</v>
      </c>
      <c r="J401" s="65">
        <v>13.53834</v>
      </c>
      <c r="K401" s="52"/>
      <c r="L401" s="52"/>
      <c r="M401" s="52"/>
      <c r="N401" s="67"/>
      <c r="O401" s="67"/>
      <c r="P401" s="67"/>
    </row>
    <row r="402" spans="2:16" ht="21">
      <c r="B402" s="81" t="s">
        <v>583</v>
      </c>
      <c r="C402" s="81"/>
      <c r="D402" s="81" t="s">
        <v>584</v>
      </c>
      <c r="E402" s="83">
        <v>45713</v>
      </c>
      <c r="F402" s="3" t="s">
        <v>386</v>
      </c>
      <c r="G402" s="81" t="s">
        <v>54</v>
      </c>
      <c r="H402" s="81">
        <v>300</v>
      </c>
      <c r="I402" s="81">
        <v>3750</v>
      </c>
      <c r="J402" s="10">
        <v>6.12</v>
      </c>
      <c r="K402" s="81">
        <v>40</v>
      </c>
      <c r="L402" s="81">
        <v>34</v>
      </c>
      <c r="M402" s="81">
        <v>30</v>
      </c>
      <c r="N402" s="81" t="s">
        <v>52</v>
      </c>
      <c r="O402" s="81" t="s">
        <v>52</v>
      </c>
      <c r="P402" s="81"/>
    </row>
    <row r="403" spans="2:16" ht="22.5">
      <c r="B403" s="189" t="s">
        <v>12</v>
      </c>
      <c r="C403" s="189"/>
      <c r="D403" s="189"/>
      <c r="E403" s="189"/>
      <c r="F403" s="64" t="s">
        <v>388</v>
      </c>
      <c r="G403" s="52"/>
      <c r="H403" s="52"/>
      <c r="I403" s="52">
        <v>3750</v>
      </c>
      <c r="J403" s="65">
        <v>6.12</v>
      </c>
      <c r="K403" s="52"/>
      <c r="L403" s="52"/>
      <c r="M403" s="52"/>
      <c r="N403" s="67"/>
      <c r="O403" s="67"/>
      <c r="P403" s="67"/>
    </row>
    <row r="404" spans="2:16" ht="21">
      <c r="B404" s="90" t="s">
        <v>612</v>
      </c>
      <c r="C404" s="165" t="s">
        <v>613</v>
      </c>
      <c r="D404" s="90" t="s">
        <v>614</v>
      </c>
      <c r="E404" s="91">
        <v>45714</v>
      </c>
      <c r="F404" s="157" t="s">
        <v>615</v>
      </c>
      <c r="G404" s="90" t="s">
        <v>616</v>
      </c>
      <c r="H404" s="90">
        <f>960*38</f>
        <v>36480</v>
      </c>
      <c r="I404" s="90">
        <v>128</v>
      </c>
      <c r="J404" s="158">
        <f>K404*L404*M404/1000000*38</f>
        <v>2.4259199999999996</v>
      </c>
      <c r="K404" s="90">
        <v>57</v>
      </c>
      <c r="L404" s="90">
        <v>35</v>
      </c>
      <c r="M404" s="90">
        <v>32</v>
      </c>
      <c r="N404" s="90" t="s">
        <v>617</v>
      </c>
      <c r="O404" s="90" t="s">
        <v>617</v>
      </c>
      <c r="P404" s="90"/>
    </row>
    <row r="405" spans="2:16" ht="22.5">
      <c r="B405" s="189" t="s">
        <v>12</v>
      </c>
      <c r="C405" s="189"/>
      <c r="D405" s="189"/>
      <c r="E405" s="189"/>
      <c r="F405" s="153" t="s">
        <v>618</v>
      </c>
      <c r="G405" s="69"/>
      <c r="H405" s="154"/>
      <c r="I405" s="154">
        <f>SUM(I404:I404)</f>
        <v>128</v>
      </c>
      <c r="J405" s="155">
        <f>SUM(J404:J404)</f>
        <v>2.4259199999999996</v>
      </c>
      <c r="K405" s="154"/>
      <c r="L405" s="154"/>
      <c r="M405" s="154"/>
      <c r="N405" s="92"/>
      <c r="O405" s="92"/>
      <c r="P405" s="92"/>
    </row>
    <row r="406" spans="2:16" ht="21">
      <c r="B406" s="90" t="s">
        <v>630</v>
      </c>
      <c r="C406" s="54" t="s">
        <v>631</v>
      </c>
      <c r="D406" s="90" t="s">
        <v>632</v>
      </c>
      <c r="E406" s="91">
        <v>45719</v>
      </c>
      <c r="F406" s="157" t="s">
        <v>21</v>
      </c>
      <c r="G406" s="181"/>
      <c r="H406" s="90"/>
      <c r="I406" s="90">
        <v>419</v>
      </c>
      <c r="J406" s="158">
        <v>2.1032999999999999</v>
      </c>
      <c r="K406" s="90">
        <v>123</v>
      </c>
      <c r="L406" s="90">
        <v>100</v>
      </c>
      <c r="M406" s="90">
        <v>171</v>
      </c>
      <c r="N406" s="90"/>
      <c r="O406" s="90"/>
      <c r="P406" s="90"/>
    </row>
    <row r="407" spans="2:16" ht="22.5">
      <c r="B407" s="189" t="s">
        <v>12</v>
      </c>
      <c r="C407" s="189"/>
      <c r="D407" s="189"/>
      <c r="E407" s="189"/>
      <c r="F407" s="153" t="s">
        <v>21</v>
      </c>
      <c r="G407" s="154"/>
      <c r="H407" s="154"/>
      <c r="I407" s="154">
        <v>419</v>
      </c>
      <c r="J407" s="155">
        <v>2.1032999999999999</v>
      </c>
      <c r="K407" s="154"/>
      <c r="L407" s="154"/>
      <c r="M407" s="154"/>
      <c r="N407" s="92"/>
      <c r="O407" s="92"/>
      <c r="P407" s="92"/>
    </row>
    <row r="408" spans="2:16" ht="21">
      <c r="B408" s="200" t="s">
        <v>633</v>
      </c>
      <c r="C408" s="200">
        <v>15262730846</v>
      </c>
      <c r="D408" s="200" t="s">
        <v>73</v>
      </c>
      <c r="E408" s="193">
        <v>45719</v>
      </c>
      <c r="F408" s="157" t="s">
        <v>634</v>
      </c>
      <c r="G408" s="200" t="s">
        <v>71</v>
      </c>
      <c r="H408" s="90">
        <v>1500</v>
      </c>
      <c r="I408" s="200">
        <v>2675</v>
      </c>
      <c r="J408" s="158">
        <v>4.8544999999999998</v>
      </c>
      <c r="K408" s="90">
        <v>73</v>
      </c>
      <c r="L408" s="90">
        <v>70</v>
      </c>
      <c r="M408" s="90">
        <v>19</v>
      </c>
      <c r="N408" s="200" t="s">
        <v>88</v>
      </c>
      <c r="O408" s="200" t="s">
        <v>88</v>
      </c>
      <c r="P408" s="90" t="s">
        <v>24</v>
      </c>
    </row>
    <row r="409" spans="2:16" ht="21">
      <c r="B409" s="202"/>
      <c r="C409" s="202"/>
      <c r="D409" s="202"/>
      <c r="E409" s="194"/>
      <c r="F409" s="157" t="s">
        <v>635</v>
      </c>
      <c r="G409" s="202"/>
      <c r="H409" s="90">
        <v>1500</v>
      </c>
      <c r="I409" s="202"/>
      <c r="J409" s="158">
        <v>4.8099999999999996</v>
      </c>
      <c r="K409" s="90">
        <v>74</v>
      </c>
      <c r="L409" s="90">
        <v>52</v>
      </c>
      <c r="M409" s="90">
        <v>25</v>
      </c>
      <c r="N409" s="202"/>
      <c r="O409" s="202"/>
      <c r="P409" s="90" t="s">
        <v>24</v>
      </c>
    </row>
    <row r="410" spans="2:16" ht="21">
      <c r="B410" s="201"/>
      <c r="C410" s="201"/>
      <c r="D410" s="201"/>
      <c r="E410" s="195"/>
      <c r="F410" s="157" t="s">
        <v>636</v>
      </c>
      <c r="G410" s="201"/>
      <c r="H410" s="90">
        <v>210</v>
      </c>
      <c r="I410" s="201"/>
      <c r="J410" s="158">
        <v>0.63724500000000006</v>
      </c>
      <c r="K410" s="90">
        <v>51</v>
      </c>
      <c r="L410" s="90">
        <v>51</v>
      </c>
      <c r="M410" s="90">
        <v>35</v>
      </c>
      <c r="N410" s="201"/>
      <c r="O410" s="201"/>
      <c r="P410" s="90" t="s">
        <v>24</v>
      </c>
    </row>
    <row r="411" spans="2:16" ht="22.5">
      <c r="B411" s="189" t="s">
        <v>12</v>
      </c>
      <c r="C411" s="189"/>
      <c r="D411" s="189"/>
      <c r="E411" s="189"/>
      <c r="F411" s="153" t="s">
        <v>409</v>
      </c>
      <c r="G411" s="154"/>
      <c r="H411" s="154"/>
      <c r="I411" s="154">
        <v>2675</v>
      </c>
      <c r="J411" s="155">
        <v>10.301745</v>
      </c>
      <c r="K411" s="154"/>
      <c r="L411" s="154"/>
      <c r="M411" s="154"/>
      <c r="N411" s="92"/>
      <c r="O411" s="92"/>
      <c r="P411" s="92"/>
    </row>
    <row r="412" spans="2:16" ht="21">
      <c r="B412" s="90" t="s">
        <v>686</v>
      </c>
      <c r="C412" s="90" t="s">
        <v>687</v>
      </c>
      <c r="D412" s="90" t="s">
        <v>614</v>
      </c>
      <c r="E412" s="91">
        <v>45721</v>
      </c>
      <c r="F412" s="157" t="s">
        <v>634</v>
      </c>
      <c r="G412" s="54" t="s">
        <v>688</v>
      </c>
      <c r="H412" s="90">
        <f>960*50</f>
        <v>48000</v>
      </c>
      <c r="I412" s="90">
        <v>600</v>
      </c>
      <c r="J412" s="184">
        <f>K412*L412*M412/1000000*50</f>
        <v>3.17625</v>
      </c>
      <c r="K412" s="90">
        <v>55</v>
      </c>
      <c r="L412" s="90">
        <v>35</v>
      </c>
      <c r="M412" s="90">
        <v>33</v>
      </c>
      <c r="N412" s="90" t="s">
        <v>617</v>
      </c>
      <c r="O412" s="90" t="s">
        <v>617</v>
      </c>
      <c r="P412" s="90"/>
    </row>
    <row r="413" spans="2:16" ht="22.5">
      <c r="B413" s="189" t="s">
        <v>12</v>
      </c>
      <c r="C413" s="189"/>
      <c r="D413" s="189"/>
      <c r="E413" s="189"/>
      <c r="F413" s="153" t="s">
        <v>689</v>
      </c>
      <c r="G413" s="154"/>
      <c r="H413" s="154"/>
      <c r="I413" s="154">
        <f>SUM(I412:I412)</f>
        <v>600</v>
      </c>
      <c r="J413" s="185">
        <f>SUM(J412:J412)</f>
        <v>3.17625</v>
      </c>
      <c r="K413" s="154"/>
      <c r="L413" s="154"/>
      <c r="M413" s="154"/>
      <c r="N413" s="92"/>
      <c r="O413" s="92"/>
      <c r="P413" s="92"/>
    </row>
    <row r="414" spans="2:16" ht="42">
      <c r="B414" s="90" t="s">
        <v>699</v>
      </c>
      <c r="C414" s="90" t="s">
        <v>700</v>
      </c>
      <c r="D414" s="90" t="s">
        <v>701</v>
      </c>
      <c r="E414" s="91">
        <v>45723</v>
      </c>
      <c r="F414" s="157" t="s">
        <v>60</v>
      </c>
      <c r="G414" s="54" t="s">
        <v>702</v>
      </c>
      <c r="H414" s="90">
        <v>6</v>
      </c>
      <c r="I414" s="90">
        <v>152</v>
      </c>
      <c r="J414" s="184">
        <v>0.31968000000000002</v>
      </c>
      <c r="K414" s="90">
        <v>74</v>
      </c>
      <c r="L414" s="90">
        <v>48</v>
      </c>
      <c r="M414" s="90">
        <v>15</v>
      </c>
      <c r="N414" s="54" t="s">
        <v>703</v>
      </c>
      <c r="O414" s="54" t="s">
        <v>703</v>
      </c>
      <c r="P414" s="90"/>
    </row>
    <row r="415" spans="2:16" ht="22.5">
      <c r="B415" s="189" t="s">
        <v>12</v>
      </c>
      <c r="C415" s="189"/>
      <c r="D415" s="189"/>
      <c r="E415" s="189"/>
      <c r="F415" s="153" t="s">
        <v>17</v>
      </c>
      <c r="G415" s="8"/>
      <c r="H415" s="154"/>
      <c r="I415" s="163">
        <v>152</v>
      </c>
      <c r="J415" s="185">
        <v>0.31968000000000002</v>
      </c>
      <c r="K415" s="154"/>
      <c r="L415" s="154"/>
      <c r="M415" s="154"/>
      <c r="N415" s="92"/>
      <c r="O415" s="92"/>
      <c r="P415" s="92"/>
    </row>
    <row r="416" spans="2:16" ht="21">
      <c r="B416" s="90" t="s">
        <v>704</v>
      </c>
      <c r="C416" s="90">
        <v>15615700991</v>
      </c>
      <c r="D416" s="90" t="s">
        <v>584</v>
      </c>
      <c r="E416" s="91">
        <v>45723</v>
      </c>
      <c r="F416" s="157" t="s">
        <v>705</v>
      </c>
      <c r="G416" s="90" t="s">
        <v>54</v>
      </c>
      <c r="H416" s="90">
        <v>7500</v>
      </c>
      <c r="I416" s="90">
        <v>6250</v>
      </c>
      <c r="J416" s="184">
        <v>10.200000000000001</v>
      </c>
      <c r="K416" s="90">
        <v>40</v>
      </c>
      <c r="L416" s="90">
        <v>34</v>
      </c>
      <c r="M416" s="90">
        <v>30</v>
      </c>
      <c r="N416" s="90" t="s">
        <v>52</v>
      </c>
      <c r="O416" s="90" t="s">
        <v>52</v>
      </c>
      <c r="P416" s="90"/>
    </row>
    <row r="417" spans="2:16" ht="22.5">
      <c r="B417" s="189" t="s">
        <v>12</v>
      </c>
      <c r="C417" s="189"/>
      <c r="D417" s="189"/>
      <c r="E417" s="189"/>
      <c r="F417" s="153" t="s">
        <v>706</v>
      </c>
      <c r="G417" s="154"/>
      <c r="H417" s="154"/>
      <c r="I417" s="154">
        <v>6250</v>
      </c>
      <c r="J417" s="185">
        <v>10.200000000000001</v>
      </c>
      <c r="K417" s="154"/>
      <c r="L417" s="154"/>
      <c r="M417" s="154"/>
      <c r="N417" s="92"/>
      <c r="O417" s="92"/>
      <c r="P417" s="92"/>
    </row>
    <row r="418" spans="2:16" ht="21">
      <c r="B418" s="90" t="s">
        <v>707</v>
      </c>
      <c r="C418" s="90">
        <v>15027272944</v>
      </c>
      <c r="D418" s="90" t="s">
        <v>708</v>
      </c>
      <c r="E418" s="91">
        <v>45722</v>
      </c>
      <c r="F418" s="157" t="s">
        <v>555</v>
      </c>
      <c r="G418" s="54" t="s">
        <v>709</v>
      </c>
      <c r="H418" s="90">
        <v>50000</v>
      </c>
      <c r="I418" s="90">
        <v>58</v>
      </c>
      <c r="J418" s="158">
        <v>0.73260000000000003</v>
      </c>
      <c r="K418" s="90">
        <v>37</v>
      </c>
      <c r="L418" s="90">
        <v>33</v>
      </c>
      <c r="M418" s="90">
        <v>24</v>
      </c>
      <c r="N418" s="90"/>
      <c r="O418" s="90"/>
      <c r="P418" s="90"/>
    </row>
    <row r="419" spans="2:16" ht="22.5">
      <c r="B419" s="189" t="s">
        <v>12</v>
      </c>
      <c r="C419" s="189"/>
      <c r="D419" s="189"/>
      <c r="E419" s="189"/>
      <c r="F419" s="153" t="s">
        <v>557</v>
      </c>
      <c r="G419" s="163"/>
      <c r="H419" s="154"/>
      <c r="I419" s="163">
        <v>58</v>
      </c>
      <c r="J419" s="155">
        <v>0.73260000000000003</v>
      </c>
      <c r="K419" s="154"/>
      <c r="L419" s="154"/>
      <c r="M419" s="154"/>
      <c r="N419" s="92"/>
      <c r="O419" s="92"/>
      <c r="P419" s="92"/>
    </row>
    <row r="420" spans="2:16" ht="21">
      <c r="B420" s="200" t="s">
        <v>710</v>
      </c>
      <c r="C420" s="200" t="s">
        <v>711</v>
      </c>
      <c r="D420" s="200" t="s">
        <v>73</v>
      </c>
      <c r="E420" s="193">
        <v>45722</v>
      </c>
      <c r="F420" s="157" t="s">
        <v>712</v>
      </c>
      <c r="G420" s="200" t="s">
        <v>71</v>
      </c>
      <c r="H420" s="90">
        <v>1080</v>
      </c>
      <c r="I420" s="200">
        <v>2700</v>
      </c>
      <c r="J420" s="158">
        <v>3.2399999999999998</v>
      </c>
      <c r="K420" s="90">
        <v>50</v>
      </c>
      <c r="L420" s="90">
        <v>60</v>
      </c>
      <c r="M420" s="90">
        <v>40</v>
      </c>
      <c r="N420" s="200" t="s">
        <v>88</v>
      </c>
      <c r="O420" s="200" t="s">
        <v>88</v>
      </c>
      <c r="P420" s="90" t="s">
        <v>24</v>
      </c>
    </row>
    <row r="421" spans="2:16" ht="21">
      <c r="B421" s="201"/>
      <c r="C421" s="201"/>
      <c r="D421" s="201"/>
      <c r="E421" s="195"/>
      <c r="F421" s="157" t="s">
        <v>713</v>
      </c>
      <c r="G421" s="201"/>
      <c r="H421" s="90">
        <v>2520</v>
      </c>
      <c r="I421" s="201"/>
      <c r="J421" s="158">
        <v>7.4969999999999999</v>
      </c>
      <c r="K421" s="90">
        <v>70</v>
      </c>
      <c r="L421" s="90">
        <v>50</v>
      </c>
      <c r="M421" s="90">
        <v>34</v>
      </c>
      <c r="N421" s="201"/>
      <c r="O421" s="201"/>
      <c r="P421" s="90" t="s">
        <v>24</v>
      </c>
    </row>
    <row r="422" spans="2:16" ht="22.5">
      <c r="B422" s="189" t="s">
        <v>12</v>
      </c>
      <c r="C422" s="189"/>
      <c r="D422" s="189"/>
      <c r="E422" s="189"/>
      <c r="F422" s="153" t="s">
        <v>714</v>
      </c>
      <c r="G422" s="156"/>
      <c r="H422" s="154"/>
      <c r="I422" s="156">
        <v>2700</v>
      </c>
      <c r="J422" s="155">
        <v>10.737</v>
      </c>
      <c r="K422" s="154"/>
      <c r="L422" s="154"/>
      <c r="M422" s="154"/>
      <c r="N422" s="92"/>
      <c r="O422" s="92"/>
      <c r="P422" s="92"/>
    </row>
    <row r="423" spans="2:16" ht="42">
      <c r="B423" s="90" t="s">
        <v>715</v>
      </c>
      <c r="C423" s="90">
        <v>13169011340</v>
      </c>
      <c r="D423" s="90" t="s">
        <v>20</v>
      </c>
      <c r="E423" s="91">
        <v>45723</v>
      </c>
      <c r="F423" s="157" t="s">
        <v>716</v>
      </c>
      <c r="G423" s="90" t="s">
        <v>717</v>
      </c>
      <c r="H423" s="90">
        <v>1837</v>
      </c>
      <c r="I423" s="90">
        <v>1242</v>
      </c>
      <c r="J423" s="158">
        <v>4.5</v>
      </c>
      <c r="K423" s="90"/>
      <c r="L423" s="90"/>
      <c r="M423" s="90"/>
      <c r="N423" s="90"/>
      <c r="O423" s="90"/>
      <c r="P423" s="90" t="s">
        <v>24</v>
      </c>
    </row>
    <row r="424" spans="2:16" ht="22.5">
      <c r="B424" s="189" t="s">
        <v>12</v>
      </c>
      <c r="C424" s="189"/>
      <c r="D424" s="189"/>
      <c r="E424" s="189"/>
      <c r="F424" s="153" t="s">
        <v>718</v>
      </c>
      <c r="G424" s="69"/>
      <c r="H424" s="154"/>
      <c r="I424" s="154">
        <v>1242</v>
      </c>
      <c r="J424" s="155">
        <v>4.5</v>
      </c>
      <c r="K424" s="154"/>
      <c r="L424" s="154"/>
      <c r="M424" s="154"/>
      <c r="N424" s="92"/>
      <c r="O424" s="92"/>
      <c r="P424" s="92"/>
    </row>
    <row r="425" spans="2:16" ht="21">
      <c r="B425" s="200" t="s">
        <v>719</v>
      </c>
      <c r="C425" s="203" t="s">
        <v>720</v>
      </c>
      <c r="D425" s="200" t="s">
        <v>184</v>
      </c>
      <c r="E425" s="193">
        <v>45724</v>
      </c>
      <c r="F425" s="157" t="s">
        <v>14</v>
      </c>
      <c r="G425" s="200" t="s">
        <v>721</v>
      </c>
      <c r="H425" s="90"/>
      <c r="I425" s="200">
        <v>90</v>
      </c>
      <c r="J425" s="184">
        <v>0.18499199999999999</v>
      </c>
      <c r="K425" s="90">
        <v>41</v>
      </c>
      <c r="L425" s="90">
        <v>48</v>
      </c>
      <c r="M425" s="90">
        <v>47</v>
      </c>
      <c r="N425" s="200" t="s">
        <v>52</v>
      </c>
      <c r="O425" s="200" t="s">
        <v>52</v>
      </c>
      <c r="P425" s="90"/>
    </row>
    <row r="426" spans="2:16" ht="21">
      <c r="B426" s="202"/>
      <c r="C426" s="204"/>
      <c r="D426" s="202"/>
      <c r="E426" s="194"/>
      <c r="F426" s="157" t="s">
        <v>482</v>
      </c>
      <c r="G426" s="202"/>
      <c r="H426" s="90"/>
      <c r="I426" s="202"/>
      <c r="J426" s="184">
        <v>0.19458</v>
      </c>
      <c r="K426" s="90">
        <v>45</v>
      </c>
      <c r="L426" s="90">
        <v>47</v>
      </c>
      <c r="M426" s="90">
        <v>46</v>
      </c>
      <c r="N426" s="202"/>
      <c r="O426" s="202"/>
      <c r="P426" s="90"/>
    </row>
    <row r="427" spans="2:16" ht="21">
      <c r="B427" s="202"/>
      <c r="C427" s="204"/>
      <c r="D427" s="202"/>
      <c r="E427" s="194"/>
      <c r="F427" s="157" t="s">
        <v>722</v>
      </c>
      <c r="G427" s="202"/>
      <c r="H427" s="90"/>
      <c r="I427" s="202"/>
      <c r="J427" s="184">
        <v>7.2000000000000008E-2</v>
      </c>
      <c r="K427" s="90">
        <v>40</v>
      </c>
      <c r="L427" s="90">
        <v>30</v>
      </c>
      <c r="M427" s="90">
        <v>20</v>
      </c>
      <c r="N427" s="202"/>
      <c r="O427" s="202"/>
      <c r="P427" s="90"/>
    </row>
    <row r="428" spans="2:16" ht="21">
      <c r="B428" s="201"/>
      <c r="C428" s="205"/>
      <c r="D428" s="201"/>
      <c r="E428" s="195"/>
      <c r="F428" s="157" t="s">
        <v>26</v>
      </c>
      <c r="G428" s="201"/>
      <c r="H428" s="90"/>
      <c r="I428" s="201"/>
      <c r="J428" s="184">
        <v>3.0380000000000001E-2</v>
      </c>
      <c r="K428" s="90">
        <v>62</v>
      </c>
      <c r="L428" s="90">
        <v>49</v>
      </c>
      <c r="M428" s="90">
        <v>10</v>
      </c>
      <c r="N428" s="201"/>
      <c r="O428" s="201"/>
      <c r="P428" s="90"/>
    </row>
    <row r="429" spans="2:16" ht="22.5">
      <c r="B429" s="189" t="s">
        <v>12</v>
      </c>
      <c r="C429" s="189"/>
      <c r="D429" s="189"/>
      <c r="E429" s="189"/>
      <c r="F429" s="153" t="s">
        <v>26</v>
      </c>
      <c r="G429" s="154"/>
      <c r="H429" s="154"/>
      <c r="I429" s="154">
        <v>90</v>
      </c>
      <c r="J429" s="185">
        <v>0.48195200000000005</v>
      </c>
      <c r="K429" s="154"/>
      <c r="L429" s="154"/>
      <c r="M429" s="154"/>
      <c r="N429" s="92"/>
      <c r="O429" s="92"/>
      <c r="P429" s="92"/>
    </row>
    <row r="430" spans="2:16" ht="21">
      <c r="B430" s="90" t="s">
        <v>723</v>
      </c>
      <c r="C430" s="90">
        <v>13169011340</v>
      </c>
      <c r="D430" s="90" t="s">
        <v>20</v>
      </c>
      <c r="E430" s="91">
        <v>45723</v>
      </c>
      <c r="F430" s="157" t="s">
        <v>21</v>
      </c>
      <c r="G430" s="90" t="s">
        <v>724</v>
      </c>
      <c r="H430" s="90">
        <v>1</v>
      </c>
      <c r="I430" s="90">
        <v>8</v>
      </c>
      <c r="J430" s="158">
        <v>8.0369999999999997E-2</v>
      </c>
      <c r="K430" s="90">
        <v>47</v>
      </c>
      <c r="L430" s="90">
        <v>30</v>
      </c>
      <c r="M430" s="90">
        <v>57</v>
      </c>
      <c r="N430" s="90"/>
      <c r="O430" s="90"/>
      <c r="P430" s="90"/>
    </row>
    <row r="431" spans="2:16" ht="22.5">
      <c r="B431" s="189" t="s">
        <v>12</v>
      </c>
      <c r="C431" s="189"/>
      <c r="D431" s="189"/>
      <c r="E431" s="189"/>
      <c r="F431" s="153" t="s">
        <v>21</v>
      </c>
      <c r="G431" s="69"/>
      <c r="H431" s="154"/>
      <c r="I431" s="154">
        <v>8</v>
      </c>
      <c r="J431" s="155">
        <v>8.0369999999999997E-2</v>
      </c>
      <c r="K431" s="154"/>
      <c r="L431" s="154"/>
      <c r="M431" s="154"/>
      <c r="N431" s="92"/>
      <c r="O431" s="92"/>
      <c r="P431" s="92"/>
    </row>
    <row r="432" spans="2:16" ht="21">
      <c r="B432" s="90" t="s">
        <v>725</v>
      </c>
      <c r="C432" s="165" t="s">
        <v>726</v>
      </c>
      <c r="D432" s="90" t="s">
        <v>727</v>
      </c>
      <c r="E432" s="91">
        <v>45724</v>
      </c>
      <c r="F432" s="157" t="s">
        <v>728</v>
      </c>
      <c r="G432" s="90" t="s">
        <v>729</v>
      </c>
      <c r="H432" s="90"/>
      <c r="I432" s="90">
        <v>79</v>
      </c>
      <c r="J432" s="158">
        <v>9.2499999999999999E-2</v>
      </c>
      <c r="K432" s="90">
        <v>37</v>
      </c>
      <c r="L432" s="90">
        <v>20</v>
      </c>
      <c r="M432" s="90">
        <v>25</v>
      </c>
      <c r="N432" s="90" t="s">
        <v>617</v>
      </c>
      <c r="O432" s="90" t="s">
        <v>617</v>
      </c>
      <c r="P432" s="90"/>
    </row>
    <row r="433" spans="2:16" ht="22.5">
      <c r="B433" s="189" t="s">
        <v>12</v>
      </c>
      <c r="C433" s="189"/>
      <c r="D433" s="189"/>
      <c r="E433" s="189"/>
      <c r="F433" s="153" t="s">
        <v>13</v>
      </c>
      <c r="G433" s="154"/>
      <c r="H433" s="154"/>
      <c r="I433" s="154">
        <v>79</v>
      </c>
      <c r="J433" s="155">
        <v>9.2499999999999999E-2</v>
      </c>
      <c r="K433" s="154"/>
      <c r="L433" s="154"/>
      <c r="M433" s="154"/>
      <c r="N433" s="92"/>
      <c r="O433" s="92"/>
      <c r="P433" s="92"/>
    </row>
    <row r="434" spans="2:16" ht="21">
      <c r="B434" s="94" t="s">
        <v>730</v>
      </c>
      <c r="C434" s="94" t="s">
        <v>731</v>
      </c>
      <c r="D434" s="94" t="s">
        <v>20</v>
      </c>
      <c r="E434" s="98">
        <v>45726</v>
      </c>
      <c r="F434" s="93" t="s">
        <v>21</v>
      </c>
      <c r="G434" s="53" t="s">
        <v>732</v>
      </c>
      <c r="H434" s="94"/>
      <c r="I434" s="94">
        <v>95</v>
      </c>
      <c r="J434" s="95">
        <f>K434*L434*M434/1000000</f>
        <v>0.41849999999999998</v>
      </c>
      <c r="K434" s="94">
        <v>62</v>
      </c>
      <c r="L434" s="94">
        <v>75</v>
      </c>
      <c r="M434" s="94">
        <v>90</v>
      </c>
      <c r="N434" s="94" t="s">
        <v>82</v>
      </c>
      <c r="O434" s="94" t="s">
        <v>82</v>
      </c>
      <c r="P434" s="94"/>
    </row>
    <row r="435" spans="2:16" ht="22.5">
      <c r="B435" s="189" t="s">
        <v>12</v>
      </c>
      <c r="C435" s="189"/>
      <c r="D435" s="189"/>
      <c r="E435" s="189"/>
      <c r="F435" s="153" t="s">
        <v>21</v>
      </c>
      <c r="G435" s="163"/>
      <c r="H435" s="154"/>
      <c r="I435" s="163">
        <f>SUM(I434:I434)</f>
        <v>95</v>
      </c>
      <c r="J435" s="155">
        <f>SUM(J434:J434)</f>
        <v>0.41849999999999998</v>
      </c>
      <c r="K435" s="154"/>
      <c r="L435" s="154"/>
      <c r="M435" s="154"/>
      <c r="N435" s="97"/>
      <c r="O435" s="97"/>
      <c r="P435" s="97"/>
    </row>
    <row r="436" spans="2:16" ht="42">
      <c r="B436" s="186" t="s">
        <v>733</v>
      </c>
      <c r="C436" s="196" t="s">
        <v>734</v>
      </c>
      <c r="D436" s="186" t="s">
        <v>735</v>
      </c>
      <c r="E436" s="197">
        <v>45726</v>
      </c>
      <c r="F436" s="93" t="s">
        <v>60</v>
      </c>
      <c r="G436" s="94" t="s">
        <v>736</v>
      </c>
      <c r="H436" s="94">
        <f>53+37+45+42+11+30</f>
        <v>218</v>
      </c>
      <c r="I436" s="186">
        <v>195</v>
      </c>
      <c r="J436" s="95">
        <f>K436*L436*M436/1000000*6</f>
        <v>0.41471999999999998</v>
      </c>
      <c r="K436" s="94">
        <v>60</v>
      </c>
      <c r="L436" s="94">
        <v>48</v>
      </c>
      <c r="M436" s="94">
        <v>24</v>
      </c>
      <c r="N436" s="186" t="s">
        <v>82</v>
      </c>
      <c r="O436" s="186" t="s">
        <v>82</v>
      </c>
      <c r="P436" s="94"/>
    </row>
    <row r="437" spans="2:16" ht="21">
      <c r="B437" s="187"/>
      <c r="C437" s="187"/>
      <c r="D437" s="187"/>
      <c r="E437" s="198"/>
      <c r="F437" s="93" t="s">
        <v>737</v>
      </c>
      <c r="G437" s="53" t="s">
        <v>738</v>
      </c>
      <c r="H437" s="94">
        <f>150+160+70</f>
        <v>380</v>
      </c>
      <c r="I437" s="187"/>
      <c r="J437" s="95">
        <f>K437*L437*M437/1000000*3</f>
        <v>8.3160000000000012E-2</v>
      </c>
      <c r="K437" s="94">
        <v>30</v>
      </c>
      <c r="L437" s="94">
        <v>44</v>
      </c>
      <c r="M437" s="94">
        <v>21</v>
      </c>
      <c r="N437" s="187"/>
      <c r="O437" s="187"/>
      <c r="P437" s="94"/>
    </row>
    <row r="438" spans="2:16" ht="37.5">
      <c r="B438" s="188"/>
      <c r="C438" s="188"/>
      <c r="D438" s="188"/>
      <c r="E438" s="199"/>
      <c r="F438" s="93" t="s">
        <v>406</v>
      </c>
      <c r="G438" s="53" t="s">
        <v>739</v>
      </c>
      <c r="H438" s="94">
        <v>90</v>
      </c>
      <c r="I438" s="188"/>
      <c r="J438" s="95">
        <f>K438*L438*M438/1000000</f>
        <v>2.4552000000000001E-2</v>
      </c>
      <c r="K438" s="94">
        <v>44</v>
      </c>
      <c r="L438" s="94">
        <v>31</v>
      </c>
      <c r="M438" s="94">
        <v>18</v>
      </c>
      <c r="N438" s="188"/>
      <c r="O438" s="188"/>
      <c r="P438" s="94"/>
    </row>
    <row r="439" spans="2:16" ht="22.5">
      <c r="B439" s="189" t="s">
        <v>12</v>
      </c>
      <c r="C439" s="189"/>
      <c r="D439" s="189"/>
      <c r="E439" s="189"/>
      <c r="F439" s="153" t="s">
        <v>406</v>
      </c>
      <c r="G439" s="154"/>
      <c r="H439" s="154"/>
      <c r="I439" s="156">
        <f>SUM(I436:I438)</f>
        <v>195</v>
      </c>
      <c r="J439" s="155">
        <f>SUM(J436:J438)</f>
        <v>0.52243200000000001</v>
      </c>
      <c r="K439" s="154"/>
      <c r="L439" s="154"/>
      <c r="M439" s="154"/>
      <c r="N439" s="96"/>
      <c r="O439" s="96"/>
      <c r="P439" s="97"/>
    </row>
    <row r="440" spans="2:16" ht="42">
      <c r="B440" s="90" t="s">
        <v>750</v>
      </c>
      <c r="C440" s="90"/>
      <c r="D440" s="90" t="s">
        <v>66</v>
      </c>
      <c r="E440" s="91">
        <v>45728</v>
      </c>
      <c r="F440" s="157" t="s">
        <v>16</v>
      </c>
      <c r="G440" s="90" t="s">
        <v>67</v>
      </c>
      <c r="H440" s="90">
        <f>24+15+48+25</f>
        <v>112</v>
      </c>
      <c r="I440" s="90">
        <v>100</v>
      </c>
      <c r="J440" s="184">
        <f>K440*L440*M440/1000000*4</f>
        <v>0.54432000000000003</v>
      </c>
      <c r="K440" s="90">
        <v>90</v>
      </c>
      <c r="L440" s="90">
        <v>54</v>
      </c>
      <c r="M440" s="90">
        <v>28</v>
      </c>
      <c r="N440" s="90" t="s">
        <v>88</v>
      </c>
      <c r="O440" s="90" t="s">
        <v>88</v>
      </c>
      <c r="P440" s="90" t="s">
        <v>24</v>
      </c>
    </row>
    <row r="441" spans="2:16" ht="22.5">
      <c r="B441" s="189" t="s">
        <v>12</v>
      </c>
      <c r="C441" s="189"/>
      <c r="D441" s="189"/>
      <c r="E441" s="189"/>
      <c r="F441" s="153" t="s">
        <v>25</v>
      </c>
      <c r="G441" s="154"/>
      <c r="H441" s="154"/>
      <c r="I441" s="154">
        <f>SUM(I440:I440)</f>
        <v>100</v>
      </c>
      <c r="J441" s="185">
        <f>SUM(J440:J440)</f>
        <v>0.54432000000000003</v>
      </c>
      <c r="K441" s="154"/>
      <c r="L441" s="154"/>
      <c r="M441" s="154"/>
      <c r="N441" s="92"/>
      <c r="O441" s="92"/>
      <c r="P441" s="92"/>
    </row>
    <row r="442" spans="2:16" ht="21">
      <c r="B442" s="186" t="s">
        <v>751</v>
      </c>
      <c r="C442" s="196" t="s">
        <v>752</v>
      </c>
      <c r="D442" s="186" t="s">
        <v>476</v>
      </c>
      <c r="E442" s="197">
        <v>45728</v>
      </c>
      <c r="F442" s="93" t="s">
        <v>21</v>
      </c>
      <c r="G442" s="213" t="s">
        <v>753</v>
      </c>
      <c r="H442" s="94">
        <v>34</v>
      </c>
      <c r="I442" s="186">
        <v>17</v>
      </c>
      <c r="J442" s="95">
        <v>2.4684000000000001E-2</v>
      </c>
      <c r="K442" s="94">
        <v>34</v>
      </c>
      <c r="L442" s="94">
        <v>33</v>
      </c>
      <c r="M442" s="94">
        <v>22</v>
      </c>
      <c r="N442" s="186" t="s">
        <v>82</v>
      </c>
      <c r="O442" s="186" t="s">
        <v>82</v>
      </c>
      <c r="P442" s="94"/>
    </row>
    <row r="443" spans="2:16" ht="21">
      <c r="B443" s="187"/>
      <c r="C443" s="187"/>
      <c r="D443" s="187"/>
      <c r="E443" s="198"/>
      <c r="F443" s="93" t="s">
        <v>15</v>
      </c>
      <c r="G443" s="187"/>
      <c r="H443" s="94">
        <v>72</v>
      </c>
      <c r="I443" s="187"/>
      <c r="J443" s="95">
        <v>2.9568000000000001E-2</v>
      </c>
      <c r="K443" s="94">
        <v>44</v>
      </c>
      <c r="L443" s="94">
        <v>32</v>
      </c>
      <c r="M443" s="94">
        <v>21</v>
      </c>
      <c r="N443" s="187"/>
      <c r="O443" s="187"/>
      <c r="P443" s="94"/>
    </row>
    <row r="444" spans="2:16" ht="21">
      <c r="B444" s="188"/>
      <c r="C444" s="188"/>
      <c r="D444" s="188"/>
      <c r="E444" s="199"/>
      <c r="F444" s="93" t="s">
        <v>30</v>
      </c>
      <c r="G444" s="188"/>
      <c r="H444" s="94">
        <v>5</v>
      </c>
      <c r="I444" s="188"/>
      <c r="J444" s="95">
        <v>1.0800000000000001E-2</v>
      </c>
      <c r="K444" s="94">
        <v>30</v>
      </c>
      <c r="L444" s="94">
        <v>24</v>
      </c>
      <c r="M444" s="94">
        <v>15</v>
      </c>
      <c r="N444" s="188"/>
      <c r="O444" s="188"/>
      <c r="P444" s="94"/>
    </row>
    <row r="445" spans="2:16" ht="22.5">
      <c r="B445" s="189" t="s">
        <v>12</v>
      </c>
      <c r="C445" s="189"/>
      <c r="D445" s="189"/>
      <c r="E445" s="189"/>
      <c r="F445" s="153" t="s">
        <v>30</v>
      </c>
      <c r="G445" s="169"/>
      <c r="H445" s="154"/>
      <c r="I445" s="169">
        <v>17</v>
      </c>
      <c r="J445" s="155">
        <v>6.5051999999999999E-2</v>
      </c>
      <c r="K445" s="154"/>
      <c r="L445" s="154"/>
      <c r="M445" s="154"/>
      <c r="N445" s="96"/>
      <c r="O445" s="96"/>
      <c r="P445" s="97"/>
    </row>
    <row r="446" spans="2:16" ht="21">
      <c r="B446" s="90" t="s">
        <v>754</v>
      </c>
      <c r="C446" s="90">
        <v>70462586961</v>
      </c>
      <c r="D446" s="90" t="s">
        <v>20</v>
      </c>
      <c r="E446" s="91">
        <v>45729</v>
      </c>
      <c r="F446" s="157" t="s">
        <v>21</v>
      </c>
      <c r="G446" s="90"/>
      <c r="H446" s="90"/>
      <c r="I446" s="90">
        <v>467</v>
      </c>
      <c r="J446" s="158">
        <v>1.296</v>
      </c>
      <c r="K446" s="90">
        <v>120</v>
      </c>
      <c r="L446" s="90">
        <v>100</v>
      </c>
      <c r="M446" s="90">
        <v>108</v>
      </c>
      <c r="N446" s="90"/>
      <c r="O446" s="90"/>
      <c r="P446" s="90"/>
    </row>
    <row r="447" spans="2:16" ht="22.5">
      <c r="B447" s="189" t="s">
        <v>12</v>
      </c>
      <c r="C447" s="189"/>
      <c r="D447" s="189"/>
      <c r="E447" s="189"/>
      <c r="F447" s="153" t="s">
        <v>21</v>
      </c>
      <c r="G447" s="154"/>
      <c r="H447" s="154"/>
      <c r="I447" s="154">
        <v>467</v>
      </c>
      <c r="J447" s="155">
        <v>1.296</v>
      </c>
      <c r="K447" s="154"/>
      <c r="L447" s="154"/>
      <c r="M447" s="154"/>
      <c r="N447" s="92"/>
      <c r="O447" s="92"/>
      <c r="P447" s="92"/>
    </row>
  </sheetData>
  <mergeCells count="378">
    <mergeCell ref="B445:E445"/>
    <mergeCell ref="B447:E447"/>
    <mergeCell ref="B441:E441"/>
    <mergeCell ref="B442:B444"/>
    <mergeCell ref="C442:C444"/>
    <mergeCell ref="D442:D444"/>
    <mergeCell ref="E442:E444"/>
    <mergeCell ref="G442:G444"/>
    <mergeCell ref="I442:I444"/>
    <mergeCell ref="N442:N444"/>
    <mergeCell ref="O442:O444"/>
    <mergeCell ref="B413:E413"/>
    <mergeCell ref="B213:B214"/>
    <mergeCell ref="D213:D214"/>
    <mergeCell ref="E213:E214"/>
    <mergeCell ref="G213:G214"/>
    <mergeCell ref="O213:O214"/>
    <mergeCell ref="B399:E399"/>
    <mergeCell ref="B401:E401"/>
    <mergeCell ref="B403:E403"/>
    <mergeCell ref="B385:E385"/>
    <mergeCell ref="B387:E387"/>
    <mergeCell ref="B389:E389"/>
    <mergeCell ref="B391:E391"/>
    <mergeCell ref="B393:E393"/>
    <mergeCell ref="N362:N364"/>
    <mergeCell ref="G343:G347"/>
    <mergeCell ref="I343:I347"/>
    <mergeCell ref="G332:G339"/>
    <mergeCell ref="I332:I339"/>
    <mergeCell ref="D343:D347"/>
    <mergeCell ref="E343:E347"/>
    <mergeCell ref="B351:B357"/>
    <mergeCell ref="C351:C357"/>
    <mergeCell ref="D351:D357"/>
    <mergeCell ref="B162:B163"/>
    <mergeCell ref="D162:D163"/>
    <mergeCell ref="E162:E163"/>
    <mergeCell ref="B165:B170"/>
    <mergeCell ref="C165:C170"/>
    <mergeCell ref="D165:D170"/>
    <mergeCell ref="E165:E170"/>
    <mergeCell ref="B348:E348"/>
    <mergeCell ref="B350:E350"/>
    <mergeCell ref="B320:E320"/>
    <mergeCell ref="B322:E322"/>
    <mergeCell ref="B328:E328"/>
    <mergeCell ref="B329:B330"/>
    <mergeCell ref="D329:D330"/>
    <mergeCell ref="E329:E330"/>
    <mergeCell ref="B309:E309"/>
    <mergeCell ref="B331:E331"/>
    <mergeCell ref="B332:B339"/>
    <mergeCell ref="C332:C339"/>
    <mergeCell ref="D332:D339"/>
    <mergeCell ref="E332:E339"/>
    <mergeCell ref="B342:E342"/>
    <mergeCell ref="B343:B347"/>
    <mergeCell ref="C343:C347"/>
    <mergeCell ref="G87:G89"/>
    <mergeCell ref="B60:B61"/>
    <mergeCell ref="C60:C61"/>
    <mergeCell ref="D60:D61"/>
    <mergeCell ref="E60:E61"/>
    <mergeCell ref="G60:G61"/>
    <mergeCell ref="H60:H61"/>
    <mergeCell ref="D87:D89"/>
    <mergeCell ref="B383:E383"/>
    <mergeCell ref="B136:B142"/>
    <mergeCell ref="C136:C142"/>
    <mergeCell ref="D136:D142"/>
    <mergeCell ref="E136:E142"/>
    <mergeCell ref="G136:G142"/>
    <mergeCell ref="H136:H142"/>
    <mergeCell ref="B381:E381"/>
    <mergeCell ref="B272:E272"/>
    <mergeCell ref="B273:B277"/>
    <mergeCell ref="C273:C277"/>
    <mergeCell ref="D273:D277"/>
    <mergeCell ref="E273:E277"/>
    <mergeCell ref="B287:E287"/>
    <mergeCell ref="B289:E289"/>
    <mergeCell ref="B291:E291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B42:B44"/>
    <mergeCell ref="D42:D44"/>
    <mergeCell ref="E42:E44"/>
    <mergeCell ref="G42:G44"/>
    <mergeCell ref="H42:H44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J52:J53"/>
    <mergeCell ref="K52:K53"/>
    <mergeCell ref="L52:L53"/>
    <mergeCell ref="M52:M53"/>
    <mergeCell ref="O60:O61"/>
    <mergeCell ref="O87:O89"/>
    <mergeCell ref="B88:B89"/>
    <mergeCell ref="C88:C89"/>
    <mergeCell ref="E88:E89"/>
    <mergeCell ref="N88:N89"/>
    <mergeCell ref="L87:L89"/>
    <mergeCell ref="M87:M89"/>
    <mergeCell ref="N252:N255"/>
    <mergeCell ref="O252:O255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P252:P255"/>
    <mergeCell ref="B256:E256"/>
    <mergeCell ref="B258:E258"/>
    <mergeCell ref="B260:E260"/>
    <mergeCell ref="B251:E251"/>
    <mergeCell ref="B252:B255"/>
    <mergeCell ref="C252:C255"/>
    <mergeCell ref="D252:D255"/>
    <mergeCell ref="E252:E255"/>
    <mergeCell ref="I252:I255"/>
    <mergeCell ref="P263:P267"/>
    <mergeCell ref="B268:E268"/>
    <mergeCell ref="B270:E270"/>
    <mergeCell ref="B262:E262"/>
    <mergeCell ref="B263:B267"/>
    <mergeCell ref="C263:C267"/>
    <mergeCell ref="D263:D267"/>
    <mergeCell ref="E263:E267"/>
    <mergeCell ref="G263:G266"/>
    <mergeCell ref="I263:I267"/>
    <mergeCell ref="N263:N267"/>
    <mergeCell ref="O263:O267"/>
    <mergeCell ref="P281:P282"/>
    <mergeCell ref="B283:E283"/>
    <mergeCell ref="B285:E285"/>
    <mergeCell ref="O273:O277"/>
    <mergeCell ref="P273:P277"/>
    <mergeCell ref="G275:G276"/>
    <mergeCell ref="B278:E278"/>
    <mergeCell ref="B280:E280"/>
    <mergeCell ref="B281:B282"/>
    <mergeCell ref="C281:C282"/>
    <mergeCell ref="D281:D282"/>
    <mergeCell ref="E281:E282"/>
    <mergeCell ref="G281:G282"/>
    <mergeCell ref="I281:I282"/>
    <mergeCell ref="N281:N282"/>
    <mergeCell ref="O281:O282"/>
    <mergeCell ref="N273:N277"/>
    <mergeCell ref="P292:P304"/>
    <mergeCell ref="G295:G300"/>
    <mergeCell ref="B305:E305"/>
    <mergeCell ref="B307:E307"/>
    <mergeCell ref="B292:B304"/>
    <mergeCell ref="C292:C304"/>
    <mergeCell ref="D292:D304"/>
    <mergeCell ref="E292:E304"/>
    <mergeCell ref="G292:G294"/>
    <mergeCell ref="I292:I304"/>
    <mergeCell ref="N292:N304"/>
    <mergeCell ref="O292:O304"/>
    <mergeCell ref="P310:P315"/>
    <mergeCell ref="B316:E316"/>
    <mergeCell ref="B317:B319"/>
    <mergeCell ref="C317:C319"/>
    <mergeCell ref="D317:D319"/>
    <mergeCell ref="E317:E319"/>
    <mergeCell ref="G317:G319"/>
    <mergeCell ref="D310:D315"/>
    <mergeCell ref="E310:E315"/>
    <mergeCell ref="G310:G311"/>
    <mergeCell ref="B310:B315"/>
    <mergeCell ref="C310:C315"/>
    <mergeCell ref="I317:I319"/>
    <mergeCell ref="N317:N319"/>
    <mergeCell ref="O317:O319"/>
    <mergeCell ref="P317:P319"/>
    <mergeCell ref="I310:I315"/>
    <mergeCell ref="N310:N315"/>
    <mergeCell ref="O310:O315"/>
    <mergeCell ref="B118:B119"/>
    <mergeCell ref="D118:D119"/>
    <mergeCell ref="E118:E119"/>
    <mergeCell ref="G118:G119"/>
    <mergeCell ref="H118:H119"/>
    <mergeCell ref="O118:O119"/>
    <mergeCell ref="A248:B248"/>
    <mergeCell ref="B324:E324"/>
    <mergeCell ref="B326:E326"/>
    <mergeCell ref="B131:B134"/>
    <mergeCell ref="C131:C134"/>
    <mergeCell ref="D131:D134"/>
    <mergeCell ref="E131:E134"/>
    <mergeCell ref="G131:G134"/>
    <mergeCell ref="H131:H134"/>
    <mergeCell ref="N131:N134"/>
    <mergeCell ref="O136:O142"/>
    <mergeCell ref="G162:G163"/>
    <mergeCell ref="O162:O163"/>
    <mergeCell ref="G165:G170"/>
    <mergeCell ref="H165:H170"/>
    <mergeCell ref="O165:O170"/>
    <mergeCell ref="O185:O191"/>
    <mergeCell ref="O193:O195"/>
    <mergeCell ref="P332:P339"/>
    <mergeCell ref="N351:N357"/>
    <mergeCell ref="O351:O357"/>
    <mergeCell ref="P351:P357"/>
    <mergeCell ref="P359:P360"/>
    <mergeCell ref="P362:P364"/>
    <mergeCell ref="B367:E367"/>
    <mergeCell ref="I372:I374"/>
    <mergeCell ref="B375:E375"/>
    <mergeCell ref="B372:B374"/>
    <mergeCell ref="D372:D374"/>
    <mergeCell ref="E372:E374"/>
    <mergeCell ref="B368:B371"/>
    <mergeCell ref="C368:C371"/>
    <mergeCell ref="D368:D371"/>
    <mergeCell ref="E368:E371"/>
    <mergeCell ref="G368:G371"/>
    <mergeCell ref="I368:I371"/>
    <mergeCell ref="N368:N374"/>
    <mergeCell ref="O368:O374"/>
    <mergeCell ref="N332:N339"/>
    <mergeCell ref="O332:O339"/>
    <mergeCell ref="B340:E340"/>
    <mergeCell ref="N359:N360"/>
    <mergeCell ref="P368:P374"/>
    <mergeCell ref="G372:G374"/>
    <mergeCell ref="B378:B380"/>
    <mergeCell ref="C378:C380"/>
    <mergeCell ref="D378:D380"/>
    <mergeCell ref="E378:E380"/>
    <mergeCell ref="G378:G379"/>
    <mergeCell ref="I378:I380"/>
    <mergeCell ref="N378:N380"/>
    <mergeCell ref="O378:O380"/>
    <mergeCell ref="P378:P380"/>
    <mergeCell ref="B377:E377"/>
    <mergeCell ref="E351:E357"/>
    <mergeCell ref="O362:O364"/>
    <mergeCell ref="B365:E365"/>
    <mergeCell ref="B362:B364"/>
    <mergeCell ref="C362:C364"/>
    <mergeCell ref="D362:D364"/>
    <mergeCell ref="E362:E364"/>
    <mergeCell ref="G362:G364"/>
    <mergeCell ref="I362:I364"/>
    <mergeCell ref="I408:I410"/>
    <mergeCell ref="N408:N410"/>
    <mergeCell ref="O408:O410"/>
    <mergeCell ref="B405:E405"/>
    <mergeCell ref="B172:B179"/>
    <mergeCell ref="C172:C179"/>
    <mergeCell ref="D172:D179"/>
    <mergeCell ref="E172:E179"/>
    <mergeCell ref="G172:G179"/>
    <mergeCell ref="H172:H179"/>
    <mergeCell ref="O172:O179"/>
    <mergeCell ref="B395:E395"/>
    <mergeCell ref="B397:E397"/>
    <mergeCell ref="O359:O360"/>
    <mergeCell ref="B361:E361"/>
    <mergeCell ref="G351:G357"/>
    <mergeCell ref="I351:I357"/>
    <mergeCell ref="B358:E358"/>
    <mergeCell ref="B359:B360"/>
    <mergeCell ref="C359:C360"/>
    <mergeCell ref="D359:D360"/>
    <mergeCell ref="E359:E360"/>
    <mergeCell ref="G359:G360"/>
    <mergeCell ref="I359:I360"/>
    <mergeCell ref="B411:E411"/>
    <mergeCell ref="B185:B191"/>
    <mergeCell ref="C185:C191"/>
    <mergeCell ref="D185:D191"/>
    <mergeCell ref="E185:E191"/>
    <mergeCell ref="G185:G191"/>
    <mergeCell ref="H185:H191"/>
    <mergeCell ref="B193:B195"/>
    <mergeCell ref="C193:C195"/>
    <mergeCell ref="D193:D195"/>
    <mergeCell ref="E193:E195"/>
    <mergeCell ref="G193:G195"/>
    <mergeCell ref="H193:H195"/>
    <mergeCell ref="B197:B199"/>
    <mergeCell ref="D197:D199"/>
    <mergeCell ref="E197:E199"/>
    <mergeCell ref="G197:G199"/>
    <mergeCell ref="B210:B211"/>
    <mergeCell ref="B407:E407"/>
    <mergeCell ref="B408:B410"/>
    <mergeCell ref="C408:C410"/>
    <mergeCell ref="D408:D410"/>
    <mergeCell ref="E408:E410"/>
    <mergeCell ref="G408:G410"/>
    <mergeCell ref="D210:D211"/>
    <mergeCell ref="E210:E211"/>
    <mergeCell ref="G210:G211"/>
    <mergeCell ref="O197:O199"/>
    <mergeCell ref="B203:B204"/>
    <mergeCell ref="D203:D204"/>
    <mergeCell ref="E203:E204"/>
    <mergeCell ref="G203:G204"/>
    <mergeCell ref="O203:O204"/>
    <mergeCell ref="D425:D428"/>
    <mergeCell ref="E425:E428"/>
    <mergeCell ref="G425:G428"/>
    <mergeCell ref="I425:I428"/>
    <mergeCell ref="N425:N428"/>
    <mergeCell ref="O425:O428"/>
    <mergeCell ref="B415:E415"/>
    <mergeCell ref="B417:E417"/>
    <mergeCell ref="B419:E419"/>
    <mergeCell ref="B420:B421"/>
    <mergeCell ref="C420:C421"/>
    <mergeCell ref="D420:D421"/>
    <mergeCell ref="E420:E421"/>
    <mergeCell ref="G420:G421"/>
    <mergeCell ref="I420:I421"/>
    <mergeCell ref="N436:N438"/>
    <mergeCell ref="O436:O438"/>
    <mergeCell ref="B439:E439"/>
    <mergeCell ref="B220:B222"/>
    <mergeCell ref="C220:C222"/>
    <mergeCell ref="D220:D222"/>
    <mergeCell ref="E220:E222"/>
    <mergeCell ref="G220:G222"/>
    <mergeCell ref="H220:H222"/>
    <mergeCell ref="B429:E429"/>
    <mergeCell ref="B431:E431"/>
    <mergeCell ref="B433:E433"/>
    <mergeCell ref="B435:E435"/>
    <mergeCell ref="B436:B438"/>
    <mergeCell ref="C436:C438"/>
    <mergeCell ref="D436:D438"/>
    <mergeCell ref="E436:E438"/>
    <mergeCell ref="I436:I438"/>
    <mergeCell ref="N420:N421"/>
    <mergeCell ref="O420:O421"/>
    <mergeCell ref="B422:E422"/>
    <mergeCell ref="B424:E424"/>
    <mergeCell ref="B425:B428"/>
    <mergeCell ref="C425:C4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89" t="s">
        <v>12</v>
      </c>
      <c r="C6" s="189"/>
      <c r="D6" s="189"/>
      <c r="E6" s="189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89" t="s">
        <v>12</v>
      </c>
      <c r="C9" s="189"/>
      <c r="D9" s="189"/>
      <c r="E9" s="189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89" t="s">
        <v>12</v>
      </c>
      <c r="C12" s="189"/>
      <c r="D12" s="189"/>
      <c r="E12" s="189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2025-03-15T16:01:26Z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