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Master\"/>
    </mc:Choice>
  </mc:AlternateContent>
  <xr:revisionPtr revIDLastSave="0" documentId="13_ncr:1_{D2E56374-7E27-4580-9EAA-F3B52F526F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250115" sheetId="12" r:id="rId1"/>
    <sheet name="Sheet1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4" i="12" l="1"/>
  <c r="I164" i="12"/>
  <c r="J159" i="12"/>
  <c r="I159" i="12"/>
  <c r="J157" i="12"/>
  <c r="I157" i="12"/>
  <c r="I155" i="12"/>
  <c r="J154" i="12"/>
  <c r="J155" i="12" s="1"/>
  <c r="I153" i="12"/>
  <c r="J152" i="12"/>
  <c r="J153" i="12" s="1"/>
  <c r="I151" i="12"/>
  <c r="J150" i="12"/>
  <c r="J151" i="12" s="1"/>
  <c r="J352" i="12" l="1"/>
  <c r="J353" i="12" s="1"/>
  <c r="I352" i="12"/>
  <c r="I353" i="12" s="1"/>
  <c r="I351" i="12"/>
  <c r="J350" i="12"/>
  <c r="J351" i="12" s="1"/>
  <c r="I335" i="12"/>
  <c r="J334" i="12"/>
  <c r="J333" i="12"/>
  <c r="J332" i="12"/>
  <c r="J331" i="12"/>
  <c r="J330" i="12"/>
  <c r="J329" i="12"/>
  <c r="J328" i="12"/>
  <c r="J326" i="12"/>
  <c r="J327" i="12" s="1"/>
  <c r="I326" i="12"/>
  <c r="I327" i="12" s="1"/>
  <c r="H326" i="12"/>
  <c r="J324" i="12"/>
  <c r="H324" i="12"/>
  <c r="J323" i="12"/>
  <c r="H323" i="12"/>
  <c r="J322" i="12"/>
  <c r="I322" i="12"/>
  <c r="I325" i="12" s="1"/>
  <c r="H322" i="12"/>
  <c r="J320" i="12"/>
  <c r="H320" i="12"/>
  <c r="J319" i="12"/>
  <c r="I319" i="12"/>
  <c r="I321" i="12" s="1"/>
  <c r="H319" i="12"/>
  <c r="I318" i="12"/>
  <c r="J317" i="12"/>
  <c r="H317" i="12"/>
  <c r="J316" i="12"/>
  <c r="H316" i="12"/>
  <c r="J315" i="12"/>
  <c r="H315" i="12"/>
  <c r="J314" i="12"/>
  <c r="H314" i="12"/>
  <c r="J313" i="12"/>
  <c r="H313" i="12"/>
  <c r="J312" i="12"/>
  <c r="H312" i="12"/>
  <c r="J311" i="12"/>
  <c r="H311" i="12"/>
  <c r="I310" i="12"/>
  <c r="J309" i="12"/>
  <c r="J310" i="12" s="1"/>
  <c r="I300" i="12"/>
  <c r="J299" i="12"/>
  <c r="J298" i="12"/>
  <c r="J297" i="12"/>
  <c r="J296" i="12"/>
  <c r="J295" i="12"/>
  <c r="J294" i="12"/>
  <c r="J293" i="12"/>
  <c r="J292" i="12"/>
  <c r="J290" i="12"/>
  <c r="J289" i="12"/>
  <c r="I289" i="12"/>
  <c r="I291" i="12" s="1"/>
  <c r="H289" i="12"/>
  <c r="I286" i="12"/>
  <c r="J285" i="12"/>
  <c r="J286" i="12" s="1"/>
  <c r="H285" i="12"/>
  <c r="J250" i="12"/>
  <c r="J251" i="12" s="1"/>
  <c r="I250" i="12"/>
  <c r="I251" i="12" s="1"/>
  <c r="H250" i="12"/>
  <c r="J248" i="12"/>
  <c r="J249" i="12" s="1"/>
  <c r="I248" i="12"/>
  <c r="I249" i="12" s="1"/>
  <c r="H248" i="12"/>
  <c r="J246" i="12"/>
  <c r="J247" i="12" s="1"/>
  <c r="I246" i="12"/>
  <c r="I247" i="12" s="1"/>
  <c r="H246" i="12"/>
  <c r="J244" i="12"/>
  <c r="J245" i="12" s="1"/>
  <c r="I244" i="12"/>
  <c r="I245" i="12" s="1"/>
  <c r="H244" i="12"/>
  <c r="J149" i="12"/>
  <c r="I149" i="12"/>
  <c r="J147" i="12"/>
  <c r="I147" i="12"/>
  <c r="J145" i="12"/>
  <c r="I145" i="12"/>
  <c r="J130" i="12"/>
  <c r="I130" i="12"/>
  <c r="I128" i="12"/>
  <c r="J127" i="12"/>
  <c r="J128" i="12" s="1"/>
  <c r="I126" i="12"/>
  <c r="J125" i="12"/>
  <c r="J126" i="12" s="1"/>
  <c r="I124" i="12"/>
  <c r="J123" i="12"/>
  <c r="J124" i="12" s="1"/>
  <c r="I122" i="12"/>
  <c r="J121" i="12"/>
  <c r="J122" i="12" s="1"/>
  <c r="J120" i="12"/>
  <c r="I120" i="12"/>
  <c r="J117" i="12"/>
  <c r="I117" i="12"/>
  <c r="J318" i="12" l="1"/>
  <c r="J300" i="12"/>
  <c r="J321" i="12"/>
  <c r="J335" i="12"/>
  <c r="J291" i="12"/>
  <c r="J325" i="12"/>
  <c r="I238" i="12"/>
  <c r="J237" i="12"/>
  <c r="H237" i="12"/>
  <c r="J236" i="12"/>
  <c r="J235" i="12"/>
  <c r="H235" i="12"/>
  <c r="J234" i="12"/>
  <c r="H234" i="12"/>
  <c r="J233" i="12"/>
  <c r="H233" i="12"/>
  <c r="J231" i="12"/>
  <c r="J232" i="12" s="1"/>
  <c r="I231" i="12"/>
  <c r="I232" i="12" s="1"/>
  <c r="H231" i="12"/>
  <c r="J219" i="12"/>
  <c r="J220" i="12" s="1"/>
  <c r="I219" i="12"/>
  <c r="I220" i="12" s="1"/>
  <c r="H219" i="12"/>
  <c r="J217" i="12"/>
  <c r="J218" i="12" s="1"/>
  <c r="I217" i="12"/>
  <c r="I218" i="12" s="1"/>
  <c r="H217" i="12"/>
  <c r="I115" i="12"/>
  <c r="J114" i="12"/>
  <c r="J113" i="12"/>
  <c r="J112" i="12"/>
  <c r="J111" i="12"/>
  <c r="J108" i="12"/>
  <c r="I108" i="12"/>
  <c r="I106" i="12"/>
  <c r="J105" i="12"/>
  <c r="J106" i="12" s="1"/>
  <c r="J102" i="12"/>
  <c r="I102" i="12"/>
  <c r="J100" i="12"/>
  <c r="I100" i="12"/>
  <c r="J98" i="12"/>
  <c r="I98" i="12"/>
  <c r="J96" i="12"/>
  <c r="I96" i="12"/>
  <c r="J94" i="12"/>
  <c r="I94" i="12"/>
  <c r="J92" i="12"/>
  <c r="I92" i="12"/>
  <c r="I90" i="12"/>
  <c r="J87" i="12"/>
  <c r="J90" i="12" s="1"/>
  <c r="I86" i="12"/>
  <c r="J85" i="12"/>
  <c r="J84" i="12"/>
  <c r="J83" i="12"/>
  <c r="J82" i="12"/>
  <c r="J81" i="12"/>
  <c r="J80" i="12"/>
  <c r="J79" i="12"/>
  <c r="J78" i="12"/>
  <c r="J77" i="12"/>
  <c r="J76" i="12"/>
  <c r="J75" i="12"/>
  <c r="J73" i="12"/>
  <c r="I68" i="12"/>
  <c r="J67" i="12"/>
  <c r="J68" i="12" s="1"/>
  <c r="I66" i="12"/>
  <c r="J65" i="12"/>
  <c r="J66" i="12" s="1"/>
  <c r="I64" i="12"/>
  <c r="J63" i="12"/>
  <c r="J64" i="12" s="1"/>
  <c r="I62" i="12"/>
  <c r="J61" i="12"/>
  <c r="J60" i="12"/>
  <c r="I59" i="12"/>
  <c r="J58" i="12"/>
  <c r="J59" i="12" s="1"/>
  <c r="I57" i="12"/>
  <c r="J56" i="12"/>
  <c r="J55" i="12"/>
  <c r="J54" i="12"/>
  <c r="I54" i="12"/>
  <c r="J51" i="12"/>
  <c r="I51" i="12"/>
  <c r="J49" i="12"/>
  <c r="I49" i="12"/>
  <c r="J47" i="12"/>
  <c r="I47" i="12"/>
  <c r="J45" i="12"/>
  <c r="I45" i="12"/>
  <c r="J41" i="12"/>
  <c r="I41" i="12"/>
  <c r="J39" i="12"/>
  <c r="I39" i="12"/>
  <c r="J37" i="12"/>
  <c r="I37" i="12"/>
  <c r="I35" i="12"/>
  <c r="J34" i="12"/>
  <c r="J35" i="12" s="1"/>
  <c r="I33" i="12"/>
  <c r="J32" i="12"/>
  <c r="J33" i="12" s="1"/>
  <c r="J31" i="12"/>
  <c r="I31" i="12"/>
  <c r="J29" i="12"/>
  <c r="I29" i="12"/>
  <c r="J27" i="12"/>
  <c r="I27" i="12"/>
  <c r="J25" i="12"/>
  <c r="I25" i="12"/>
  <c r="J22" i="12"/>
  <c r="I22" i="12"/>
  <c r="J20" i="12"/>
  <c r="I20" i="12"/>
  <c r="J18" i="12"/>
  <c r="I18" i="12"/>
  <c r="J16" i="12"/>
  <c r="I16" i="12"/>
  <c r="J14" i="12"/>
  <c r="I14" i="12"/>
  <c r="J12" i="12"/>
  <c r="I12" i="12"/>
  <c r="J10" i="12"/>
  <c r="I10" i="12"/>
  <c r="J8" i="12"/>
  <c r="I8" i="12"/>
  <c r="J86" i="12" l="1"/>
  <c r="J62" i="12"/>
  <c r="J238" i="12"/>
  <c r="J115" i="12"/>
  <c r="J57" i="12"/>
</calcChain>
</file>

<file path=xl/sharedStrings.xml><?xml version="1.0" encoding="utf-8"?>
<sst xmlns="http://schemas.openxmlformats.org/spreadsheetml/2006/main" count="957" uniqueCount="612">
  <si>
    <t>Measurement</t>
  </si>
  <si>
    <t>Estimasi</t>
  </si>
  <si>
    <t>Stuffing</t>
  </si>
  <si>
    <t>Item NO 编号</t>
  </si>
  <si>
    <t>NO RESI 单号</t>
  </si>
  <si>
    <t>MARKING CODE 唛头</t>
  </si>
  <si>
    <t>Receive goods Date 收货日期</t>
  </si>
  <si>
    <t>Description of goods 货物名称</t>
  </si>
  <si>
    <t>Quantity (PCS)                                  数量</t>
  </si>
  <si>
    <t>Gross Weight (KG) 毛重</t>
  </si>
  <si>
    <t>CBM (M3)  立方</t>
  </si>
  <si>
    <t>备注 NOTE</t>
  </si>
  <si>
    <t>TOTAL</t>
  </si>
  <si>
    <t>5</t>
  </si>
  <si>
    <t>1-2</t>
  </si>
  <si>
    <t>2</t>
  </si>
  <si>
    <t>1-4</t>
  </si>
  <si>
    <t>6</t>
  </si>
  <si>
    <t>279/UIE/KK/SEA</t>
  </si>
  <si>
    <t>20</t>
  </si>
  <si>
    <t>279/SY/SEA</t>
  </si>
  <si>
    <t>1</t>
  </si>
  <si>
    <t>9</t>
  </si>
  <si>
    <t>12</t>
  </si>
  <si>
    <t>BRANDED</t>
  </si>
  <si>
    <t>4</t>
  </si>
  <si>
    <t>8</t>
  </si>
  <si>
    <t>15</t>
  </si>
  <si>
    <t>16</t>
  </si>
  <si>
    <t>17</t>
  </si>
  <si>
    <t>3</t>
  </si>
  <si>
    <t>7</t>
  </si>
  <si>
    <t>玩具toy</t>
  </si>
  <si>
    <t>Harga satuan M3 or Kg</t>
  </si>
  <si>
    <t>Total Invoice</t>
  </si>
  <si>
    <t>M3 or Kg</t>
  </si>
  <si>
    <t>MODAL</t>
  </si>
  <si>
    <t>Biaya lain2 / RMB / USD *Kurs Rp.</t>
  </si>
  <si>
    <t>Total Invoice final</t>
  </si>
  <si>
    <t>Status Bayar</t>
  </si>
  <si>
    <t>JUAL</t>
  </si>
  <si>
    <t>Status Bayar Ke FT</t>
  </si>
  <si>
    <t>Biaya lain2 RMB/USD</t>
  </si>
  <si>
    <t>CTN NO</t>
  </si>
  <si>
    <t>279-W99-WJY-AIR</t>
  </si>
  <si>
    <t>279-W99-PNK-AIR</t>
  </si>
  <si>
    <t xml:space="preserve">Tgl. Kirim / No.Paket </t>
  </si>
  <si>
    <t>Hijau barang terkirim, Lunas, beres</t>
  </si>
  <si>
    <t>Barang ready gd JKT</t>
  </si>
  <si>
    <t>By SEA</t>
  </si>
  <si>
    <t>By AIR</t>
  </si>
  <si>
    <t>Perhatian / Ukur ulang / Cek Ulang</t>
  </si>
  <si>
    <t>液体liquid</t>
  </si>
  <si>
    <t>279/W99/MB/SEA</t>
  </si>
  <si>
    <t>制冷剂refrigerant</t>
  </si>
  <si>
    <t>1-12</t>
  </si>
  <si>
    <t>23</t>
  </si>
  <si>
    <t>18</t>
  </si>
  <si>
    <t>燃油泵总成Fuel pump assembly</t>
  </si>
  <si>
    <t>A37</t>
  </si>
  <si>
    <t>1-6</t>
  </si>
  <si>
    <t>5-6</t>
  </si>
  <si>
    <t>279/W99/THS/SEA</t>
  </si>
  <si>
    <t>Ukuran Supplier</t>
  </si>
  <si>
    <t>279/PRIMA/ID/SEA</t>
  </si>
  <si>
    <t>7-8</t>
  </si>
  <si>
    <t>279/W99/ROBIN/SEA</t>
  </si>
  <si>
    <t>鞋子Shoes</t>
  </si>
  <si>
    <t>方向机Steering machine</t>
  </si>
  <si>
    <t>点火线圈Ignition coil</t>
  </si>
  <si>
    <t>刹车灯开关Brake light switch</t>
  </si>
  <si>
    <t>包包bag</t>
  </si>
  <si>
    <t>包包 Bag</t>
  </si>
  <si>
    <t>279/W99/LS/SEA</t>
  </si>
  <si>
    <t>279/YAN/SEA</t>
  </si>
  <si>
    <t>279/W99/AGS/SEA</t>
  </si>
  <si>
    <t>涤纶网布Polyester mesh</t>
  </si>
  <si>
    <t>车载定位器Vehicle locator</t>
  </si>
  <si>
    <t>S0077469</t>
  </si>
  <si>
    <r>
      <t>顺心捷达：</t>
    </r>
    <r>
      <rPr>
        <sz val="14"/>
        <color theme="1"/>
        <rFont val="Comic Sans MS"/>
        <family val="4"/>
      </rPr>
      <t>61339892049</t>
    </r>
  </si>
  <si>
    <t>等</t>
  </si>
  <si>
    <t>F1164
BRANDED
二手</t>
  </si>
  <si>
    <t>退税TR</t>
  </si>
  <si>
    <t>S0078747</t>
  </si>
  <si>
    <r>
      <rPr>
        <sz val="14"/>
        <color theme="1"/>
        <rFont val="宋体"/>
        <charset val="134"/>
      </rPr>
      <t>二手</t>
    </r>
    <r>
      <rPr>
        <sz val="14"/>
        <color theme="1"/>
        <rFont val="Comic Sans MS"/>
        <family val="4"/>
      </rPr>
      <t>second-hand</t>
    </r>
  </si>
  <si>
    <t>8-11</t>
  </si>
  <si>
    <t>S0079625</t>
  </si>
  <si>
    <t>19-20</t>
  </si>
  <si>
    <t>二手second-hand</t>
  </si>
  <si>
    <t>S0080016</t>
  </si>
  <si>
    <t>928926045 /13685522270</t>
  </si>
  <si>
    <t>S0080087</t>
  </si>
  <si>
    <t>610034738795 /15306682036</t>
  </si>
  <si>
    <t>S0080143</t>
  </si>
  <si>
    <t>700824396887 /15057850126</t>
  </si>
  <si>
    <t>S0080526</t>
  </si>
  <si>
    <r>
      <t>顺心捷达：</t>
    </r>
    <r>
      <rPr>
        <sz val="14"/>
        <color theme="1"/>
        <rFont val="Comic Sans MS"/>
        <family val="4"/>
      </rPr>
      <t>61430379029</t>
    </r>
  </si>
  <si>
    <t>鞋子   shoe</t>
  </si>
  <si>
    <t>1-28</t>
  </si>
  <si>
    <t>29-52</t>
  </si>
  <si>
    <t>S0082196</t>
  </si>
  <si>
    <t>10-14</t>
  </si>
  <si>
    <t>电磁阀Solenoid valve</t>
  </si>
  <si>
    <t>包装package</t>
  </si>
  <si>
    <t>S0082276</t>
  </si>
  <si>
    <t>500186691270 /15851971238</t>
  </si>
  <si>
    <t>S0082289</t>
  </si>
  <si>
    <t>750104905459</t>
  </si>
  <si>
    <t>S0082373</t>
  </si>
  <si>
    <t>279/W99/PCM/SEA</t>
  </si>
  <si>
    <t>1-55</t>
  </si>
  <si>
    <t>麦克风支架Microphone stand</t>
  </si>
  <si>
    <t>56-61</t>
  </si>
  <si>
    <t>62</t>
  </si>
  <si>
    <t>麦克风microphone</t>
  </si>
  <si>
    <t>63</t>
  </si>
  <si>
    <t>耳机Headphones</t>
  </si>
  <si>
    <t>64-67</t>
  </si>
  <si>
    <t>68-92</t>
  </si>
  <si>
    <t>92</t>
  </si>
  <si>
    <t>S0082374</t>
  </si>
  <si>
    <t>9-62</t>
  </si>
  <si>
    <t>S0082364</t>
  </si>
  <si>
    <t>18809954899 /15343336588</t>
  </si>
  <si>
    <t>电热塞Electric plug</t>
  </si>
  <si>
    <t>S0082422</t>
  </si>
  <si>
    <t>212416057328</t>
  </si>
  <si>
    <t>S0082597</t>
  </si>
  <si>
    <t>S0082697</t>
  </si>
  <si>
    <r>
      <t>安能：</t>
    </r>
    <r>
      <rPr>
        <sz val="14"/>
        <color theme="1"/>
        <rFont val="Comic Sans MS"/>
        <family val="4"/>
      </rPr>
      <t>500184000868</t>
    </r>
  </si>
  <si>
    <t>1-23</t>
  </si>
  <si>
    <t>S0082803</t>
  </si>
  <si>
    <t>1-185</t>
  </si>
  <si>
    <t>186</t>
  </si>
  <si>
    <t>S0082827</t>
  </si>
  <si>
    <t>餐桌Dining table</t>
  </si>
  <si>
    <t>F1248</t>
  </si>
  <si>
    <t>F1250</t>
  </si>
  <si>
    <t>A0034190</t>
  </si>
  <si>
    <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charset val="134"/>
      </rPr>
      <t>77335161818568</t>
    </r>
  </si>
  <si>
    <t>裤子Trousers</t>
  </si>
  <si>
    <t>B07</t>
  </si>
  <si>
    <t>A0034255</t>
  </si>
  <si>
    <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charset val="134"/>
      </rPr>
      <t>78874789903949</t>
    </r>
  </si>
  <si>
    <t>B18</t>
  </si>
  <si>
    <t>A0034261</t>
  </si>
  <si>
    <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charset val="134"/>
      </rPr>
      <t>78875122323313</t>
    </r>
  </si>
  <si>
    <t>胸针brooch</t>
  </si>
  <si>
    <t>B45</t>
  </si>
  <si>
    <t>A0034284</t>
  </si>
  <si>
    <r>
      <t>JT</t>
    </r>
    <r>
      <rPr>
        <sz val="14"/>
        <color theme="1"/>
        <rFont val="宋体"/>
        <charset val="134"/>
      </rPr>
      <t>极兔：</t>
    </r>
    <r>
      <rPr>
        <sz val="14"/>
        <color theme="1"/>
        <rFont val="Comic Sans MS"/>
        <charset val="134"/>
      </rPr>
      <t>3106758988749</t>
    </r>
  </si>
  <si>
    <t>裙子skirt</t>
  </si>
  <si>
    <t>A69</t>
  </si>
  <si>
    <t>A0034214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</si>
  <si>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0266490892997</t>
    </r>
  </si>
  <si>
    <t>279-W99-DS-AIR</t>
  </si>
  <si>
    <t>B52</t>
  </si>
  <si>
    <t>A0034290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</si>
  <si>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3151298646482</t>
    </r>
  </si>
  <si>
    <t>CUST BAYAR 
退税</t>
  </si>
  <si>
    <t>C14</t>
  </si>
  <si>
    <t>A0034300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</si>
  <si>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0266601088279</t>
    </r>
  </si>
  <si>
    <t>E16</t>
  </si>
  <si>
    <t>A0034331</t>
  </si>
  <si>
    <r>
      <rPr>
        <sz val="14"/>
        <color theme="1"/>
        <rFont val="Comic Sans MS"/>
        <charset val="134"/>
      </rP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charset val="134"/>
      </rPr>
      <t>78875650854011</t>
    </r>
  </si>
  <si>
    <t>瑜伽服yoga clothes</t>
  </si>
  <si>
    <t>E03</t>
  </si>
  <si>
    <t>A0034318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</si>
  <si>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0266656635962</t>
    </r>
  </si>
  <si>
    <r>
      <rPr>
        <sz val="14"/>
        <color theme="1"/>
        <rFont val="宋体"/>
        <charset val="134"/>
      </rPr>
      <t>衣服clothing</t>
    </r>
    <r>
      <rPr>
        <sz val="14"/>
        <color theme="1"/>
        <rFont val="Comic Sans MS"/>
        <charset val="134"/>
      </rPr>
      <t xml:space="preserve"> </t>
    </r>
    <r>
      <rPr>
        <sz val="14"/>
        <color theme="1"/>
        <rFont val="宋体"/>
        <charset val="134"/>
      </rPr>
      <t>包包Bag</t>
    </r>
    <r>
      <rPr>
        <sz val="14"/>
        <color theme="1"/>
        <rFont val="Comic Sans MS"/>
        <charset val="134"/>
      </rPr>
      <t xml:space="preserve"> </t>
    </r>
    <r>
      <rPr>
        <sz val="14"/>
        <color theme="1"/>
        <rFont val="宋体"/>
        <charset val="134"/>
      </rPr>
      <t>红包袋Red envelope bag</t>
    </r>
  </si>
  <si>
    <t>H09</t>
  </si>
  <si>
    <t>A0034365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</si>
  <si>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  1546334104627</t>
    </r>
  </si>
  <si>
    <r>
      <rPr>
        <sz val="14"/>
        <color theme="1"/>
        <rFont val="宋体"/>
        <charset val="134"/>
      </rPr>
      <t>五金配件</t>
    </r>
    <r>
      <rPr>
        <sz val="14"/>
        <color theme="1"/>
        <rFont val="Comic Sans MS"/>
        <charset val="134"/>
      </rPr>
      <t>Hardware accessories</t>
    </r>
  </si>
  <si>
    <t>H10</t>
  </si>
  <si>
    <t>H11</t>
  </si>
  <si>
    <t>H12</t>
  </si>
  <si>
    <t>S0083002</t>
  </si>
  <si>
    <t>5503949 /15880889622</t>
  </si>
  <si>
    <t>279/W99/HOFZ/SEA</t>
  </si>
  <si>
    <t>差速器总成Differential assembly</t>
  </si>
  <si>
    <t>S0083084</t>
  </si>
  <si>
    <t>300598804055 /18957304561</t>
  </si>
  <si>
    <t>279/DNI/SEA</t>
  </si>
  <si>
    <t>充电喷笔Charging stylus</t>
  </si>
  <si>
    <t>S0083193</t>
  </si>
  <si>
    <t>640015522061</t>
  </si>
  <si>
    <t>279/W99/WJY/SEA</t>
  </si>
  <si>
    <t>彩色超声波诊断仪Color ultrasonic diagnostic instrument</t>
  </si>
  <si>
    <t>S0083204</t>
  </si>
  <si>
    <t>7046117 /13868823363</t>
  </si>
  <si>
    <t>继电器relay</t>
  </si>
  <si>
    <t>3-7</t>
  </si>
  <si>
    <t>12-36</t>
  </si>
  <si>
    <t>37-46</t>
  </si>
  <si>
    <t>47-51</t>
  </si>
  <si>
    <t>52-66</t>
  </si>
  <si>
    <t>66</t>
  </si>
  <si>
    <t>S0083352</t>
  </si>
  <si>
    <t>1118655 /15262730846</t>
  </si>
  <si>
    <t>52</t>
  </si>
  <si>
    <t>S0083405</t>
  </si>
  <si>
    <t>1-53</t>
  </si>
  <si>
    <t>54-69</t>
  </si>
  <si>
    <t>S0083449</t>
  </si>
  <si>
    <t>434392031987643  1641  9752  3912 /15252575321</t>
  </si>
  <si>
    <t>279/W99/BA/SEA</t>
  </si>
  <si>
    <t>S0083517</t>
  </si>
  <si>
    <r>
      <t>韵达：</t>
    </r>
    <r>
      <rPr>
        <sz val="14"/>
        <color theme="1"/>
        <rFont val="Comic Sans MS"/>
        <family val="4"/>
      </rPr>
      <t>434392035123675</t>
    </r>
  </si>
  <si>
    <t xml:space="preserve"> </t>
  </si>
  <si>
    <t>A15</t>
  </si>
  <si>
    <t>A0033152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</si>
  <si>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3124188979637</t>
    </r>
  </si>
  <si>
    <t>279-W99-GN184-AIR</t>
  </si>
  <si>
    <t>A21</t>
  </si>
  <si>
    <t>A0033158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</si>
  <si>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1535278636128</t>
    </r>
  </si>
  <si>
    <t>A126</t>
  </si>
  <si>
    <t>A0033216</t>
  </si>
  <si>
    <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family val="4"/>
      </rPr>
      <t>772036135036305</t>
    </r>
  </si>
  <si>
    <t>A132</t>
  </si>
  <si>
    <t>A0033222</t>
  </si>
  <si>
    <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family val="4"/>
      </rPr>
      <t>773331695178193</t>
    </r>
  </si>
  <si>
    <t>A70</t>
  </si>
  <si>
    <t>A0033177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</si>
  <si>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1546334104566</t>
    </r>
  </si>
  <si>
    <t>螺丝screw</t>
  </si>
  <si>
    <t>B31</t>
  </si>
  <si>
    <t>A0033242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</si>
  <si>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0265559274603</t>
    </r>
  </si>
  <si>
    <r>
      <rPr>
        <sz val="14"/>
        <color theme="1"/>
        <rFont val="宋体"/>
        <charset val="134"/>
      </rPr>
      <t>鞋子</t>
    </r>
    <r>
      <rPr>
        <sz val="14"/>
        <color theme="1"/>
        <rFont val="Comic Sans MS"/>
        <family val="4"/>
      </rPr>
      <t xml:space="preserve">   shoe</t>
    </r>
  </si>
  <si>
    <t>B63</t>
  </si>
  <si>
    <t>A0033259</t>
  </si>
  <si>
    <r>
      <rPr>
        <sz val="14"/>
        <color theme="1"/>
        <rFont val="Comic Sans MS"/>
        <family val="4"/>
      </rPr>
      <t>YT</t>
    </r>
    <r>
      <rPr>
        <sz val="14"/>
        <color theme="1"/>
        <rFont val="宋体"/>
        <charset val="134"/>
      </rPr>
      <t>圆通：</t>
    </r>
    <r>
      <rPr>
        <sz val="14"/>
        <color theme="1"/>
        <rFont val="Comic Sans MS"/>
        <family val="4"/>
      </rPr>
      <t>2519221246975</t>
    </r>
  </si>
  <si>
    <t>C29</t>
  </si>
  <si>
    <t>A0033286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</si>
  <si>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1541434167491</t>
    </r>
  </si>
  <si>
    <t>279/W99/GN184/AIR</t>
  </si>
  <si>
    <r>
      <t>运费</t>
    </r>
    <r>
      <rPr>
        <sz val="14"/>
        <color theme="1"/>
        <rFont val="Comic Sans MS"/>
        <family val="4"/>
      </rPr>
      <t>27RMB
BRANDED</t>
    </r>
  </si>
  <si>
    <t>C64</t>
  </si>
  <si>
    <t>A0035014</t>
  </si>
  <si>
    <r>
      <rPr>
        <sz val="14"/>
        <color theme="1"/>
        <rFont val="Comic Sans MS"/>
        <family val="4"/>
      </rPr>
      <t>ZTO</t>
    </r>
    <r>
      <rPr>
        <sz val="14"/>
        <color theme="1"/>
        <rFont val="宋体"/>
        <charset val="134"/>
      </rPr>
      <t>中通</t>
    </r>
    <r>
      <rPr>
        <sz val="14"/>
        <color theme="1"/>
        <rFont val="Comic Sans MS"/>
        <family val="4"/>
      </rPr>
      <t>:75938546808210</t>
    </r>
  </si>
  <si>
    <t>C65</t>
  </si>
  <si>
    <r>
      <rPr>
        <sz val="14"/>
        <color theme="1"/>
        <rFont val="Comic Sans MS"/>
        <family val="4"/>
      </rP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family val="4"/>
      </rPr>
      <t>434354152162018</t>
    </r>
  </si>
  <si>
    <t>C120</t>
  </si>
  <si>
    <t>A0035035</t>
  </si>
  <si>
    <r>
      <rPr>
        <sz val="14"/>
        <color theme="1"/>
        <rFont val="Comic Sans MS"/>
        <family val="4"/>
      </rP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family val="4"/>
      </rPr>
      <t>772036235750093</t>
    </r>
  </si>
  <si>
    <t>C127</t>
  </si>
  <si>
    <t>A0035041</t>
  </si>
  <si>
    <r>
      <rPr>
        <sz val="14"/>
        <color theme="1"/>
        <rFont val="Comic Sans MS"/>
        <family val="4"/>
      </rPr>
      <t>JDX</t>
    </r>
    <r>
      <rPr>
        <sz val="14"/>
        <color theme="1"/>
        <rFont val="宋体"/>
        <charset val="134"/>
      </rPr>
      <t>京东：</t>
    </r>
    <r>
      <rPr>
        <sz val="14"/>
        <color theme="1"/>
        <rFont val="Comic Sans MS"/>
        <family val="4"/>
      </rPr>
      <t>035663821950</t>
    </r>
  </si>
  <si>
    <t>C69</t>
  </si>
  <si>
    <t>A0035017</t>
  </si>
  <si>
    <r>
      <rPr>
        <sz val="14"/>
        <color theme="1"/>
        <rFont val="Comic Sans MS"/>
        <family val="4"/>
      </rPr>
      <t>JYM</t>
    </r>
    <r>
      <rPr>
        <sz val="14"/>
        <color theme="1"/>
        <rFont val="宋体"/>
        <charset val="134"/>
      </rPr>
      <t>加运美</t>
    </r>
    <r>
      <rPr>
        <sz val="14"/>
        <color theme="1"/>
        <rFont val="Comic Sans MS"/>
        <family val="4"/>
      </rPr>
      <t>:188022107514</t>
    </r>
  </si>
  <si>
    <t>279/W99/RH/AIR</t>
  </si>
  <si>
    <t>E17</t>
  </si>
  <si>
    <t>A0033301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</si>
  <si>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1528059335437</t>
    </r>
  </si>
  <si>
    <t>E21</t>
  </si>
  <si>
    <t>A0033305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</si>
  <si>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1542337495491</t>
    </r>
  </si>
  <si>
    <t>F55</t>
  </si>
  <si>
    <t>A0033428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</si>
  <si>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:3154262725173</t>
    </r>
  </si>
  <si>
    <t>279/W99/HARIS/AIR</t>
  </si>
  <si>
    <t>胶轮Rubber wheel</t>
  </si>
  <si>
    <t>H32</t>
  </si>
  <si>
    <t>A0033468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</si>
  <si>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0265765867765</t>
    </r>
  </si>
  <si>
    <t>279/W99/WJY/AIR</t>
  </si>
  <si>
    <t>锁定钉Locking nail</t>
  </si>
  <si>
    <t>F35</t>
  </si>
  <si>
    <t>A0033411</t>
  </si>
  <si>
    <r>
      <rPr>
        <sz val="14"/>
        <color theme="1"/>
        <rFont val="Comic Sans MS"/>
        <family val="4"/>
      </rP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family val="4"/>
      </rPr>
      <t>78870945661286</t>
    </r>
  </si>
  <si>
    <t>279-W99-GN217-AIR</t>
  </si>
  <si>
    <t>F64</t>
  </si>
  <si>
    <t>A0033435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</si>
  <si>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:3148005344204</t>
    </r>
  </si>
  <si>
    <t>F65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</si>
  <si>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:0265731754328</t>
    </r>
  </si>
  <si>
    <t>F66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</si>
  <si>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:3124985839216</t>
    </r>
  </si>
  <si>
    <t>H33</t>
  </si>
  <si>
    <t>A0033469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</si>
  <si>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1544310568013</t>
    </r>
  </si>
  <si>
    <t>279/W99/GM184/AIR</t>
  </si>
  <si>
    <t>L11</t>
  </si>
  <si>
    <t>A0033527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</si>
  <si>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3143165434188</t>
    </r>
  </si>
  <si>
    <r>
      <rPr>
        <sz val="14"/>
        <color theme="1"/>
        <rFont val="宋体"/>
        <charset val="134"/>
      </rPr>
      <t>运费19</t>
    </r>
    <r>
      <rPr>
        <sz val="14"/>
        <color theme="1"/>
        <rFont val="Comic Sans MS"/>
        <charset val="134"/>
      </rPr>
      <t>RMB</t>
    </r>
  </si>
  <si>
    <t>L78</t>
  </si>
  <si>
    <t>A0033574</t>
  </si>
  <si>
    <r>
      <rPr>
        <sz val="14"/>
        <color theme="1"/>
        <rFont val="Comic Sans MS"/>
        <charset val="134"/>
      </rP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charset val="134"/>
      </rPr>
      <t>772036464705255</t>
    </r>
  </si>
  <si>
    <t>L43</t>
  </si>
  <si>
    <t>A0033551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</si>
  <si>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0265863797787</t>
    </r>
  </si>
  <si>
    <t>2N1
BRANDED</t>
  </si>
  <si>
    <t>L44</t>
  </si>
  <si>
    <t>P04</t>
  </si>
  <si>
    <t>A0033605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</si>
  <si>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3145565208944</t>
    </r>
  </si>
  <si>
    <t>骨科植入物Orthopedic Implants</t>
  </si>
  <si>
    <t>SUPPLIER BAYAR 
退税</t>
  </si>
  <si>
    <t>P05</t>
  </si>
  <si>
    <t>P12</t>
  </si>
  <si>
    <t>A0033612</t>
  </si>
  <si>
    <r>
      <rPr>
        <sz val="14"/>
        <color theme="1"/>
        <rFont val="Comic Sans MS"/>
        <charset val="134"/>
      </rPr>
      <t>DPK</t>
    </r>
    <r>
      <rPr>
        <sz val="14"/>
        <color theme="1"/>
        <rFont val="宋体"/>
        <charset val="134"/>
      </rPr>
      <t>德邦：</t>
    </r>
    <r>
      <rPr>
        <sz val="14"/>
        <color theme="1"/>
        <rFont val="Comic Sans MS"/>
        <charset val="134"/>
      </rPr>
      <t>202482303877</t>
    </r>
  </si>
  <si>
    <t>279-WYS-BEN-AIR</t>
  </si>
  <si>
    <r>
      <rPr>
        <sz val="14"/>
        <color theme="1"/>
        <rFont val="宋体"/>
        <charset val="134"/>
      </rPr>
      <t>运费51</t>
    </r>
    <r>
      <rPr>
        <sz val="14"/>
        <color theme="1"/>
        <rFont val="Comic Sans MS"/>
        <charset val="134"/>
      </rPr>
      <t>RMB</t>
    </r>
  </si>
  <si>
    <t>R97</t>
  </si>
  <si>
    <t>A0033770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</si>
  <si>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3137643174147</t>
    </r>
  </si>
  <si>
    <r>
      <rPr>
        <sz val="14"/>
        <color theme="1"/>
        <rFont val="宋体"/>
        <charset val="134"/>
      </rPr>
      <t>人造关节Artificial joint</t>
    </r>
    <r>
      <rPr>
        <sz val="14"/>
        <color theme="1"/>
        <rFont val="Comic Sans MS"/>
        <charset val="134"/>
      </rPr>
      <t xml:space="preserve"> </t>
    </r>
    <r>
      <rPr>
        <sz val="14"/>
        <color theme="1"/>
        <rFont val="宋体"/>
        <charset val="134"/>
      </rPr>
      <t>手术工具Surgical tools</t>
    </r>
  </si>
  <si>
    <r>
      <rPr>
        <sz val="14"/>
        <color theme="1"/>
        <rFont val="Comic Sans MS"/>
        <charset val="134"/>
      </rPr>
      <t xml:space="preserve">CUST BAYAR  </t>
    </r>
    <r>
      <rPr>
        <sz val="14"/>
        <color theme="1"/>
        <rFont val="宋体"/>
        <charset val="134"/>
      </rPr>
      <t>退税</t>
    </r>
  </si>
  <si>
    <t>R98</t>
  </si>
  <si>
    <t>S11</t>
  </si>
  <si>
    <t>A0033840</t>
  </si>
  <si>
    <r>
      <rPr>
        <sz val="14"/>
        <color theme="1"/>
        <rFont val="Comic Sans MS"/>
        <charset val="134"/>
      </rPr>
      <t>JDX</t>
    </r>
    <r>
      <rPr>
        <sz val="14"/>
        <color theme="1"/>
        <rFont val="宋体"/>
        <charset val="134"/>
      </rPr>
      <t>京东：</t>
    </r>
    <r>
      <rPr>
        <sz val="14"/>
        <color theme="1"/>
        <rFont val="Comic Sans MS"/>
        <charset val="134"/>
      </rPr>
      <t>035910299623</t>
    </r>
  </si>
  <si>
    <t>279-W99-DANIEL-AIR</t>
  </si>
  <si>
    <t>车载摆件Car ornaments</t>
  </si>
  <si>
    <t>S12</t>
  </si>
  <si>
    <t>A0033841</t>
  </si>
  <si>
    <t>279-W99-JLS-AIR</t>
  </si>
  <si>
    <t>刺绣摆件Embroidered ornaments</t>
  </si>
  <si>
    <t>T09</t>
  </si>
  <si>
    <t>A0033854</t>
  </si>
  <si>
    <r>
      <rPr>
        <sz val="14"/>
        <color theme="1"/>
        <rFont val="Comic Sans MS"/>
        <charset val="134"/>
      </rPr>
      <t>ZTO</t>
    </r>
    <r>
      <rPr>
        <sz val="14"/>
        <color theme="1"/>
        <rFont val="宋体"/>
        <charset val="134"/>
      </rPr>
      <t>中通</t>
    </r>
    <r>
      <rPr>
        <sz val="14"/>
        <color theme="1"/>
        <rFont val="Comic Sans MS"/>
        <charset val="134"/>
      </rPr>
      <t>:73542587634743</t>
    </r>
  </si>
  <si>
    <t>279-W99-GN218-AIR</t>
  </si>
  <si>
    <t xml:space="preserve">五金配件Hardware accessories </t>
  </si>
  <si>
    <t>T99</t>
  </si>
  <si>
    <t>A0033916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</si>
  <si>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1529458155032</t>
    </r>
  </si>
  <si>
    <t>279/W99/NOER/AIR</t>
  </si>
  <si>
    <r>
      <rPr>
        <sz val="14"/>
        <color theme="1"/>
        <rFont val="宋体"/>
        <charset val="134"/>
      </rPr>
      <t>升温毯</t>
    </r>
    <r>
      <rPr>
        <sz val="14"/>
        <color theme="1"/>
        <rFont val="Comic Sans MS"/>
        <charset val="134"/>
      </rPr>
      <t>Heating blanket</t>
    </r>
  </si>
  <si>
    <r>
      <t>运费</t>
    </r>
    <r>
      <rPr>
        <sz val="14"/>
        <color theme="1"/>
        <rFont val="Comic Sans MS"/>
        <charset val="134"/>
      </rPr>
      <t>27RMB</t>
    </r>
  </si>
  <si>
    <r>
      <rPr>
        <sz val="14"/>
        <color theme="1"/>
        <rFont val="Comic Sans MS"/>
        <charset val="134"/>
      </rPr>
      <t xml:space="preserve">CUST BAYAR 
</t>
    </r>
    <r>
      <rPr>
        <sz val="14"/>
        <color theme="1"/>
        <rFont val="宋体"/>
        <charset val="134"/>
      </rPr>
      <t>退税</t>
    </r>
  </si>
  <si>
    <t>T148</t>
  </si>
  <si>
    <t>A0033959</t>
  </si>
  <si>
    <t>279-W99-NOER-AIR</t>
  </si>
  <si>
    <r>
      <rPr>
        <sz val="14"/>
        <color theme="1"/>
        <rFont val="宋体"/>
        <charset val="134"/>
      </rPr>
      <t>小热风机</t>
    </r>
    <r>
      <rPr>
        <sz val="14"/>
        <color theme="1"/>
        <rFont val="Comic Sans MS"/>
        <charset val="134"/>
      </rPr>
      <t>Small hot air blower</t>
    </r>
  </si>
  <si>
    <r>
      <rPr>
        <sz val="14"/>
        <color theme="1"/>
        <rFont val="宋体"/>
        <charset val="134"/>
      </rPr>
      <t>安能：</t>
    </r>
    <r>
      <rPr>
        <sz val="14"/>
        <color theme="1"/>
        <rFont val="Comic Sans MS"/>
        <charset val="134"/>
      </rPr>
      <t>500184000868</t>
    </r>
  </si>
  <si>
    <t>V31</t>
  </si>
  <si>
    <t>A0033987</t>
  </si>
  <si>
    <t>279-W99-IRN-AIR</t>
  </si>
  <si>
    <t>上衣  tops   裙子skirt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</si>
  <si>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</si>
  <si>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</si>
  <si>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</si>
  <si>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</si>
  <si>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</si>
  <si>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</si>
  <si>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</si>
  <si>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</si>
  <si>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</si>
  <si>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</si>
  <si>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E13</t>
  </si>
  <si>
    <t>A0032247</t>
  </si>
  <si>
    <r>
      <rPr>
        <sz val="14"/>
        <color theme="1"/>
        <rFont val="Comic Sans MS"/>
        <charset val="134"/>
      </rPr>
      <t>UC</t>
    </r>
    <r>
      <rPr>
        <sz val="14"/>
        <color theme="1"/>
        <rFont val="宋体"/>
        <charset val="134"/>
      </rPr>
      <t>优速：</t>
    </r>
    <r>
      <rPr>
        <sz val="14"/>
        <color theme="1"/>
        <rFont val="Comic Sans MS"/>
        <charset val="134"/>
      </rPr>
      <t>519211802399</t>
    </r>
  </si>
  <si>
    <t>279-DX-AIR</t>
  </si>
  <si>
    <t>智能家居Smart Home</t>
  </si>
  <si>
    <r>
      <rPr>
        <sz val="14"/>
        <color theme="1"/>
        <rFont val="宋体"/>
        <charset val="134"/>
      </rPr>
      <t>运费</t>
    </r>
    <r>
      <rPr>
        <sz val="14"/>
        <color theme="1"/>
        <rFont val="Comic Sans MS"/>
        <charset val="134"/>
      </rPr>
      <t>10RMB</t>
    </r>
  </si>
  <si>
    <t>SUPPLIER BAYAR 
退税
3N1</t>
  </si>
  <si>
    <t>V134</t>
  </si>
  <si>
    <t>A0034059</t>
  </si>
  <si>
    <r>
      <t>UC</t>
    </r>
    <r>
      <rPr>
        <sz val="14"/>
        <color theme="1"/>
        <rFont val="宋体"/>
        <charset val="134"/>
      </rPr>
      <t>优速：</t>
    </r>
    <r>
      <rPr>
        <sz val="14"/>
        <color theme="1"/>
        <rFont val="Comic Sans MS"/>
        <charset val="134"/>
      </rPr>
      <t>519211802391</t>
    </r>
  </si>
  <si>
    <r>
      <t>运费22</t>
    </r>
    <r>
      <rPr>
        <sz val="14"/>
        <color theme="1"/>
        <rFont val="Comic Sans MS"/>
        <charset val="134"/>
      </rPr>
      <t>RMB</t>
    </r>
  </si>
  <si>
    <t>V135</t>
  </si>
  <si>
    <t>A23</t>
  </si>
  <si>
    <t>A0034176</t>
  </si>
  <si>
    <r>
      <t>JDL</t>
    </r>
    <r>
      <rPr>
        <sz val="14"/>
        <color theme="1"/>
        <rFont val="宋体"/>
        <charset val="134"/>
      </rPr>
      <t>京东：</t>
    </r>
    <r>
      <rPr>
        <sz val="14"/>
        <color theme="1"/>
        <rFont val="Comic Sans MS"/>
        <charset val="134"/>
      </rPr>
      <t>036113413013</t>
    </r>
  </si>
  <si>
    <t>279-W99-KA-FR-AIR</t>
  </si>
  <si>
    <t>S0081553</t>
  </si>
  <si>
    <r>
      <t>韵达：</t>
    </r>
    <r>
      <rPr>
        <sz val="14"/>
        <color theme="1"/>
        <rFont val="Comic Sans MS"/>
        <family val="4"/>
      </rPr>
      <t>930919613</t>
    </r>
  </si>
  <si>
    <t>1-14</t>
  </si>
  <si>
    <t>F1251
BRANDED
二手second-hand</t>
  </si>
  <si>
    <t>14</t>
  </si>
  <si>
    <t>S0081557</t>
  </si>
  <si>
    <r>
      <t>跨越：</t>
    </r>
    <r>
      <rPr>
        <sz val="14"/>
        <color theme="1"/>
        <rFont val="Comic Sans MS"/>
        <family val="4"/>
      </rPr>
      <t>4000553870737</t>
    </r>
  </si>
  <si>
    <t>279/W99/MBILLY/SEA</t>
  </si>
  <si>
    <t>立式皮秒Vertical picosecond</t>
  </si>
  <si>
    <t>F1237
退税TR</t>
  </si>
  <si>
    <t>导光臂Light guide arm</t>
  </si>
  <si>
    <t>激光美容仪Laser beauty instrument</t>
  </si>
  <si>
    <t>激光嫩肤仪Laser skin rejuvenation instrument</t>
  </si>
  <si>
    <t>S0081522</t>
  </si>
  <si>
    <t>109775999990</t>
  </si>
  <si>
    <t>1-150</t>
  </si>
  <si>
    <r>
      <t>F1237
实收</t>
    </r>
    <r>
      <rPr>
        <sz val="14"/>
        <color theme="1"/>
        <rFont val="Comic Sans MS"/>
        <family val="4"/>
      </rPr>
      <t>220</t>
    </r>
    <r>
      <rPr>
        <sz val="14"/>
        <color theme="1"/>
        <rFont val="宋体"/>
        <charset val="134"/>
      </rPr>
      <t>件，差</t>
    </r>
    <r>
      <rPr>
        <sz val="14"/>
        <color theme="1"/>
        <rFont val="Comic Sans MS"/>
        <family val="4"/>
      </rPr>
      <t>2</t>
    </r>
    <r>
      <rPr>
        <sz val="14"/>
        <color theme="1"/>
        <rFont val="宋体"/>
        <charset val="134"/>
      </rPr>
      <t>件
BRANDED
二手second-hand</t>
    </r>
  </si>
  <si>
    <t>150</t>
  </si>
  <si>
    <t>151-222</t>
  </si>
  <si>
    <r>
      <t>F1238
实收</t>
    </r>
    <r>
      <rPr>
        <sz val="14"/>
        <color theme="1"/>
        <rFont val="Comic Sans MS"/>
        <family val="4"/>
      </rPr>
      <t>220</t>
    </r>
    <r>
      <rPr>
        <sz val="14"/>
        <color theme="1"/>
        <rFont val="宋体"/>
        <charset val="134"/>
      </rPr>
      <t>件，差</t>
    </r>
    <r>
      <rPr>
        <sz val="14"/>
        <color theme="1"/>
        <rFont val="Comic Sans MS"/>
        <family val="4"/>
      </rPr>
      <t>2</t>
    </r>
    <r>
      <rPr>
        <sz val="14"/>
        <color theme="1"/>
        <rFont val="宋体"/>
        <charset val="134"/>
      </rPr>
      <t>件
BRANDED
二手second-hand</t>
    </r>
  </si>
  <si>
    <t>72</t>
  </si>
  <si>
    <t>1-222</t>
  </si>
  <si>
    <r>
      <t>实收</t>
    </r>
    <r>
      <rPr>
        <sz val="14"/>
        <color theme="1"/>
        <rFont val="Comic Sans MS"/>
        <family val="4"/>
      </rPr>
      <t>220</t>
    </r>
    <r>
      <rPr>
        <sz val="14"/>
        <color theme="1"/>
        <rFont val="宋体"/>
        <charset val="134"/>
      </rPr>
      <t>件，差</t>
    </r>
    <r>
      <rPr>
        <sz val="14"/>
        <color theme="1"/>
        <rFont val="Comic Sans MS"/>
        <family val="4"/>
      </rPr>
      <t>2</t>
    </r>
    <r>
      <rPr>
        <sz val="14"/>
        <color theme="1"/>
        <rFont val="宋体"/>
        <charset val="134"/>
      </rPr>
      <t>件
BRANDED
二手second-hand</t>
    </r>
  </si>
  <si>
    <t>222</t>
  </si>
  <si>
    <t>S0081670</t>
  </si>
  <si>
    <t>24120736 13958821691</t>
  </si>
  <si>
    <t>279/HOQ/SEA</t>
  </si>
  <si>
    <t>钢管Steel tube</t>
  </si>
  <si>
    <t>F1238</t>
  </si>
  <si>
    <t>阀门valve</t>
  </si>
  <si>
    <t>S0081609</t>
  </si>
  <si>
    <t>279/W99/P51/SEA</t>
  </si>
  <si>
    <t>1-10</t>
  </si>
  <si>
    <t>鸭羽毛Duck feather</t>
  </si>
  <si>
    <r>
      <t>运费</t>
    </r>
    <r>
      <rPr>
        <sz val="14"/>
        <color theme="1"/>
        <rFont val="Comic Sans MS"/>
        <family val="4"/>
      </rPr>
      <t>180RMB</t>
    </r>
  </si>
  <si>
    <t>10</t>
  </si>
  <si>
    <t>S0081814</t>
  </si>
  <si>
    <t>1-107</t>
  </si>
  <si>
    <t>107</t>
  </si>
  <si>
    <t>S0081983</t>
  </si>
  <si>
    <t>020-34900437</t>
  </si>
  <si>
    <t>PRIMA/ID/SEA</t>
  </si>
  <si>
    <t>电热水壶Electric kettle</t>
  </si>
  <si>
    <t>F1246</t>
  </si>
  <si>
    <t>电热水壶托盘Electric kettle tray</t>
  </si>
  <si>
    <t>53-55</t>
  </si>
  <si>
    <t>茶叶盒Tea caddy</t>
  </si>
  <si>
    <t>56</t>
  </si>
  <si>
    <t>57-68</t>
  </si>
  <si>
    <t>电吹风Electric hair dryer</t>
  </si>
  <si>
    <t>68</t>
  </si>
  <si>
    <t>S0082123</t>
  </si>
  <si>
    <r>
      <rPr>
        <sz val="14"/>
        <color theme="1"/>
        <rFont val="宋体"/>
        <charset val="134"/>
      </rPr>
      <t>岚骏速运</t>
    </r>
    <r>
      <rPr>
        <sz val="14"/>
        <color theme="1"/>
        <rFont val="Comic Sans MS"/>
        <family val="4"/>
      </rPr>
      <t xml:space="preserve"> 20366481</t>
    </r>
  </si>
  <si>
    <t>279/W99/SF/SEA</t>
  </si>
  <si>
    <t>灯串String of lights</t>
  </si>
  <si>
    <t>S0082146</t>
  </si>
  <si>
    <r>
      <t>顺丰</t>
    </r>
    <r>
      <rPr>
        <sz val="14"/>
        <color theme="1"/>
        <rFont val="Comic Sans MS"/>
        <family val="4"/>
      </rPr>
      <t>:0265939257013</t>
    </r>
  </si>
  <si>
    <t>零食snack</t>
  </si>
  <si>
    <t>F1246
粉末powder</t>
  </si>
  <si>
    <t>S0082157</t>
  </si>
  <si>
    <t>201-400</t>
  </si>
  <si>
    <t>F1253
液体liquid</t>
  </si>
  <si>
    <t>200</t>
  </si>
  <si>
    <t>401-550</t>
  </si>
  <si>
    <t>F1254
液体liquid</t>
  </si>
  <si>
    <t>1-200</t>
  </si>
  <si>
    <t>F1250
液体liquid</t>
  </si>
  <si>
    <t>551-750</t>
  </si>
  <si>
    <t>F1256
液体liquid</t>
  </si>
  <si>
    <r>
      <rPr>
        <sz val="14"/>
        <color theme="1"/>
        <rFont val="宋体"/>
        <charset val="134"/>
      </rPr>
      <t>安能：</t>
    </r>
    <r>
      <rPr>
        <sz val="14"/>
        <color theme="1"/>
        <rFont val="Comic Sans MS"/>
        <family val="4"/>
      </rPr>
      <t>500198233675</t>
    </r>
  </si>
  <si>
    <t>F1250
退税TR</t>
  </si>
  <si>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family val="4"/>
      </rPr>
      <t>73542227868937</t>
    </r>
  </si>
  <si>
    <r>
      <rPr>
        <sz val="14"/>
        <color theme="1"/>
        <rFont val="宋体"/>
        <charset val="134"/>
      </rPr>
      <t>传感器</t>
    </r>
    <r>
      <rPr>
        <sz val="14"/>
        <color theme="1"/>
        <rFont val="Comic Sans MS"/>
        <family val="4"/>
      </rPr>
      <t xml:space="preserve">sensor   </t>
    </r>
  </si>
  <si>
    <t>BY SEA</t>
  </si>
  <si>
    <t>BY AIR</t>
  </si>
  <si>
    <t>M09</t>
  </si>
  <si>
    <t>A0034383</t>
  </si>
  <si>
    <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:1547998617526</t>
    </r>
  </si>
  <si>
    <t>279/W99/GN218/AIR</t>
  </si>
  <si>
    <r>
      <rPr>
        <sz val="14"/>
        <color theme="1"/>
        <rFont val="宋体"/>
        <charset val="134"/>
      </rPr>
      <t>手表</t>
    </r>
    <r>
      <rPr>
        <sz val="14"/>
        <color theme="1"/>
        <rFont val="Comic Sans MS"/>
        <charset val="134"/>
      </rPr>
      <t>Wrist watch</t>
    </r>
  </si>
  <si>
    <r>
      <rPr>
        <sz val="14"/>
        <color theme="1"/>
        <rFont val="宋体"/>
        <charset val="134"/>
      </rPr>
      <t>运费</t>
    </r>
    <r>
      <rPr>
        <sz val="14"/>
        <color theme="1"/>
        <rFont val="Comic Sans MS"/>
        <charset val="134"/>
      </rPr>
      <t>20RMB</t>
    </r>
  </si>
  <si>
    <t>M59</t>
  </si>
  <si>
    <t>A0035072</t>
  </si>
  <si>
    <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:15493453681953</t>
    </r>
  </si>
  <si>
    <t>M60</t>
  </si>
  <si>
    <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:0267145765069</t>
    </r>
  </si>
  <si>
    <t>M30</t>
  </si>
  <si>
    <t>A0035052</t>
  </si>
  <si>
    <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:3153679271470</t>
    </r>
  </si>
  <si>
    <t>W99/GN218/AIR</t>
  </si>
  <si>
    <t>S13</t>
  </si>
  <si>
    <t>A0034534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</si>
  <si>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1537551632260</t>
    </r>
  </si>
  <si>
    <t>W52</t>
  </si>
  <si>
    <t>A0034709</t>
  </si>
  <si>
    <r>
      <rPr>
        <sz val="14"/>
        <color theme="1"/>
        <rFont val="Comic Sans MS"/>
        <charset val="134"/>
      </rPr>
      <t>DPK</t>
    </r>
    <r>
      <rPr>
        <sz val="14"/>
        <color theme="1"/>
        <rFont val="宋体"/>
        <charset val="134"/>
      </rPr>
      <t>德邦</t>
    </r>
    <r>
      <rPr>
        <sz val="14"/>
        <color theme="1"/>
        <rFont val="Comic Sans MS"/>
        <charset val="134"/>
      </rPr>
      <t>:202498532259</t>
    </r>
  </si>
  <si>
    <t>279-W99-GN220-AIR</t>
  </si>
  <si>
    <t>自行车bicycle</t>
  </si>
  <si>
    <t>X45</t>
  </si>
  <si>
    <t>A0034756</t>
  </si>
  <si>
    <r>
      <rPr>
        <sz val="14"/>
        <color theme="1"/>
        <rFont val="Comic Sans MS"/>
        <charset val="134"/>
      </rP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charset val="134"/>
      </rPr>
      <t>73544788285596</t>
    </r>
  </si>
  <si>
    <t>279-W99-HW-AIR</t>
  </si>
  <si>
    <t>茶叶tea</t>
  </si>
  <si>
    <t>S0083958</t>
  </si>
  <si>
    <t>519207851223</t>
  </si>
  <si>
    <t>279/DX/SEA</t>
  </si>
  <si>
    <t>1-3</t>
  </si>
  <si>
    <t>智能家居Smart home</t>
  </si>
  <si>
    <t>S0083970</t>
  </si>
  <si>
    <t>GD25-02-11-0001 /18024591120</t>
  </si>
  <si>
    <r>
      <rPr>
        <sz val="14"/>
        <color theme="1"/>
        <rFont val="Comic Sans MS"/>
        <charset val="134"/>
      </rPr>
      <t>LED</t>
    </r>
    <r>
      <rPr>
        <sz val="14"/>
        <color theme="1"/>
        <rFont val="宋体"/>
        <charset val="134"/>
      </rPr>
      <t>灯具</t>
    </r>
    <r>
      <rPr>
        <sz val="14"/>
        <color theme="1"/>
        <rFont val="Comic Sans MS"/>
        <charset val="134"/>
      </rPr>
      <t>LED luminaire</t>
    </r>
  </si>
  <si>
    <t>3-4</t>
  </si>
  <si>
    <t>S0084123</t>
  </si>
  <si>
    <t>109922969111 /18111611101</t>
  </si>
  <si>
    <t>279/W99/TNT/SEA</t>
  </si>
  <si>
    <t>S0083927</t>
  </si>
  <si>
    <r>
      <rPr>
        <sz val="14"/>
        <color theme="1"/>
        <rFont val="宋体"/>
        <charset val="134"/>
      </rPr>
      <t>壹米滴答：</t>
    </r>
    <r>
      <rPr>
        <sz val="14"/>
        <color theme="1"/>
        <rFont val="Comic Sans MS"/>
        <charset val="134"/>
      </rPr>
      <t>109921861511</t>
    </r>
  </si>
  <si>
    <t>279/W99/ROBERT/SEA</t>
  </si>
  <si>
    <t>轮胎tyre</t>
  </si>
  <si>
    <r>
      <rPr>
        <sz val="14"/>
        <color theme="1"/>
        <rFont val="宋体"/>
        <charset val="134"/>
      </rPr>
      <t>运费</t>
    </r>
    <r>
      <rPr>
        <sz val="14"/>
        <color theme="1"/>
        <rFont val="Comic Sans MS"/>
        <charset val="134"/>
      </rPr>
      <t>2200RMB</t>
    </r>
  </si>
  <si>
    <t>先不走</t>
  </si>
  <si>
    <t>A04</t>
  </si>
  <si>
    <t>A0034784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</si>
  <si>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0267709359499</t>
    </r>
  </si>
  <si>
    <t>A19</t>
  </si>
  <si>
    <t>A0034794</t>
  </si>
  <si>
    <r>
      <rPr>
        <sz val="14"/>
        <color theme="1"/>
        <rFont val="Comic Sans MS"/>
        <charset val="134"/>
      </rPr>
      <t>LHT</t>
    </r>
    <r>
      <rPr>
        <sz val="14"/>
        <color theme="1"/>
        <rFont val="宋体"/>
        <charset val="134"/>
      </rPr>
      <t>联昊通：</t>
    </r>
    <r>
      <rPr>
        <sz val="14"/>
        <color theme="1"/>
        <rFont val="Comic Sans MS"/>
        <charset val="134"/>
      </rPr>
      <t>901446273786</t>
    </r>
  </si>
  <si>
    <r>
      <rPr>
        <sz val="14"/>
        <color theme="1"/>
        <rFont val="Comic Sans MS"/>
        <charset val="134"/>
      </rPr>
      <t>LED</t>
    </r>
    <r>
      <rPr>
        <sz val="14"/>
        <color theme="1"/>
        <rFont val="宋体"/>
        <charset val="134"/>
      </rPr>
      <t>灯</t>
    </r>
    <r>
      <rPr>
        <sz val="14"/>
        <color theme="1"/>
        <rFont val="Comic Sans MS"/>
        <charset val="134"/>
      </rPr>
      <t>LED lamp</t>
    </r>
  </si>
  <si>
    <r>
      <rPr>
        <sz val="14"/>
        <color theme="1"/>
        <rFont val="宋体"/>
        <charset val="134"/>
      </rPr>
      <t>运费52</t>
    </r>
    <r>
      <rPr>
        <sz val="14"/>
        <color theme="1"/>
        <rFont val="Comic Sans MS"/>
        <charset val="134"/>
      </rPr>
      <t>RMB</t>
    </r>
  </si>
  <si>
    <t>A20</t>
  </si>
  <si>
    <t>A22</t>
  </si>
  <si>
    <t>A40</t>
  </si>
  <si>
    <t>A0034808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</si>
  <si>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3141732360907</t>
    </r>
  </si>
  <si>
    <t xml:space="preserve">279-W99-WJY-AIR </t>
  </si>
  <si>
    <t>人造关节Artificial joint</t>
  </si>
  <si>
    <t>A41</t>
  </si>
  <si>
    <t>A42</t>
  </si>
  <si>
    <t>A43</t>
  </si>
  <si>
    <t>A44</t>
  </si>
  <si>
    <t>A45</t>
  </si>
  <si>
    <t>A46</t>
  </si>
  <si>
    <t>S0084458</t>
  </si>
  <si>
    <t>109944773479 /18111611101</t>
  </si>
  <si>
    <t>1-137</t>
  </si>
  <si>
    <t>137</t>
  </si>
  <si>
    <t>S0084438</t>
  </si>
  <si>
    <t>279/W99/DVD/SEA</t>
  </si>
  <si>
    <t>1-20</t>
  </si>
  <si>
    <t>女士上衣blouse</t>
  </si>
  <si>
    <t>B20</t>
  </si>
  <si>
    <t>A0034842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</si>
  <si>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3145636032943</t>
    </r>
  </si>
  <si>
    <t>279-W99-GN165-AIR</t>
  </si>
  <si>
    <t>耳机headset</t>
  </si>
  <si>
    <t>B21</t>
  </si>
  <si>
    <t>A0034843</t>
  </si>
  <si>
    <r>
      <t>JDK</t>
    </r>
    <r>
      <rPr>
        <sz val="14"/>
        <color theme="1"/>
        <rFont val="宋体"/>
        <charset val="134"/>
      </rPr>
      <t>京东：</t>
    </r>
    <r>
      <rPr>
        <sz val="14"/>
        <color theme="1"/>
        <rFont val="Comic Sans MS"/>
        <charset val="134"/>
      </rPr>
      <t>003956450043</t>
    </r>
  </si>
  <si>
    <t>B46</t>
  </si>
  <si>
    <t>A0034868</t>
  </si>
  <si>
    <r>
      <t>DPK</t>
    </r>
    <r>
      <rPr>
        <sz val="14"/>
        <color theme="1"/>
        <rFont val="宋体"/>
        <charset val="134"/>
      </rPr>
      <t>德邦：</t>
    </r>
    <r>
      <rPr>
        <sz val="14"/>
        <color theme="1"/>
        <rFont val="Comic Sans MS"/>
        <charset val="134"/>
      </rPr>
      <t>212445793110</t>
    </r>
  </si>
  <si>
    <t>F1252</t>
  </si>
  <si>
    <t>680006101479 15888361117</t>
  </si>
  <si>
    <r>
      <rPr>
        <sz val="14"/>
        <color theme="1"/>
        <rFont val="宋体"/>
        <charset val="134"/>
      </rPr>
      <t>插销</t>
    </r>
    <r>
      <rPr>
        <sz val="14"/>
        <color theme="1"/>
        <rFont val="Comic Sans MS"/>
        <charset val="134"/>
      </rPr>
      <t xml:space="preserve"> bolt </t>
    </r>
    <r>
      <rPr>
        <sz val="14"/>
        <color theme="1"/>
        <rFont val="宋体"/>
        <charset val="134"/>
      </rPr>
      <t>荧光灯</t>
    </r>
    <r>
      <rPr>
        <sz val="14"/>
        <color theme="1"/>
        <rFont val="Comic Sans MS"/>
        <charset val="134"/>
      </rPr>
      <t>Fluorescent lamp</t>
    </r>
  </si>
  <si>
    <t>F1261</t>
  </si>
  <si>
    <t>F1271
液体liquid</t>
  </si>
  <si>
    <t>冷冻油Refrigerant oil</t>
  </si>
  <si>
    <r>
      <t>F1258
运费</t>
    </r>
    <r>
      <rPr>
        <sz val="14"/>
        <color theme="1"/>
        <rFont val="Comic Sans MS"/>
        <family val="4"/>
      </rPr>
      <t>973RMB
退税TR</t>
    </r>
  </si>
  <si>
    <t>F1274</t>
  </si>
  <si>
    <t>F1268
退税TR</t>
  </si>
  <si>
    <t>F1270</t>
  </si>
  <si>
    <t>F1269
BRANDED
二手second-hand</t>
  </si>
  <si>
    <t>F1271
二手second-hand
BRANDED</t>
  </si>
  <si>
    <t>70-169</t>
  </si>
  <si>
    <t>169</t>
  </si>
  <si>
    <t>170-339</t>
  </si>
  <si>
    <t>F1272
二手second-hand
BRANDED</t>
  </si>
  <si>
    <t>170</t>
  </si>
  <si>
    <t>F1275</t>
  </si>
  <si>
    <t>F1286
退税TR</t>
  </si>
  <si>
    <t>F1284
退税TR</t>
  </si>
  <si>
    <t>F1291
BRANDED</t>
  </si>
  <si>
    <t>S0084699</t>
  </si>
  <si>
    <t>279/FU/ENI/SEA</t>
  </si>
  <si>
    <t>1-25</t>
  </si>
  <si>
    <t>羽毛Feather</t>
  </si>
  <si>
    <t>25</t>
  </si>
  <si>
    <t>S0084779</t>
  </si>
  <si>
    <t>1-400</t>
  </si>
  <si>
    <t>400</t>
  </si>
  <si>
    <t>S0084952</t>
  </si>
  <si>
    <t>R00001236955 18914604321</t>
  </si>
  <si>
    <t>1-30</t>
  </si>
  <si>
    <t>30</t>
  </si>
  <si>
    <t>S0084974</t>
  </si>
  <si>
    <t>JDKA00863278398</t>
  </si>
  <si>
    <t>279/W99/KAFR/SEA</t>
  </si>
  <si>
    <t>1-9</t>
  </si>
  <si>
    <t>A0034928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</si>
  <si>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3151279690598</t>
    </r>
  </si>
  <si>
    <t>F03</t>
  </si>
  <si>
    <t>A0034953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</si>
  <si>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3154274430482</t>
    </r>
  </si>
  <si>
    <t>F08</t>
  </si>
  <si>
    <t>A0034958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</si>
  <si>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1524668835292</t>
    </r>
  </si>
  <si>
    <r>
      <t>金属卤化物灯</t>
    </r>
    <r>
      <rPr>
        <sz val="14"/>
        <color theme="1"/>
        <rFont val="Comic Sans MS"/>
        <charset val="134"/>
      </rPr>
      <t>Metal halide lamp</t>
    </r>
  </si>
  <si>
    <t>S0085128</t>
  </si>
  <si>
    <r>
      <t>壹米滴答：</t>
    </r>
    <r>
      <rPr>
        <sz val="14"/>
        <color theme="1"/>
        <rFont val="Comic Sans MS"/>
        <family val="4"/>
      </rPr>
      <t>109983949848</t>
    </r>
  </si>
  <si>
    <t>279/W99/HTN/SEA</t>
  </si>
  <si>
    <t>S0085130</t>
  </si>
  <si>
    <r>
      <t>壹米滴答：</t>
    </r>
    <r>
      <rPr>
        <sz val="14"/>
        <color theme="1"/>
        <rFont val="Comic Sans MS"/>
        <family val="4"/>
      </rPr>
      <t>109978078764</t>
    </r>
  </si>
  <si>
    <t>S0084990</t>
  </si>
  <si>
    <t>279/W99/INDRA/SEA</t>
  </si>
  <si>
    <t>A0035101</t>
  </si>
  <si>
    <r>
      <t>菜鸟：</t>
    </r>
    <r>
      <rPr>
        <sz val="14"/>
        <color theme="1"/>
        <rFont val="Comic Sans MS"/>
        <family val="4"/>
      </rPr>
      <t>'621209815458006</t>
    </r>
  </si>
  <si>
    <t>279/W99/GN222/AIR</t>
  </si>
  <si>
    <t>H26</t>
  </si>
  <si>
    <t>A0035112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</si>
  <si>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:1549345368501</t>
    </r>
  </si>
  <si>
    <t>279/W99/GN219/AIR</t>
  </si>
  <si>
    <t>手表Wrist watch</t>
  </si>
  <si>
    <t>H29</t>
  </si>
  <si>
    <t>A0035115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</si>
  <si>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:0268008345894</t>
    </r>
  </si>
  <si>
    <t>279/W99/BA/AIR</t>
  </si>
  <si>
    <t>主机host</t>
  </si>
  <si>
    <t>K44</t>
  </si>
  <si>
    <t>A0035214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</si>
  <si>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:1549902447507</t>
    </r>
  </si>
  <si>
    <t>K45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</si>
  <si>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:3161807709909</t>
    </r>
  </si>
  <si>
    <t>K27</t>
  </si>
  <si>
    <t>A0035207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</si>
  <si>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:0268064849143</t>
    </r>
  </si>
  <si>
    <t>279/W99/DS/AIR</t>
  </si>
  <si>
    <t>K28</t>
  </si>
  <si>
    <t>K29</t>
  </si>
  <si>
    <t>K30</t>
  </si>
  <si>
    <t>K31</t>
  </si>
  <si>
    <t>K32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</si>
</sst>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-* #,##0_-;\-* #,##0_-;_-* &quot;-&quot;_-;_-@_-"/>
    <numFmt numFmtId="164" formatCode="yyyy/m/d;@"/>
    <numFmt numFmtId="165" formatCode="[$$-409]#,##0"/>
    <numFmt numFmtId="166" formatCode="0.000_ "/>
    <numFmt numFmtId="167" formatCode="[$-F800]dddd\,\ mmmm\ dd\,\ yyyy"/>
    <numFmt numFmtId="168" formatCode="0.0000_ "/>
    <numFmt numFmtId="169" formatCode="[$-409]d/mmm;@"/>
    <numFmt numFmtId="170" formatCode="[$-13809]dd/mm/yy;@"/>
    <numFmt numFmtId="171" formatCode="[$-409]d\-mmm;@"/>
    <numFmt numFmtId="172" formatCode="_-* #,##0.00_-;\-* #,##0.00_-;_-* &quot;-&quot;_-;_-@_-"/>
    <numFmt numFmtId="173" formatCode="_-* #,##0.000_-;\-* #,##0.000_-;_-* &quot;-&quot;_-;_-@_-"/>
    <numFmt numFmtId="174" formatCode="#,##0.000_ "/>
    <numFmt numFmtId="175" formatCode="_ &quot;￥&quot;* #,##0.00_ ;_ &quot;￥&quot;* \-#,##0.00_ ;_ &quot;￥&quot;* \-??_ ;_ @_ "/>
    <numFmt numFmtId="176" formatCode="_ * #,##0.00_ ;_ * \-#,##0.00_ ;_ * &quot;-&quot;??_ ;_ @_ "/>
  </numFmts>
  <fonts count="38">
    <font>
      <sz val="11"/>
      <color theme="1"/>
      <name val="Comic Sans MS"/>
      <charset val="134"/>
      <scheme val="minor"/>
    </font>
    <font>
      <sz val="11"/>
      <color theme="1"/>
      <name val="Comic Sans MS"/>
      <family val="2"/>
      <scheme val="minor"/>
    </font>
    <font>
      <sz val="11"/>
      <color theme="1"/>
      <name val="Comic Sans MS"/>
      <family val="2"/>
      <scheme val="minor"/>
    </font>
    <font>
      <sz val="11"/>
      <color theme="1"/>
      <name val="Comic Sans MS"/>
      <family val="2"/>
      <scheme val="minor"/>
    </font>
    <font>
      <sz val="11"/>
      <color theme="1"/>
      <name val="Comic Sans MS"/>
      <family val="2"/>
      <scheme val="minor"/>
    </font>
    <font>
      <sz val="11"/>
      <color theme="1"/>
      <name val="Comic Sans MS"/>
      <family val="2"/>
      <scheme val="minor"/>
    </font>
    <font>
      <sz val="11"/>
      <color theme="1"/>
      <name val="Comic Sans MS"/>
      <family val="2"/>
      <scheme val="minor"/>
    </font>
    <font>
      <sz val="11"/>
      <color theme="1"/>
      <name val="Comic Sans MS"/>
      <family val="2"/>
      <scheme val="minor"/>
    </font>
    <font>
      <sz val="11"/>
      <color theme="1"/>
      <name val="Comic Sans MS"/>
      <family val="2"/>
      <scheme val="minor"/>
    </font>
    <font>
      <sz val="11"/>
      <color theme="1"/>
      <name val="Comic Sans MS"/>
      <family val="2"/>
      <scheme val="minor"/>
    </font>
    <font>
      <sz val="11"/>
      <color theme="1"/>
      <name val="Comic Sans MS"/>
      <family val="2"/>
      <scheme val="minor"/>
    </font>
    <font>
      <sz val="11"/>
      <color theme="1"/>
      <name val="Comic Sans MS"/>
      <family val="2"/>
      <scheme val="minor"/>
    </font>
    <font>
      <sz val="11"/>
      <color theme="1"/>
      <name val="Comic Sans MS"/>
      <family val="2"/>
      <scheme val="minor"/>
    </font>
    <font>
      <sz val="14"/>
      <color theme="1"/>
      <name val="Comic Sans MS"/>
      <family val="4"/>
    </font>
    <font>
      <sz val="14"/>
      <name val="Comic Sans MS"/>
      <family val="4"/>
    </font>
    <font>
      <b/>
      <sz val="14"/>
      <color theme="1"/>
      <name val="Comic Sans MS"/>
      <family val="4"/>
    </font>
    <font>
      <sz val="11"/>
      <color theme="1"/>
      <name val="Comic Sans MS"/>
      <family val="2"/>
      <scheme val="minor"/>
    </font>
    <font>
      <sz val="12"/>
      <name val="宋体"/>
      <charset val="134"/>
    </font>
    <font>
      <sz val="10"/>
      <name val="Helv"/>
      <charset val="134"/>
    </font>
    <font>
      <sz val="14"/>
      <color theme="1"/>
      <name val="宋体"/>
      <charset val="134"/>
    </font>
    <font>
      <b/>
      <sz val="14"/>
      <color theme="1"/>
      <name val="宋体"/>
      <charset val="134"/>
    </font>
    <font>
      <sz val="12"/>
      <name val="Times New Roman"/>
      <family val="1"/>
    </font>
    <font>
      <sz val="10"/>
      <name val="Arial"/>
      <family val="2"/>
    </font>
    <font>
      <b/>
      <sz val="12"/>
      <color theme="1"/>
      <name val="Comic Sans MS"/>
      <family val="4"/>
    </font>
    <font>
      <sz val="14"/>
      <color theme="1"/>
      <name val="Comic Sans MS"/>
      <family val="4"/>
      <scheme val="minor"/>
    </font>
    <font>
      <sz val="11"/>
      <color theme="1"/>
      <name val="Comic Sans MS"/>
      <family val="4"/>
      <scheme val="minor"/>
    </font>
    <font>
      <b/>
      <sz val="14"/>
      <color theme="1"/>
      <name val="Comic Sans MS"/>
      <family val="4"/>
    </font>
    <font>
      <b/>
      <sz val="11"/>
      <color theme="3"/>
      <name val="Comic Sans MS"/>
      <family val="2"/>
      <scheme val="minor"/>
    </font>
    <font>
      <b/>
      <sz val="11"/>
      <color rgb="FFFA7D00"/>
      <name val="Comic Sans MS"/>
      <family val="2"/>
      <scheme val="minor"/>
    </font>
    <font>
      <sz val="11"/>
      <color indexed="8"/>
      <name val="宋体"/>
      <charset val="134"/>
    </font>
    <font>
      <sz val="9"/>
      <color indexed="10"/>
      <name val="Geneva"/>
      <charset val="134"/>
    </font>
    <font>
      <sz val="12"/>
      <color indexed="8"/>
      <name val="新細明體"/>
      <charset val="134"/>
    </font>
    <font>
      <sz val="11"/>
      <color indexed="8"/>
      <name val="Comic Sans MS"/>
      <family val="2"/>
      <scheme val="minor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sz val="14"/>
      <color theme="1"/>
      <name val="Comic Sans MS"/>
      <charset val="134"/>
    </font>
    <font>
      <b/>
      <sz val="14"/>
      <color theme="1"/>
      <name val="Comic Sans MS"/>
      <charset val="134"/>
    </font>
    <font>
      <b/>
      <sz val="26"/>
      <color theme="1"/>
      <name val="Comic Sans MS"/>
      <family val="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B0BC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505050"/>
      </left>
      <right style="thin">
        <color rgb="FF505050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/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medium">
        <color rgb="FF505050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rgb="FF505050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14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65" fontId="17" fillId="0" borderId="0">
      <alignment vertical="center"/>
    </xf>
    <xf numFmtId="0" fontId="16" fillId="0" borderId="0"/>
    <xf numFmtId="165" fontId="18" fillId="0" borderId="0">
      <alignment vertical="center"/>
    </xf>
    <xf numFmtId="165" fontId="12" fillId="0" borderId="0">
      <alignment vertical="center"/>
    </xf>
    <xf numFmtId="165" fontId="21" fillId="0" borderId="0"/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/>
    <xf numFmtId="169" fontId="22" fillId="0" borderId="0">
      <alignment vertical="center"/>
    </xf>
    <xf numFmtId="171" fontId="17" fillId="0" borderId="0">
      <alignment vertical="center"/>
    </xf>
    <xf numFmtId="41" fontId="25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165" fontId="11" fillId="0" borderId="0">
      <alignment vertical="center"/>
    </xf>
    <xf numFmtId="165" fontId="11" fillId="0" borderId="0">
      <alignment vertical="center"/>
    </xf>
    <xf numFmtId="165" fontId="11" fillId="0" borderId="0">
      <alignment vertical="center"/>
    </xf>
    <xf numFmtId="165" fontId="11" fillId="0" borderId="0">
      <alignment vertical="center"/>
    </xf>
    <xf numFmtId="165" fontId="11" fillId="0" borderId="0">
      <alignment vertical="center"/>
    </xf>
    <xf numFmtId="165" fontId="11" fillId="0" borderId="0">
      <alignment vertical="center"/>
    </xf>
    <xf numFmtId="165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165" fontId="10" fillId="0" borderId="0">
      <alignment vertical="center"/>
    </xf>
    <xf numFmtId="165" fontId="10" fillId="0" borderId="0">
      <alignment vertical="center"/>
    </xf>
    <xf numFmtId="165" fontId="10" fillId="0" borderId="0">
      <alignment vertical="center"/>
    </xf>
    <xf numFmtId="165" fontId="10" fillId="0" borderId="0">
      <alignment vertical="center"/>
    </xf>
    <xf numFmtId="165" fontId="10" fillId="0" borderId="0">
      <alignment vertical="center"/>
    </xf>
    <xf numFmtId="165" fontId="10" fillId="0" borderId="0">
      <alignment vertical="center"/>
    </xf>
    <xf numFmtId="165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165" fontId="9" fillId="0" borderId="0">
      <alignment vertical="center"/>
    </xf>
    <xf numFmtId="165" fontId="9" fillId="0" borderId="0">
      <alignment vertical="center"/>
    </xf>
    <xf numFmtId="165" fontId="9" fillId="0" borderId="0">
      <alignment vertical="center"/>
    </xf>
    <xf numFmtId="165" fontId="9" fillId="0" borderId="0">
      <alignment vertical="center"/>
    </xf>
    <xf numFmtId="165" fontId="9" fillId="0" borderId="0">
      <alignment vertical="center"/>
    </xf>
    <xf numFmtId="165" fontId="9" fillId="0" borderId="0">
      <alignment vertical="center"/>
    </xf>
    <xf numFmtId="165" fontId="9" fillId="0" borderId="0"/>
    <xf numFmtId="165" fontId="9" fillId="0" borderId="0">
      <alignment vertical="center"/>
    </xf>
    <xf numFmtId="0" fontId="28" fillId="11" borderId="14" applyNumberFormat="0" applyAlignment="0" applyProtection="0">
      <alignment vertical="center"/>
    </xf>
    <xf numFmtId="165" fontId="21" fillId="0" borderId="0"/>
    <xf numFmtId="0" fontId="29" fillId="12" borderId="0">
      <alignment vertical="top"/>
      <protection locked="0"/>
    </xf>
    <xf numFmtId="0" fontId="29" fillId="13" borderId="0">
      <alignment vertical="top"/>
      <protection locked="0"/>
    </xf>
    <xf numFmtId="0" fontId="30" fillId="0" borderId="0"/>
    <xf numFmtId="165" fontId="9" fillId="0" borderId="0">
      <alignment vertical="center"/>
    </xf>
    <xf numFmtId="165" fontId="9" fillId="0" borderId="0">
      <alignment vertical="center"/>
    </xf>
    <xf numFmtId="165" fontId="9" fillId="0" borderId="0">
      <alignment vertical="center"/>
    </xf>
    <xf numFmtId="165" fontId="9" fillId="0" borderId="0">
      <alignment vertical="center"/>
    </xf>
    <xf numFmtId="165" fontId="9" fillId="0" borderId="0">
      <alignment vertical="center"/>
    </xf>
    <xf numFmtId="165" fontId="9" fillId="0" borderId="0">
      <alignment vertical="center"/>
    </xf>
    <xf numFmtId="165" fontId="9" fillId="0" borderId="0"/>
    <xf numFmtId="41" fontId="31" fillId="0" borderId="0">
      <alignment vertical="top"/>
      <protection locked="0"/>
    </xf>
    <xf numFmtId="0" fontId="9" fillId="0" borderId="0">
      <alignment vertical="center"/>
    </xf>
    <xf numFmtId="169" fontId="22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18" fillId="0" borderId="0"/>
    <xf numFmtId="175" fontId="17" fillId="0" borderId="0" applyFon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8" fillId="0" borderId="0">
      <protection locked="0"/>
    </xf>
    <xf numFmtId="0" fontId="1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165" fontId="8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165" fontId="8" fillId="0" borderId="0"/>
    <xf numFmtId="165" fontId="8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165" fontId="8" fillId="0" borderId="0">
      <alignment vertical="center"/>
    </xf>
    <xf numFmtId="165" fontId="8" fillId="0" borderId="0"/>
    <xf numFmtId="41" fontId="31" fillId="0" borderId="0">
      <alignment vertical="top"/>
      <protection locked="0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165" fontId="7" fillId="0" borderId="0">
      <alignment vertical="center"/>
    </xf>
    <xf numFmtId="165" fontId="7" fillId="0" borderId="0">
      <alignment vertical="center"/>
    </xf>
    <xf numFmtId="165" fontId="7" fillId="0" borderId="0">
      <alignment vertical="center"/>
    </xf>
    <xf numFmtId="165" fontId="7" fillId="0" borderId="0">
      <alignment vertical="center"/>
    </xf>
    <xf numFmtId="165" fontId="7" fillId="0" borderId="0">
      <alignment vertical="center"/>
    </xf>
    <xf numFmtId="165" fontId="7" fillId="0" borderId="0">
      <alignment vertical="center"/>
    </xf>
    <xf numFmtId="165" fontId="7" fillId="0" borderId="0"/>
    <xf numFmtId="165" fontId="7" fillId="0" borderId="0">
      <alignment vertical="center"/>
    </xf>
    <xf numFmtId="165" fontId="7" fillId="0" borderId="0">
      <alignment vertical="center"/>
    </xf>
    <xf numFmtId="165" fontId="7" fillId="0" borderId="0">
      <alignment vertical="center"/>
    </xf>
    <xf numFmtId="165" fontId="7" fillId="0" borderId="0">
      <alignment vertical="center"/>
    </xf>
    <xf numFmtId="165" fontId="7" fillId="0" borderId="0">
      <alignment vertical="center"/>
    </xf>
    <xf numFmtId="165" fontId="7" fillId="0" borderId="0">
      <alignment vertical="center"/>
    </xf>
    <xf numFmtId="165" fontId="7" fillId="0" borderId="0">
      <alignment vertical="center"/>
    </xf>
    <xf numFmtId="165" fontId="7" fillId="0" borderId="0"/>
    <xf numFmtId="41" fontId="31" fillId="0" borderId="0">
      <alignment vertical="top"/>
      <protection locked="0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/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/>
    <xf numFmtId="41" fontId="31" fillId="0" borderId="0">
      <alignment vertical="top"/>
      <protection locked="0"/>
    </xf>
    <xf numFmtId="0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>
      <alignment vertical="center"/>
    </xf>
    <xf numFmtId="165" fontId="6" fillId="0" borderId="0"/>
    <xf numFmtId="0" fontId="6" fillId="0" borderId="0">
      <alignment vertical="center"/>
    </xf>
    <xf numFmtId="176" fontId="17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/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/>
    <xf numFmtId="41" fontId="31" fillId="0" borderId="0">
      <alignment vertical="top"/>
      <protection locked="0"/>
    </xf>
    <xf numFmtId="0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>
      <alignment vertical="center"/>
    </xf>
    <xf numFmtId="165" fontId="5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/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/>
    <xf numFmtId="41" fontId="31" fillId="0" borderId="0">
      <alignment vertical="top"/>
      <protection locked="0"/>
    </xf>
    <xf numFmtId="0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/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/>
    <xf numFmtId="41" fontId="31" fillId="0" borderId="0">
      <alignment vertical="top"/>
      <protection locked="0"/>
    </xf>
    <xf numFmtId="0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>
      <alignment vertical="center"/>
    </xf>
    <xf numFmtId="165" fontId="3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/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/>
    <xf numFmtId="41" fontId="31" fillId="0" borderId="0">
      <alignment vertical="top"/>
      <protection locked="0"/>
    </xf>
    <xf numFmtId="0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>
      <alignment vertical="center"/>
    </xf>
    <xf numFmtId="165" fontId="2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/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/>
    <xf numFmtId="41" fontId="31" fillId="0" borderId="0">
      <alignment vertical="top"/>
      <protection locked="0"/>
    </xf>
    <xf numFmtId="0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5" fontId="1" fillId="0" borderId="0"/>
    <xf numFmtId="0" fontId="1" fillId="0" borderId="0">
      <alignment vertical="center"/>
    </xf>
  </cellStyleXfs>
  <cellXfs count="242">
    <xf numFmtId="0" fontId="0" fillId="0" borderId="0" xfId="0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170" fontId="13" fillId="3" borderId="0" xfId="0" applyNumberFormat="1" applyFont="1" applyFill="1">
      <alignment vertical="center"/>
    </xf>
    <xf numFmtId="0" fontId="2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168" fontId="13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 wrapText="1"/>
    </xf>
    <xf numFmtId="164" fontId="13" fillId="8" borderId="0" xfId="0" applyNumberFormat="1" applyFont="1" applyFill="1" applyAlignment="1">
      <alignment horizontal="center" vertical="center"/>
    </xf>
    <xf numFmtId="167" fontId="13" fillId="8" borderId="0" xfId="0" applyNumberFormat="1" applyFont="1" applyFill="1" applyAlignment="1">
      <alignment horizontal="center"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49" fontId="14" fillId="8" borderId="1" xfId="5" applyNumberFormat="1" applyFont="1" applyFill="1" applyBorder="1" applyAlignment="1">
      <alignment horizontal="center" vertical="center" wrapText="1"/>
    </xf>
    <xf numFmtId="165" fontId="14" fillId="8" borderId="1" xfId="5" applyFont="1" applyFill="1" applyBorder="1" applyAlignment="1">
      <alignment horizontal="center" vertical="center" wrapText="1"/>
    </xf>
    <xf numFmtId="164" fontId="14" fillId="8" borderId="1" xfId="5" applyNumberFormat="1" applyFont="1" applyFill="1" applyBorder="1" applyAlignment="1">
      <alignment horizontal="center" vertical="center" wrapText="1"/>
    </xf>
    <xf numFmtId="0" fontId="14" fillId="8" borderId="1" xfId="5" applyNumberFormat="1" applyFont="1" applyFill="1" applyBorder="1" applyAlignment="1">
      <alignment horizontal="center" vertical="center" wrapText="1"/>
    </xf>
    <xf numFmtId="166" fontId="14" fillId="8" borderId="1" xfId="5" applyNumberFormat="1" applyFont="1" applyFill="1" applyBorder="1" applyAlignment="1">
      <alignment horizontal="center" vertical="center" wrapText="1"/>
    </xf>
    <xf numFmtId="167" fontId="14" fillId="8" borderId="1" xfId="0" applyNumberFormat="1" applyFont="1" applyFill="1" applyBorder="1" applyAlignment="1">
      <alignment horizontal="center" vertical="center" wrapText="1"/>
    </xf>
    <xf numFmtId="165" fontId="14" fillId="8" borderId="1" xfId="0" applyNumberFormat="1" applyFont="1" applyFill="1" applyBorder="1" applyAlignment="1">
      <alignment horizontal="center" vertical="center" wrapText="1"/>
    </xf>
    <xf numFmtId="165" fontId="14" fillId="8" borderId="6" xfId="0" applyNumberFormat="1" applyFont="1" applyFill="1" applyBorder="1" applyAlignment="1">
      <alignment horizontal="center" vertical="center" wrapText="1"/>
    </xf>
    <xf numFmtId="49" fontId="14" fillId="8" borderId="2" xfId="5" applyNumberFormat="1" applyFont="1" applyFill="1" applyBorder="1" applyAlignment="1">
      <alignment horizontal="center" vertical="center" wrapText="1"/>
    </xf>
    <xf numFmtId="41" fontId="24" fillId="0" borderId="0" xfId="18" applyFont="1" applyFill="1" applyBorder="1" applyAlignment="1">
      <alignment vertical="center"/>
    </xf>
    <xf numFmtId="172" fontId="24" fillId="0" borderId="0" xfId="18" applyNumberFormat="1" applyFont="1" applyFill="1" applyBorder="1" applyAlignment="1">
      <alignment vertical="center"/>
    </xf>
    <xf numFmtId="170" fontId="13" fillId="8" borderId="8" xfId="0" applyNumberFormat="1" applyFont="1" applyFill="1" applyBorder="1" applyAlignment="1">
      <alignment horizontal="center" vertical="center" wrapText="1"/>
    </xf>
    <xf numFmtId="170" fontId="24" fillId="0" borderId="0" xfId="0" applyNumberFormat="1" applyFont="1">
      <alignment vertical="center"/>
    </xf>
    <xf numFmtId="4" fontId="24" fillId="0" borderId="0" xfId="0" applyNumberFormat="1" applyFont="1">
      <alignment vertical="center"/>
    </xf>
    <xf numFmtId="41" fontId="24" fillId="0" borderId="0" xfId="0" applyNumberFormat="1" applyFont="1">
      <alignment vertical="center"/>
    </xf>
    <xf numFmtId="41" fontId="15" fillId="8" borderId="11" xfId="18" applyFont="1" applyFill="1" applyBorder="1" applyAlignment="1">
      <alignment horizontal="center" vertical="center" wrapText="1"/>
    </xf>
    <xf numFmtId="41" fontId="15" fillId="8" borderId="12" xfId="18" applyFont="1" applyFill="1" applyBorder="1" applyAlignment="1">
      <alignment horizontal="center" vertical="center" wrapText="1"/>
    </xf>
    <xf numFmtId="172" fontId="15" fillId="8" borderId="12" xfId="18" applyNumberFormat="1" applyFont="1" applyFill="1" applyBorder="1" applyAlignment="1">
      <alignment horizontal="center" vertical="center" wrapText="1"/>
    </xf>
    <xf numFmtId="41" fontId="15" fillId="8" borderId="11" xfId="0" applyNumberFormat="1" applyFont="1" applyFill="1" applyBorder="1" applyAlignment="1">
      <alignment horizontal="center" vertical="center" wrapText="1"/>
    </xf>
    <xf numFmtId="41" fontId="15" fillId="8" borderId="12" xfId="0" applyNumberFormat="1" applyFont="1" applyFill="1" applyBorder="1" applyAlignment="1">
      <alignment horizontal="center" vertical="center" wrapText="1"/>
    </xf>
    <xf numFmtId="4" fontId="15" fillId="9" borderId="10" xfId="0" applyNumberFormat="1" applyFont="1" applyFill="1" applyBorder="1" applyAlignment="1">
      <alignment horizontal="center" vertical="center" wrapText="1"/>
    </xf>
    <xf numFmtId="41" fontId="15" fillId="9" borderId="11" xfId="18" applyFont="1" applyFill="1" applyBorder="1" applyAlignment="1">
      <alignment horizontal="center" vertical="center" wrapText="1"/>
    </xf>
    <xf numFmtId="173" fontId="15" fillId="9" borderId="12" xfId="18" applyNumberFormat="1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vertical="center" wrapText="1"/>
    </xf>
    <xf numFmtId="0" fontId="24" fillId="8" borderId="0" xfId="0" applyFont="1" applyFill="1">
      <alignment vertical="center"/>
    </xf>
    <xf numFmtId="41" fontId="24" fillId="8" borderId="0" xfId="18" applyFont="1" applyFill="1" applyAlignment="1">
      <alignment vertical="center"/>
    </xf>
    <xf numFmtId="0" fontId="13" fillId="10" borderId="1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  <xf numFmtId="0" fontId="15" fillId="4" borderId="0" xfId="0" applyFont="1" applyFill="1">
      <alignment vertical="center"/>
    </xf>
    <xf numFmtId="16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174" fontId="26" fillId="0" borderId="0" xfId="0" applyNumberFormat="1" applyFont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5" fillId="8" borderId="17" xfId="0" applyFont="1" applyFill="1" applyBorder="1" applyAlignment="1">
      <alignment horizontal="center" vertical="center" wrapText="1"/>
    </xf>
    <xf numFmtId="165" fontId="14" fillId="14" borderId="16" xfId="0" applyNumberFormat="1" applyFont="1" applyFill="1" applyBorder="1" applyAlignment="1">
      <alignment horizontal="center" vertical="center" wrapText="1"/>
    </xf>
    <xf numFmtId="0" fontId="13" fillId="14" borderId="18" xfId="0" applyFont="1" applyFill="1" applyBorder="1">
      <alignment vertical="center"/>
    </xf>
    <xf numFmtId="0" fontId="13" fillId="6" borderId="1" xfId="0" applyFont="1" applyFill="1" applyBorder="1" applyAlignment="1">
      <alignment horizontal="center" vertical="center" wrapText="1"/>
    </xf>
    <xf numFmtId="15" fontId="19" fillId="0" borderId="1" xfId="0" applyNumberFormat="1" applyFont="1" applyBorder="1" applyAlignment="1">
      <alignment horizontal="center" vertical="center" wrapText="1"/>
    </xf>
    <xf numFmtId="49" fontId="13" fillId="6" borderId="1" xfId="0" applyNumberFormat="1" applyFont="1" applyFill="1" applyBorder="1" applyAlignment="1">
      <alignment horizontal="center" vertical="center" wrapText="1"/>
    </xf>
    <xf numFmtId="168" fontId="13" fillId="6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168" fontId="15" fillId="2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164" fontId="33" fillId="0" borderId="1" xfId="0" applyNumberFormat="1" applyFont="1" applyBorder="1" applyAlignment="1">
      <alignment horizontal="center" vertical="center" wrapText="1"/>
    </xf>
    <xf numFmtId="49" fontId="33" fillId="0" borderId="1" xfId="0" applyNumberFormat="1" applyFont="1" applyBorder="1" applyAlignment="1">
      <alignment horizontal="center" vertical="center" wrapText="1"/>
    </xf>
    <xf numFmtId="168" fontId="33" fillId="0" borderId="1" xfId="0" applyNumberFormat="1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49" fontId="34" fillId="2" borderId="1" xfId="0" applyNumberFormat="1" applyFont="1" applyFill="1" applyBorder="1" applyAlignment="1">
      <alignment horizontal="center" vertical="center" wrapText="1"/>
    </xf>
    <xf numFmtId="168" fontId="34" fillId="2" borderId="1" xfId="0" applyNumberFormat="1" applyFont="1" applyFill="1" applyBorder="1" applyAlignment="1">
      <alignment horizontal="center" vertical="center" wrapText="1"/>
    </xf>
    <xf numFmtId="0" fontId="13" fillId="6" borderId="1" xfId="282" applyFont="1" applyFill="1" applyBorder="1" applyAlignment="1">
      <alignment horizontal="center" vertical="center" wrapText="1"/>
    </xf>
    <xf numFmtId="165" fontId="33" fillId="6" borderId="1" xfId="0" applyNumberFormat="1" applyFont="1" applyFill="1" applyBorder="1" applyAlignment="1">
      <alignment horizontal="center" vertical="center" wrapText="1"/>
    </xf>
    <xf numFmtId="0" fontId="33" fillId="6" borderId="1" xfId="0" quotePrefix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5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164" fontId="33" fillId="0" borderId="3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vertical="center" wrapText="1"/>
    </xf>
    <xf numFmtId="0" fontId="33" fillId="0" borderId="4" xfId="0" applyFont="1" applyBorder="1" applyAlignment="1">
      <alignment vertical="center" wrapText="1"/>
    </xf>
    <xf numFmtId="164" fontId="33" fillId="0" borderId="5" xfId="0" applyNumberFormat="1" applyFont="1" applyBorder="1" applyAlignment="1">
      <alignment vertical="center" wrapText="1"/>
    </xf>
    <xf numFmtId="164" fontId="33" fillId="0" borderId="4" xfId="0" applyNumberFormat="1" applyFont="1" applyBorder="1" applyAlignment="1">
      <alignment vertical="center" wrapText="1"/>
    </xf>
    <xf numFmtId="0" fontId="35" fillId="0" borderId="1" xfId="0" applyFont="1" applyBorder="1" applyAlignment="1">
      <alignment horizontal="center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49" fontId="35" fillId="6" borderId="1" xfId="0" applyNumberFormat="1" applyFont="1" applyFill="1" applyBorder="1" applyAlignment="1">
      <alignment horizontal="center" vertical="center" wrapText="1"/>
    </xf>
    <xf numFmtId="0" fontId="35" fillId="6" borderId="1" xfId="0" applyFont="1" applyFill="1" applyBorder="1" applyAlignment="1">
      <alignment horizontal="center" vertical="center" wrapText="1"/>
    </xf>
    <xf numFmtId="168" fontId="35" fillId="6" borderId="1" xfId="0" applyNumberFormat="1" applyFont="1" applyFill="1" applyBorder="1" applyAlignment="1">
      <alignment horizontal="center" vertical="center" wrapText="1"/>
    </xf>
    <xf numFmtId="0" fontId="36" fillId="6" borderId="4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164" fontId="35" fillId="6" borderId="1" xfId="0" applyNumberFormat="1" applyFont="1" applyFill="1" applyBorder="1" applyAlignment="1">
      <alignment horizontal="center" vertical="center" wrapText="1"/>
    </xf>
    <xf numFmtId="0" fontId="35" fillId="7" borderId="1" xfId="0" applyFont="1" applyFill="1" applyBorder="1" applyAlignment="1">
      <alignment horizontal="center" vertical="center" wrapText="1"/>
    </xf>
    <xf numFmtId="174" fontId="35" fillId="7" borderId="1" xfId="0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174" fontId="36" fillId="3" borderId="1" xfId="0" applyNumberFormat="1" applyFont="1" applyFill="1" applyBorder="1" applyAlignment="1">
      <alignment horizontal="center" vertical="center" wrapText="1"/>
    </xf>
    <xf numFmtId="0" fontId="36" fillId="7" borderId="1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164" fontId="13" fillId="6" borderId="1" xfId="0" applyNumberFormat="1" applyFont="1" applyFill="1" applyBorder="1" applyAlignment="1">
      <alignment horizontal="center" vertical="center" wrapText="1"/>
    </xf>
    <xf numFmtId="174" fontId="35" fillId="6" borderId="1" xfId="0" applyNumberFormat="1" applyFont="1" applyFill="1" applyBorder="1" applyAlignment="1">
      <alignment horizontal="center" vertical="center" wrapText="1"/>
    </xf>
    <xf numFmtId="0" fontId="36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3" fillId="6" borderId="1" xfId="0" quotePrefix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174" fontId="13" fillId="7" borderId="1" xfId="0" applyNumberFormat="1" applyFont="1" applyFill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74" fontId="15" fillId="3" borderId="1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174" fontId="13" fillId="0" borderId="1" xfId="0" applyNumberFormat="1" applyFont="1" applyBorder="1" applyAlignment="1">
      <alignment horizontal="center" vertical="center" wrapText="1"/>
    </xf>
    <xf numFmtId="174" fontId="35" fillId="0" borderId="1" xfId="0" applyNumberFormat="1" applyFont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165" fontId="35" fillId="6" borderId="1" xfId="0" applyNumberFormat="1" applyFont="1" applyFill="1" applyBorder="1" applyAlignment="1">
      <alignment horizontal="center" vertical="center" wrapText="1"/>
    </xf>
    <xf numFmtId="165" fontId="19" fillId="6" borderId="1" xfId="0" applyNumberFormat="1" applyFont="1" applyFill="1" applyBorder="1" applyAlignment="1">
      <alignment horizontal="center" vertical="center" wrapText="1"/>
    </xf>
    <xf numFmtId="174" fontId="36" fillId="3" borderId="4" xfId="0" applyNumberFormat="1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8" fontId="13" fillId="0" borderId="1" xfId="0" applyNumberFormat="1" applyFont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168" fontId="15" fillId="2" borderId="1" xfId="0" applyNumberFormat="1" applyFont="1" applyFill="1" applyBorder="1" applyAlignment="1">
      <alignment horizontal="center" vertical="center"/>
    </xf>
    <xf numFmtId="164" fontId="15" fillId="0" borderId="0" xfId="0" applyNumberFormat="1" applyFont="1" applyAlignment="1">
      <alignment vertical="center" wrapText="1"/>
    </xf>
    <xf numFmtId="164" fontId="15" fillId="15" borderId="1" xfId="0" applyNumberFormat="1" applyFont="1" applyFill="1" applyBorder="1" applyAlignment="1">
      <alignment vertical="center" wrapText="1"/>
    </xf>
    <xf numFmtId="164" fontId="15" fillId="10" borderId="1" xfId="0" applyNumberFormat="1" applyFont="1" applyFill="1" applyBorder="1" applyAlignment="1">
      <alignment vertical="center" wrapText="1"/>
    </xf>
    <xf numFmtId="164" fontId="0" fillId="0" borderId="0" xfId="0" applyNumberFormat="1" applyAlignment="1"/>
    <xf numFmtId="164" fontId="0" fillId="0" borderId="0" xfId="0" applyNumberFormat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35" fillId="3" borderId="1" xfId="0" applyFont="1" applyFill="1" applyBorder="1" applyAlignment="1">
      <alignment horizontal="center" vertical="center" wrapText="1"/>
    </xf>
    <xf numFmtId="0" fontId="35" fillId="3" borderId="0" xfId="0" applyFont="1" applyFill="1" applyAlignment="1">
      <alignment horizontal="center" vertical="center" wrapText="1"/>
    </xf>
    <xf numFmtId="14" fontId="23" fillId="3" borderId="1" xfId="0" applyNumberFormat="1" applyFont="1" applyFill="1" applyBorder="1" applyAlignment="1">
      <alignment vertical="center" wrapText="1"/>
    </xf>
    <xf numFmtId="0" fontId="0" fillId="3" borderId="0" xfId="0" applyFill="1">
      <alignment vertical="center"/>
    </xf>
    <xf numFmtId="14" fontId="35" fillId="0" borderId="1" xfId="0" applyNumberFormat="1" applyFont="1" applyBorder="1" applyAlignment="1">
      <alignment horizontal="center" vertical="center" wrapText="1"/>
    </xf>
    <xf numFmtId="0" fontId="35" fillId="6" borderId="1" xfId="0" quotePrefix="1" applyFont="1" applyFill="1" applyBorder="1" applyAlignment="1">
      <alignment horizontal="center" vertical="center" wrapText="1"/>
    </xf>
    <xf numFmtId="49" fontId="36" fillId="2" borderId="1" xfId="0" applyNumberFormat="1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168" fontId="36" fillId="2" borderId="1" xfId="0" applyNumberFormat="1" applyFont="1" applyFill="1" applyBorder="1" applyAlignment="1">
      <alignment horizontal="center" vertical="center" wrapText="1"/>
    </xf>
    <xf numFmtId="0" fontId="36" fillId="2" borderId="4" xfId="0" applyFont="1" applyFill="1" applyBorder="1" applyAlignment="1">
      <alignment horizontal="center" vertical="center" wrapText="1"/>
    </xf>
    <xf numFmtId="49" fontId="35" fillId="0" borderId="1" xfId="0" applyNumberFormat="1" applyFont="1" applyBorder="1" applyAlignment="1">
      <alignment horizontal="center" vertical="center" wrapText="1"/>
    </xf>
    <xf numFmtId="168" fontId="35" fillId="0" borderId="1" xfId="0" applyNumberFormat="1" applyFont="1" applyBorder="1" applyAlignment="1">
      <alignment horizontal="center" vertical="center" wrapText="1"/>
    </xf>
    <xf numFmtId="165" fontId="35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165" fontId="20" fillId="2" borderId="1" xfId="0" applyNumberFormat="1" applyFont="1" applyFill="1" applyBorder="1" applyAlignment="1">
      <alignment horizontal="center" vertical="center" wrapText="1"/>
    </xf>
    <xf numFmtId="0" fontId="20" fillId="7" borderId="4" xfId="0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35" fillId="0" borderId="1" xfId="0" quotePrefix="1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15" fontId="13" fillId="6" borderId="1" xfId="0" applyNumberFormat="1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168" fontId="36" fillId="2" borderId="3" xfId="0" applyNumberFormat="1" applyFont="1" applyFill="1" applyBorder="1" applyAlignment="1">
      <alignment horizontal="center" vertical="center" wrapText="1"/>
    </xf>
    <xf numFmtId="15" fontId="35" fillId="0" borderId="1" xfId="0" applyNumberFormat="1" applyFont="1" applyBorder="1" applyAlignment="1">
      <alignment horizontal="center" vertical="center" wrapText="1"/>
    </xf>
    <xf numFmtId="15" fontId="35" fillId="6" borderId="1" xfId="0" applyNumberFormat="1" applyFont="1" applyFill="1" applyBorder="1" applyAlignment="1">
      <alignment horizontal="center" vertical="center" wrapText="1"/>
    </xf>
    <xf numFmtId="49" fontId="35" fillId="0" borderId="4" xfId="0" applyNumberFormat="1" applyFont="1" applyBorder="1" applyAlignment="1">
      <alignment horizontal="center" vertical="center" wrapText="1"/>
    </xf>
    <xf numFmtId="168" fontId="35" fillId="0" borderId="4" xfId="0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170" fontId="24" fillId="3" borderId="0" xfId="0" applyNumberFormat="1" applyFont="1" applyFill="1">
      <alignment vertical="center"/>
    </xf>
    <xf numFmtId="0" fontId="23" fillId="2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5" fillId="6" borderId="3" xfId="0" applyFont="1" applyFill="1" applyBorder="1" applyAlignment="1">
      <alignment horizontal="center" vertical="center" wrapText="1"/>
    </xf>
    <xf numFmtId="0" fontId="35" fillId="6" borderId="5" xfId="0" applyFont="1" applyFill="1" applyBorder="1" applyAlignment="1">
      <alignment horizontal="center" vertical="center" wrapText="1"/>
    </xf>
    <xf numFmtId="0" fontId="35" fillId="6" borderId="4" xfId="0" applyFont="1" applyFill="1" applyBorder="1" applyAlignment="1">
      <alignment horizontal="center" vertical="center" wrapText="1"/>
    </xf>
    <xf numFmtId="164" fontId="35" fillId="6" borderId="3" xfId="0" applyNumberFormat="1" applyFont="1" applyFill="1" applyBorder="1" applyAlignment="1">
      <alignment horizontal="center" vertical="center" wrapText="1"/>
    </xf>
    <xf numFmtId="164" fontId="35" fillId="6" borderId="5" xfId="0" applyNumberFormat="1" applyFont="1" applyFill="1" applyBorder="1" applyAlignment="1">
      <alignment horizontal="center" vertical="center" wrapText="1"/>
    </xf>
    <xf numFmtId="164" fontId="35" fillId="6" borderId="4" xfId="0" applyNumberFormat="1" applyFont="1" applyFill="1" applyBorder="1" applyAlignment="1">
      <alignment horizontal="center" vertical="center" wrapText="1"/>
    </xf>
    <xf numFmtId="15" fontId="35" fillId="6" borderId="3" xfId="0" applyNumberFormat="1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15" fontId="13" fillId="0" borderId="3" xfId="0" applyNumberFormat="1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center" vertical="center" wrapText="1"/>
    </xf>
    <xf numFmtId="164" fontId="13" fillId="0" borderId="5" xfId="0" applyNumberFormat="1" applyFont="1" applyBorder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 wrapText="1"/>
    </xf>
    <xf numFmtId="0" fontId="13" fillId="0" borderId="3" xfId="0" quotePrefix="1" applyFont="1" applyBorder="1" applyAlignment="1">
      <alignment horizontal="center" vertical="center" wrapText="1"/>
    </xf>
    <xf numFmtId="15" fontId="13" fillId="6" borderId="3" xfId="0" applyNumberFormat="1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35" fillId="7" borderId="1" xfId="0" applyFont="1" applyFill="1" applyBorder="1" applyAlignment="1">
      <alignment horizontal="center" vertical="center" wrapText="1"/>
    </xf>
    <xf numFmtId="14" fontId="35" fillId="0" borderId="1" xfId="0" applyNumberFormat="1" applyFont="1" applyBorder="1" applyAlignment="1">
      <alignment horizontal="center" vertical="center" wrapText="1"/>
    </xf>
    <xf numFmtId="170" fontId="37" fillId="2" borderId="1" xfId="0" applyNumberFormat="1" applyFont="1" applyFill="1" applyBorder="1" applyAlignment="1">
      <alignment horizontal="center" vertical="center"/>
    </xf>
    <xf numFmtId="0" fontId="35" fillId="7" borderId="3" xfId="0" applyFont="1" applyFill="1" applyBorder="1" applyAlignment="1">
      <alignment horizontal="center" vertical="center" wrapText="1"/>
    </xf>
    <xf numFmtId="0" fontId="35" fillId="7" borderId="5" xfId="0" applyFont="1" applyFill="1" applyBorder="1" applyAlignment="1">
      <alignment horizontal="center" vertical="center" wrapText="1"/>
    </xf>
    <xf numFmtId="0" fontId="35" fillId="7" borderId="4" xfId="0" applyFont="1" applyFill="1" applyBorder="1" applyAlignment="1">
      <alignment horizontal="center" vertical="center" wrapText="1"/>
    </xf>
    <xf numFmtId="164" fontId="35" fillId="0" borderId="3" xfId="0" applyNumberFormat="1" applyFont="1" applyBorder="1" applyAlignment="1">
      <alignment horizontal="center" vertical="center" wrapText="1"/>
    </xf>
    <xf numFmtId="164" fontId="35" fillId="0" borderId="5" xfId="0" applyNumberFormat="1" applyFont="1" applyBorder="1" applyAlignment="1">
      <alignment horizontal="center" vertical="center" wrapText="1"/>
    </xf>
    <xf numFmtId="164" fontId="35" fillId="0" borderId="4" xfId="0" applyNumberFormat="1" applyFont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15" fontId="35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164" fontId="13" fillId="6" borderId="3" xfId="0" applyNumberFormat="1" applyFont="1" applyFill="1" applyBorder="1" applyAlignment="1">
      <alignment horizontal="center" vertical="center" wrapText="1"/>
    </xf>
    <xf numFmtId="164" fontId="13" fillId="6" borderId="5" xfId="0" applyNumberFormat="1" applyFont="1" applyFill="1" applyBorder="1" applyAlignment="1">
      <alignment horizontal="center" vertical="center" wrapText="1"/>
    </xf>
    <xf numFmtId="164" fontId="13" fillId="6" borderId="4" xfId="0" applyNumberFormat="1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174" fontId="35" fillId="6" borderId="3" xfId="0" applyNumberFormat="1" applyFont="1" applyFill="1" applyBorder="1" applyAlignment="1">
      <alignment horizontal="center" vertical="center" wrapText="1"/>
    </xf>
    <xf numFmtId="174" fontId="35" fillId="6" borderId="5" xfId="0" applyNumberFormat="1" applyFont="1" applyFill="1" applyBorder="1" applyAlignment="1">
      <alignment horizontal="center" vertical="center" wrapText="1"/>
    </xf>
    <xf numFmtId="174" fontId="35" fillId="6" borderId="4" xfId="0" applyNumberFormat="1" applyFont="1" applyFill="1" applyBorder="1" applyAlignment="1">
      <alignment horizontal="center" vertical="center" wrapText="1"/>
    </xf>
    <xf numFmtId="174" fontId="35" fillId="0" borderId="3" xfId="0" applyNumberFormat="1" applyFont="1" applyBorder="1" applyAlignment="1">
      <alignment horizontal="center" vertical="center" wrapText="1"/>
    </xf>
    <xf numFmtId="174" fontId="35" fillId="0" borderId="4" xfId="0" applyNumberFormat="1" applyFont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8" borderId="1" xfId="7" applyNumberFormat="1" applyFont="1" applyFill="1" applyBorder="1" applyAlignment="1">
      <alignment horizontal="center" vertical="center" wrapText="1"/>
    </xf>
    <xf numFmtId="170" fontId="37" fillId="10" borderId="1" xfId="0" applyNumberFormat="1" applyFont="1" applyFill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 wrapText="1"/>
    </xf>
    <xf numFmtId="14" fontId="13" fillId="0" borderId="4" xfId="0" applyNumberFormat="1" applyFont="1" applyBorder="1" applyAlignment="1">
      <alignment horizontal="center" vertical="center" wrapText="1"/>
    </xf>
  </cellXfs>
  <cellStyles count="314">
    <cellStyle name="_ET_STYLE_NoName_00_" xfId="9" xr:uid="{99507365-B084-4FF4-82B2-E2ABF1225FE3}"/>
    <cellStyle name="_ET_STYLE_NoName_00_ 2" xfId="58" xr:uid="{7A75C6EC-57A3-4164-8344-E791A9491682}"/>
    <cellStyle name="0,0_x000d__x000a_NA_x000d__x000a_" xfId="78" xr:uid="{4ECAA2B2-B47B-4180-9120-FA818F8250A2}"/>
    <cellStyle name="20% - 强调文字颜色 4 2 2 3 2 6" xfId="59" xr:uid="{17C046C0-A22E-4852-9B3B-F32878B4A9C0}"/>
    <cellStyle name="40% - 强调文字颜色 1 3 7 2 4" xfId="60" xr:uid="{3930BBBE-FE52-4679-A139-55E5951FF527}"/>
    <cellStyle name="Calculation 2" xfId="57" xr:uid="{4A0B4FDF-3367-4BB2-84BC-AAC273B278A4}"/>
    <cellStyle name="Cancel" xfId="61" xr:uid="{0DA305DB-3CF3-480B-A493-0DACA700F1DF}"/>
    <cellStyle name="Comma [0]" xfId="18" builtinId="6"/>
    <cellStyle name="Comma 2" xfId="156" xr:uid="{0EC45BDD-FDE0-49B0-BDCF-88DC006CA016}"/>
    <cellStyle name="Normal" xfId="0" builtinId="0"/>
    <cellStyle name="Normal 10" xfId="219" xr:uid="{17493436-B353-46D6-B152-DBC0687F8526}"/>
    <cellStyle name="Normal 11" xfId="282" xr:uid="{B207E601-E5A2-43CC-A059-51E78944B3E6}"/>
    <cellStyle name="Normal 2" xfId="4" xr:uid="{00000000-0005-0000-0000-000001000000}"/>
    <cellStyle name="Normal 2 10" xfId="191" xr:uid="{2A16588F-243F-4137-9BCC-A5EEC59C1E51}"/>
    <cellStyle name="Normal 2 11" xfId="223" xr:uid="{2DD17083-84BD-4DF5-8409-ED9401558420}"/>
    <cellStyle name="Normal 2 12" xfId="254" xr:uid="{CC97A7A3-B1F9-4804-955B-32B6339DB4AC}"/>
    <cellStyle name="Normal 2 13" xfId="286" xr:uid="{56021698-AA82-40B4-AF6D-368BE852CC88}"/>
    <cellStyle name="Normal 2 2" xfId="13" xr:uid="{564CEEA1-51FD-460E-8280-350C56FBA446}"/>
    <cellStyle name="Normal 2 2 10" xfId="229" xr:uid="{351B9ABE-5969-40DC-84E5-A90D581B973C}"/>
    <cellStyle name="Normal 2 2 11" xfId="260" xr:uid="{4CDDEA2B-4E29-4E4C-B1A7-08F9E9AB16B7}"/>
    <cellStyle name="Normal 2 2 12" xfId="292" xr:uid="{F50BDF2D-69D6-4FB7-917A-24A469B1F9AE}"/>
    <cellStyle name="Normal 2 2 2" xfId="29" xr:uid="{5C65BB62-4E8E-47B0-855B-F33088D7FD14}"/>
    <cellStyle name="Normal 2 2 3" xfId="41" xr:uid="{E689F1F0-CA2C-4557-B78D-6C0272DED492}"/>
    <cellStyle name="Normal 2 2 4" xfId="53" xr:uid="{CF3BAB7F-8BDA-473E-8A7E-BBE21E7EAB3F}"/>
    <cellStyle name="Normal 2 2 5" xfId="89" xr:uid="{67479739-6E64-490F-9B09-E1D8BAE7B91D}"/>
    <cellStyle name="Normal 2 2 6" xfId="112" xr:uid="{B9B66FA0-825B-4DEA-B648-D0A57E08DA31}"/>
    <cellStyle name="Normal 2 2 7" xfId="134" xr:uid="{6AF79B62-EDDB-4972-AF95-A5E903273895}"/>
    <cellStyle name="Normal 2 2 8" xfId="166" xr:uid="{7825BF29-0DCB-48AD-B923-6D762A965A2B}"/>
    <cellStyle name="Normal 2 2 9" xfId="197" xr:uid="{FBD6FD30-BBDD-4839-9216-CB2D9C7EF40C}"/>
    <cellStyle name="Normal 2 3" xfId="23" xr:uid="{46792103-E9F6-44A5-9A43-3E7D17FF76CD}"/>
    <cellStyle name="Normal 2 3 10" xfId="264" xr:uid="{9F255824-C247-4479-B351-A158AE7E2CC9}"/>
    <cellStyle name="Normal 2 3 11" xfId="296" xr:uid="{35346C4B-ECA6-448A-8434-AC34C933DC08}"/>
    <cellStyle name="Normal 2 3 2" xfId="3" xr:uid="{00000000-0005-0000-0000-000002000000}"/>
    <cellStyle name="Normal 2 3 2 10" xfId="159" xr:uid="{6B3807D1-FEBB-4E49-B7AA-8CE3B12BD4EB}"/>
    <cellStyle name="Normal 2 3 2 11" xfId="190" xr:uid="{31017A0F-06CA-41C2-A02D-D56C380491EB}"/>
    <cellStyle name="Normal 2 3 2 12" xfId="222" xr:uid="{A7C42CBC-916B-4070-AA41-2058D9C7CCF7}"/>
    <cellStyle name="Normal 2 3 2 13" xfId="253" xr:uid="{BE336317-5BBD-45F0-A528-79465DCC62D8}"/>
    <cellStyle name="Normal 2 3 2 14" xfId="285" xr:uid="{9E9E259F-ABDC-4901-8CB8-1A469CA7EA9C}"/>
    <cellStyle name="Normal 2 3 2 2" xfId="2" xr:uid="{00000000-0005-0000-0000-000003000000}"/>
    <cellStyle name="Normal 2 3 2 2 10" xfId="189" xr:uid="{756C83AA-B411-458D-AA61-13B267019C44}"/>
    <cellStyle name="Normal 2 3 2 2 11" xfId="221" xr:uid="{CBF88E45-6C75-4C04-B58C-74AD88F2B609}"/>
    <cellStyle name="Normal 2 3 2 2 12" xfId="252" xr:uid="{D20161C4-ED7F-4C04-A3F5-85370D9DAF93}"/>
    <cellStyle name="Normal 2 3 2 2 13" xfId="284" xr:uid="{56F7FAFA-79E4-464D-97C1-99A9C73F0E07}"/>
    <cellStyle name="Normal 2 3 2 2 2" xfId="11" xr:uid="{4BF9BFF1-6956-4C31-89A1-DCCF85530078}"/>
    <cellStyle name="Normal 2 3 2 2 2 10" xfId="227" xr:uid="{13479689-EB11-4E77-B307-9233020BE527}"/>
    <cellStyle name="Normal 2 3 2 2 2 11" xfId="258" xr:uid="{31FC70DA-82D8-4105-9364-7529FC02A02C}"/>
    <cellStyle name="Normal 2 3 2 2 2 12" xfId="290" xr:uid="{228E615B-280E-4837-A053-A526AF2643B7}"/>
    <cellStyle name="Normal 2 3 2 2 2 2" xfId="27" xr:uid="{4770ADE5-48F0-46AA-AF11-F62C41C1716E}"/>
    <cellStyle name="Normal 2 3 2 2 2 3" xfId="39" xr:uid="{53262864-FA0E-41B1-9E17-CBE5E4390A82}"/>
    <cellStyle name="Normal 2 3 2 2 2 4" xfId="51" xr:uid="{14F72503-2CAB-4609-B18B-D7B3887E3D73}"/>
    <cellStyle name="Normal 2 3 2 2 2 5" xfId="87" xr:uid="{DA3326AF-1A5E-41A4-B656-2573DB606550}"/>
    <cellStyle name="Normal 2 3 2 2 2 6" xfId="110" xr:uid="{FDAEA96D-3DD7-4725-8D42-B836C9671320}"/>
    <cellStyle name="Normal 2 3 2 2 2 7" xfId="132" xr:uid="{D7A2166D-5C1A-471D-A3BD-34B71300084E}"/>
    <cellStyle name="Normal 2 3 2 2 2 8" xfId="164" xr:uid="{0E561BAF-16F1-4A03-BC76-54D6AD69356A}"/>
    <cellStyle name="Normal 2 3 2 2 2 9" xfId="195" xr:uid="{23458B07-060E-4890-B012-D604E08910E1}"/>
    <cellStyle name="Normal 2 3 2 2 3" xfId="21" xr:uid="{358D1C0D-9B02-4829-A589-EC67ED88459B}"/>
    <cellStyle name="Normal 2 3 2 2 3 10" xfId="298" xr:uid="{95754CDC-3291-45F7-8878-FA15B246044C}"/>
    <cellStyle name="Normal 2 3 2 2 3 2" xfId="64" xr:uid="{9705C760-225F-4E1B-8D9D-1E1E6CB9B210}"/>
    <cellStyle name="Normal 2 3 2 2 3 3" xfId="95" xr:uid="{9A5D81CA-0903-48A9-BB92-02B418DF7BDA}"/>
    <cellStyle name="Normal 2 3 2 2 3 4" xfId="118" xr:uid="{4DECBB7C-0D40-4708-B20A-8FA687482140}"/>
    <cellStyle name="Normal 2 3 2 2 3 5" xfId="140" xr:uid="{B9FC26D8-08B7-439B-BE5D-7917F39D4918}"/>
    <cellStyle name="Normal 2 3 2 2 3 6" xfId="172" xr:uid="{76E30ADF-AFC1-4FAC-8161-8F37090FC18F}"/>
    <cellStyle name="Normal 2 3 2 2 3 7" xfId="203" xr:uid="{C774FDE8-D1FC-4203-B1A5-F552989AC45C}"/>
    <cellStyle name="Normal 2 3 2 2 3 8" xfId="235" xr:uid="{6046B66B-F4D3-4E00-A4F9-63675EA69D6B}"/>
    <cellStyle name="Normal 2 3 2 2 3 9" xfId="266" xr:uid="{B0D1A5B6-E511-47DA-A187-4BCCD765EEFB}"/>
    <cellStyle name="Normal 2 3 2 2 4" xfId="33" xr:uid="{98D1C63C-4084-4F0B-928B-A3F550A5F3A2}"/>
    <cellStyle name="Normal 2 3 2 2 4 2" xfId="150" xr:uid="{55A58B2D-51C2-4E8D-999B-AA186946DC2E}"/>
    <cellStyle name="Normal 2 3 2 2 4 3" xfId="182" xr:uid="{DFF06BE4-EA2B-4ADA-B4BC-6708DCEC204B}"/>
    <cellStyle name="Normal 2 3 2 2 4 4" xfId="213" xr:uid="{CF8A02DB-0753-4924-B4BB-183AF6CACD53}"/>
    <cellStyle name="Normal 2 3 2 2 4 5" xfId="245" xr:uid="{22D34CEB-1B27-4A61-84A9-0DC45C78D0DF}"/>
    <cellStyle name="Normal 2 3 2 2 4 6" xfId="276" xr:uid="{11DA0193-78E3-4340-A2ED-422B941B167D}"/>
    <cellStyle name="Normal 2 3 2 2 4 7" xfId="308" xr:uid="{E39FE056-72BF-424C-BEE1-3DE0D05C384B}"/>
    <cellStyle name="Normal 2 3 2 2 5" xfId="45" xr:uid="{AE3B6031-4E20-4932-8D53-C4736E615439}"/>
    <cellStyle name="Normal 2 3 2 2 6" xfId="81" xr:uid="{2D40C51A-DA9E-4C96-B236-100657A91BA1}"/>
    <cellStyle name="Normal 2 3 2 2 7" xfId="104" xr:uid="{3D957B07-E153-4D17-83FF-FDFC57E21C8E}"/>
    <cellStyle name="Normal 2 3 2 2 8" xfId="126" xr:uid="{9CB1A3B4-6EFC-49AF-BFA1-38E2E1A0A558}"/>
    <cellStyle name="Normal 2 3 2 2 9" xfId="158" xr:uid="{2A89BC7C-4EB5-4F91-829E-7AFDE4F8638F}"/>
    <cellStyle name="Normal 2 3 2 3" xfId="12" xr:uid="{93A37E5E-A9B5-4ADD-9826-82952F708F7A}"/>
    <cellStyle name="Normal 2 3 2 3 10" xfId="228" xr:uid="{D43B8F25-AEDF-4ED3-BFF2-F903E31D69BF}"/>
    <cellStyle name="Normal 2 3 2 3 11" xfId="259" xr:uid="{1C9104B5-EEFB-4925-B940-2F963E292C05}"/>
    <cellStyle name="Normal 2 3 2 3 12" xfId="291" xr:uid="{69DD6BD6-512A-4119-9383-2D5B351128B4}"/>
    <cellStyle name="Normal 2 3 2 3 2" xfId="28" xr:uid="{CB04AF7C-FD45-4656-93BA-0E52894D1FAE}"/>
    <cellStyle name="Normal 2 3 2 3 3" xfId="40" xr:uid="{4382162C-FA36-4CDD-B1F4-A612284835BA}"/>
    <cellStyle name="Normal 2 3 2 3 4" xfId="52" xr:uid="{57E4DAD6-BA24-4CA8-A89E-DCF1DBBE2818}"/>
    <cellStyle name="Normal 2 3 2 3 5" xfId="88" xr:uid="{477B6AE6-5924-47E2-88F7-39B15C8D6FBE}"/>
    <cellStyle name="Normal 2 3 2 3 6" xfId="111" xr:uid="{4E9B31DE-0F05-47ED-BD7E-AC6F983D5371}"/>
    <cellStyle name="Normal 2 3 2 3 7" xfId="133" xr:uid="{3D03E85C-F0AB-44B6-A0A2-BC07D0C7CBD2}"/>
    <cellStyle name="Normal 2 3 2 3 8" xfId="165" xr:uid="{76EA9380-1306-49B9-9C9A-6CD0770CBC9D}"/>
    <cellStyle name="Normal 2 3 2 3 9" xfId="196" xr:uid="{A9467950-46AB-4E35-B20A-670AFB4E0DC9}"/>
    <cellStyle name="Normal 2 3 2 4" xfId="22" xr:uid="{3E3D5A40-951F-43D7-8841-7FF749C4EEA1}"/>
    <cellStyle name="Normal 2 3 2 4 10" xfId="297" xr:uid="{6081911D-211B-4AD3-B8F1-ACC02A40D83A}"/>
    <cellStyle name="Normal 2 3 2 4 2" xfId="63" xr:uid="{DF3E597A-745E-4602-A112-2BF8FB63F5CD}"/>
    <cellStyle name="Normal 2 3 2 4 3" xfId="94" xr:uid="{A4147B7B-1A2E-4C26-878C-3EEEB793D210}"/>
    <cellStyle name="Normal 2 3 2 4 4" xfId="117" xr:uid="{100BBA22-D1AB-400D-A780-46A3060A5A0A}"/>
    <cellStyle name="Normal 2 3 2 4 5" xfId="139" xr:uid="{A978755A-97A7-4316-850A-348F1DA69203}"/>
    <cellStyle name="Normal 2 3 2 4 6" xfId="171" xr:uid="{71EE7BA0-C602-452B-8D18-B17CFA89B265}"/>
    <cellStyle name="Normal 2 3 2 4 7" xfId="202" xr:uid="{EE774872-CCD0-493B-B3CA-6A644FBACAD3}"/>
    <cellStyle name="Normal 2 3 2 4 8" xfId="234" xr:uid="{0F238418-6E3A-4EA6-A643-A11C84384B16}"/>
    <cellStyle name="Normal 2 3 2 4 9" xfId="265" xr:uid="{E5CE394F-8531-4BB5-9360-820F257DF7A0}"/>
    <cellStyle name="Normal 2 3 2 5" xfId="34" xr:uid="{71C04A3E-0CB5-432D-92E8-CAA83AAC9217}"/>
    <cellStyle name="Normal 2 3 2 5 2" xfId="149" xr:uid="{D813AD11-E5BD-438B-914C-1A62F42B4EAE}"/>
    <cellStyle name="Normal 2 3 2 5 3" xfId="181" xr:uid="{35A35D5C-2BD6-440F-AAF7-68DF380A8E76}"/>
    <cellStyle name="Normal 2 3 2 5 4" xfId="212" xr:uid="{B8296687-80D0-4E03-9674-D23E40560803}"/>
    <cellStyle name="Normal 2 3 2 5 5" xfId="244" xr:uid="{6CF846A1-0CB2-49F2-AABA-E826C0BA6292}"/>
    <cellStyle name="Normal 2 3 2 5 6" xfId="275" xr:uid="{CAF188D7-D79A-4266-BD4A-834586091D49}"/>
    <cellStyle name="Normal 2 3 2 5 7" xfId="307" xr:uid="{B59E89A5-06C8-4565-8FF4-910048F06E19}"/>
    <cellStyle name="Normal 2 3 2 6" xfId="46" xr:uid="{3944C3CB-2037-46F9-8FC8-3CD154C13422}"/>
    <cellStyle name="Normal 2 3 2 7" xfId="82" xr:uid="{86EE7ADD-633F-42C3-974E-753B1F8A8769}"/>
    <cellStyle name="Normal 2 3 2 8" xfId="105" xr:uid="{257B219A-CED1-4AEA-AAAF-E0E3574FDE6A}"/>
    <cellStyle name="Normal 2 3 2 9" xfId="127" xr:uid="{9C8F6293-03D5-4850-83C4-ED9081442E1C}"/>
    <cellStyle name="Normal 2 3 3" xfId="62" xr:uid="{87B316F8-BFFD-44DC-939D-A7C199E765DD}"/>
    <cellStyle name="Normal 2 3 4" xfId="93" xr:uid="{8B06D1AB-6C77-4376-933C-E043990365C6}"/>
    <cellStyle name="Normal 2 3 5" xfId="116" xr:uid="{EE4B1402-7933-48E2-8089-6DD94C4C2E2E}"/>
    <cellStyle name="Normal 2 3 6" xfId="138" xr:uid="{09D49509-E9E8-4B89-9380-7670BB052088}"/>
    <cellStyle name="Normal 2 3 7" xfId="170" xr:uid="{6644A6F3-F13B-4C8A-A275-6564DA29505C}"/>
    <cellStyle name="Normal 2 3 8" xfId="201" xr:uid="{5A4F6D40-7060-40FC-A9D5-296E4BB552FF}"/>
    <cellStyle name="Normal 2 3 9" xfId="233" xr:uid="{AFEDCEAB-9F69-40EF-920D-ECC6F3A0EE45}"/>
    <cellStyle name="Normal 2 4" xfId="35" xr:uid="{45FF96E1-DDD2-47D3-AFCF-4C72FC4412B4}"/>
    <cellStyle name="Normal 2 4 2" xfId="148" xr:uid="{AD1EA947-DAFF-4426-B609-1959A93375BA}"/>
    <cellStyle name="Normal 2 4 3" xfId="180" xr:uid="{3DC315CF-74F4-4CEA-B420-35630B932E6B}"/>
    <cellStyle name="Normal 2 4 4" xfId="211" xr:uid="{8FD3332D-8485-4063-920E-FE86D18CC5B2}"/>
    <cellStyle name="Normal 2 4 5" xfId="243" xr:uid="{7A2315BD-354E-4543-A419-FC7A354AD749}"/>
    <cellStyle name="Normal 2 4 6" xfId="274" xr:uid="{40250F12-A09C-4CFB-9AE8-348A33CFFD84}"/>
    <cellStyle name="Normal 2 4 7" xfId="306" xr:uid="{95D858DE-52F2-40A7-813E-9636FF77889A}"/>
    <cellStyle name="Normal 2 5" xfId="47" xr:uid="{4788BE1B-FD9A-4038-A6CC-D367D330BCA1}"/>
    <cellStyle name="Normal 2 6" xfId="83" xr:uid="{6D547C54-9679-4214-9E7F-78DA25D5E6BA}"/>
    <cellStyle name="Normal 2 7" xfId="106" xr:uid="{4B848518-2D8A-4086-AB3F-87A3853A974C}"/>
    <cellStyle name="Normal 2 8" xfId="128" xr:uid="{FB571982-CDAE-44D6-8D4C-86CC0C507B79}"/>
    <cellStyle name="Normal 2 9" xfId="160" xr:uid="{B280DE42-CED7-413D-8DC7-7FBCE97ACFD8}"/>
    <cellStyle name="Normal 3" xfId="14" xr:uid="{AE230427-8AF8-4C47-B398-91B06C7A2BAA}"/>
    <cellStyle name="Normal 3 10" xfId="230" xr:uid="{5E3408D1-680A-42BA-837E-70B32988FF64}"/>
    <cellStyle name="Normal 3 11" xfId="261" xr:uid="{33719294-C66A-433A-B29C-BC6721542B7E}"/>
    <cellStyle name="Normal 3 12" xfId="293" xr:uid="{F9991F62-F65D-4541-AFF3-00D0D1CEBAE3}"/>
    <cellStyle name="Normal 3 2" xfId="30" xr:uid="{C268563A-40E3-4A2C-863E-AA2D9775384C}"/>
    <cellStyle name="Normal 3 2 10" xfId="299" xr:uid="{0ADC53A4-F6A4-4F0E-84F8-F6333D6AF4BA}"/>
    <cellStyle name="Normal 3 2 2" xfId="65" xr:uid="{718A86EE-AC46-4C99-87FB-2ACC83F3C791}"/>
    <cellStyle name="Normal 3 2 3" xfId="96" xr:uid="{0C61DC61-9740-4DA5-9B6F-3336DEF268EB}"/>
    <cellStyle name="Normal 3 2 4" xfId="119" xr:uid="{1CCE20D6-0177-451B-9788-AABC68842D12}"/>
    <cellStyle name="Normal 3 2 5" xfId="141" xr:uid="{C470D195-A58F-42F5-BCDA-CF92A4E9C54A}"/>
    <cellStyle name="Normal 3 2 6" xfId="173" xr:uid="{0C2E7E46-B63E-421C-B352-70910D2468FE}"/>
    <cellStyle name="Normal 3 2 7" xfId="204" xr:uid="{107715C0-7016-492C-8B5A-ED5696D5C1C9}"/>
    <cellStyle name="Normal 3 2 8" xfId="236" xr:uid="{F25563A8-AE28-4A51-8302-BB56F2CF6ADA}"/>
    <cellStyle name="Normal 3 2 9" xfId="267" xr:uid="{659AB320-EE06-4C41-9A38-CA003F8BC16A}"/>
    <cellStyle name="Normal 3 3" xfId="42" xr:uid="{9D695149-99EF-4C7A-9EBE-43B6B1EDC782}"/>
    <cellStyle name="Normal 3 3 2" xfId="151" xr:uid="{6AC73FC2-9B86-4E2F-B18F-A88D09363E41}"/>
    <cellStyle name="Normal 3 3 3" xfId="183" xr:uid="{48ED071F-7F90-45D3-BF60-EC2FE32974E3}"/>
    <cellStyle name="Normal 3 3 4" xfId="214" xr:uid="{69F1D05E-D133-4570-ACEA-52B2A4874FD7}"/>
    <cellStyle name="Normal 3 3 5" xfId="246" xr:uid="{CD48928A-4D04-4DCE-9599-3AA142A926B8}"/>
    <cellStyle name="Normal 3 3 6" xfId="277" xr:uid="{19AEBC40-B94E-4E73-8BEC-437CCFFB7BB4}"/>
    <cellStyle name="Normal 3 3 7" xfId="309" xr:uid="{C5A23468-FC71-4AB0-AC14-0028C9862AA2}"/>
    <cellStyle name="Normal 3 4" xfId="54" xr:uid="{7EDFBA07-7B1A-4B38-8798-9C7C949064F8}"/>
    <cellStyle name="Normal 3 5" xfId="90" xr:uid="{6138F3F2-A6A6-41BA-996D-208154548D52}"/>
    <cellStyle name="Normal 3 6" xfId="113" xr:uid="{2C71C88F-3B12-4EF0-B295-F9A570708243}"/>
    <cellStyle name="Normal 3 7" xfId="135" xr:uid="{21F2A8F2-7FBE-4B5E-BCC6-543032BBF874}"/>
    <cellStyle name="Normal 3 8" xfId="167" xr:uid="{5CEE0D69-816F-4362-9AEF-8F15B303C5D0}"/>
    <cellStyle name="Normal 3 9" xfId="198" xr:uid="{0FCB839E-AA7A-48A6-85C9-845077152DB4}"/>
    <cellStyle name="Normal 4" xfId="8" xr:uid="{A289742F-58BF-4916-9BBE-20C7EFA8300E}"/>
    <cellStyle name="Normal 4 10" xfId="225" xr:uid="{79DE7CE4-C3BB-4F79-B19B-0024F85355DD}"/>
    <cellStyle name="Normal 4 11" xfId="256" xr:uid="{48EFA62C-03A8-4BEC-BD73-6CC199A5B684}"/>
    <cellStyle name="Normal 4 12" xfId="288" xr:uid="{705690E7-8C57-4A52-BCD7-344D2E2502EB}"/>
    <cellStyle name="Normal 4 2" xfId="25" xr:uid="{E832985D-DD7B-4A9D-A57F-0E8951B5F29E}"/>
    <cellStyle name="Normal 4 2 10" xfId="300" xr:uid="{D1C0B089-7AB9-4F00-B667-955E1F13656D}"/>
    <cellStyle name="Normal 4 2 2" xfId="66" xr:uid="{BE87FD84-DB44-4A4A-B0AA-716B8F66AA51}"/>
    <cellStyle name="Normal 4 2 3" xfId="97" xr:uid="{F428F3D7-2823-4F87-9FC4-4C4EA836D674}"/>
    <cellStyle name="Normal 4 2 4" xfId="120" xr:uid="{38AEFA59-2117-453C-8D8E-456394F840EB}"/>
    <cellStyle name="Normal 4 2 5" xfId="142" xr:uid="{4F85383D-99C2-414A-A365-E37BD52B420C}"/>
    <cellStyle name="Normal 4 2 6" xfId="174" xr:uid="{17161B98-DA3A-47A6-8F97-A2E31B76AC61}"/>
    <cellStyle name="Normal 4 2 7" xfId="205" xr:uid="{123A6556-A2CE-49A0-B802-2B58104EB58C}"/>
    <cellStyle name="Normal 4 2 8" xfId="237" xr:uid="{1468A5CA-08AD-42DC-A439-62C1ACAEA5EE}"/>
    <cellStyle name="Normal 4 2 9" xfId="268" xr:uid="{B7B2BFFE-7637-4442-AB11-A0308E17D5DE}"/>
    <cellStyle name="Normal 4 3" xfId="37" xr:uid="{0515542C-0764-4D87-A7D9-05CFD3766EDA}"/>
    <cellStyle name="Normal 4 3 2" xfId="152" xr:uid="{D1795879-0AE4-4C2C-882F-6A421C273A9A}"/>
    <cellStyle name="Normal 4 3 3" xfId="184" xr:uid="{2BD04083-16EA-424A-951A-7CD66F04DAE9}"/>
    <cellStyle name="Normal 4 3 4" xfId="215" xr:uid="{132CF31E-2152-4D5C-84D7-69759F3B6586}"/>
    <cellStyle name="Normal 4 3 5" xfId="247" xr:uid="{9BC92250-02A0-4457-A807-9C483A0580BF}"/>
    <cellStyle name="Normal 4 3 6" xfId="278" xr:uid="{EBC75CD8-BF4B-4F34-9F2D-778EA42A0453}"/>
    <cellStyle name="Normal 4 3 7" xfId="310" xr:uid="{E32DE1D5-A730-47B8-B470-C801D571D55E}"/>
    <cellStyle name="Normal 4 4" xfId="49" xr:uid="{DFD541A4-55B5-48A6-84D1-91CF4488F369}"/>
    <cellStyle name="Normal 4 5" xfId="85" xr:uid="{064A48F0-AA11-4FB1-BC50-FC60E3DF6AA2}"/>
    <cellStyle name="Normal 4 6" xfId="108" xr:uid="{9C952FDD-32E0-418D-9C71-5D2352ECF2C2}"/>
    <cellStyle name="Normal 4 7" xfId="130" xr:uid="{D74C6C33-530B-4C28-8A1B-B42BE14C00DD}"/>
    <cellStyle name="Normal 4 8" xfId="162" xr:uid="{9AFFF49F-4F88-41FE-97CC-676BB9DF1800}"/>
    <cellStyle name="Normal 4 9" xfId="193" xr:uid="{B03902BC-93F4-4A3D-8423-32AE3F3E5361}"/>
    <cellStyle name="Normal 5" xfId="19" xr:uid="{38CF4BA8-CDFE-453C-9ED6-48F6E2AE67C3}"/>
    <cellStyle name="Normal 5 10" xfId="295" xr:uid="{4E90E6C2-EF63-4AF8-941E-5D2892F86C14}"/>
    <cellStyle name="Normal 5 2" xfId="56" xr:uid="{13A45DD8-F517-426C-AF4D-497ACA0782B5}"/>
    <cellStyle name="Normal 5 3" xfId="92" xr:uid="{D5B36556-D7E8-4E97-ABA6-4A301DD72B29}"/>
    <cellStyle name="Normal 5 4" xfId="115" xr:uid="{69622707-08C4-423A-891E-2979AFB14C5B}"/>
    <cellStyle name="Normal 5 5" xfId="137" xr:uid="{205D669A-0245-46BB-B5CE-FA7F6A9252C4}"/>
    <cellStyle name="Normal 5 6" xfId="169" xr:uid="{9A908C88-D81B-474C-A0DA-27AFCA72BFE4}"/>
    <cellStyle name="Normal 5 7" xfId="200" xr:uid="{72D3326F-C2E3-484B-9F91-09941E7E42F6}"/>
    <cellStyle name="Normal 5 8" xfId="232" xr:uid="{291E8000-A742-46D1-B1BD-7D1589FC0973}"/>
    <cellStyle name="Normal 5 9" xfId="263" xr:uid="{36688FED-E9CD-4219-816F-885706A44A4D}"/>
    <cellStyle name="Normal 6" xfId="1" xr:uid="{00000000-0005-0000-0000-000004000000}"/>
    <cellStyle name="Normal 6 10" xfId="188" xr:uid="{5A33A29D-CF3A-4694-9B1D-E852FE36BA98}"/>
    <cellStyle name="Normal 6 11" xfId="220" xr:uid="{4B214F31-CB9C-4584-B52F-64E8852F398A}"/>
    <cellStyle name="Normal 6 12" xfId="251" xr:uid="{923EAF67-AEA0-4916-98CB-F00B51052791}"/>
    <cellStyle name="Normal 6 13" xfId="283" xr:uid="{FC3D0737-A22B-43E0-B7F1-DB3F97110549}"/>
    <cellStyle name="Normal 6 2" xfId="10" xr:uid="{EE4E8EBE-2B12-4439-B538-A03B1912D0C3}"/>
    <cellStyle name="Normal 6 2 10" xfId="226" xr:uid="{6C649B76-3F8E-4BEC-976A-ECFE558565A1}"/>
    <cellStyle name="Normal 6 2 11" xfId="257" xr:uid="{55561BAD-9958-45D6-8166-504AC8134FE0}"/>
    <cellStyle name="Normal 6 2 12" xfId="289" xr:uid="{92C8FDCC-BFA1-43E1-B513-6AAEB73AD912}"/>
    <cellStyle name="Normal 6 2 2" xfId="26" xr:uid="{14008292-BB0C-4D20-9EEC-3C57E7DD78B8}"/>
    <cellStyle name="Normal 6 2 3" xfId="38" xr:uid="{3DD6F014-C3C8-467A-8816-736A4885A7B5}"/>
    <cellStyle name="Normal 6 2 4" xfId="50" xr:uid="{7C7D24CB-0143-4352-8337-D1C98801331B}"/>
    <cellStyle name="Normal 6 2 5" xfId="86" xr:uid="{F6707AD7-3F2E-4EF2-AB9F-D52448A172D3}"/>
    <cellStyle name="Normal 6 2 6" xfId="109" xr:uid="{ED78A450-21CF-40E9-A9DF-B70099319487}"/>
    <cellStyle name="Normal 6 2 7" xfId="131" xr:uid="{0E740F40-E1FA-46D0-AC3F-325C453CA3A5}"/>
    <cellStyle name="Normal 6 2 8" xfId="163" xr:uid="{9F50B0B3-71CA-462C-A178-E81E6AB70D96}"/>
    <cellStyle name="Normal 6 2 9" xfId="194" xr:uid="{668DA7AD-E0C4-48EB-B8A4-E8DEEDD4CA89}"/>
    <cellStyle name="Normal 6 3" xfId="20" xr:uid="{EAECFDFB-FF22-428F-B024-DF4BC50ACBC1}"/>
    <cellStyle name="Normal 6 3 10" xfId="301" xr:uid="{2E3CA6AF-4BD0-4169-8EA6-F148C9832697}"/>
    <cellStyle name="Normal 6 3 2" xfId="67" xr:uid="{175BC6D9-6B1A-4C6D-8F00-09C9DD33E26C}"/>
    <cellStyle name="Normal 6 3 3" xfId="98" xr:uid="{4245701C-6819-4DDC-B6E6-E3C265BCA709}"/>
    <cellStyle name="Normal 6 3 4" xfId="121" xr:uid="{AD59EC14-B8AA-4A85-ACFA-064E1DD57366}"/>
    <cellStyle name="Normal 6 3 5" xfId="143" xr:uid="{0C583CAA-B621-4BCE-804F-CA73DDE1A0BF}"/>
    <cellStyle name="Normal 6 3 6" xfId="175" xr:uid="{CCFB83D3-79D4-4A42-9205-367112907F9D}"/>
    <cellStyle name="Normal 6 3 7" xfId="206" xr:uid="{77C434E0-9CC1-4938-9AE0-F8E3FED209B4}"/>
    <cellStyle name="Normal 6 3 8" xfId="238" xr:uid="{E3F48302-91FA-46F6-8261-25BD69AF6C6D}"/>
    <cellStyle name="Normal 6 3 9" xfId="269" xr:uid="{12CB25D9-2C6A-44AE-AB86-FD8E7D05E5B4}"/>
    <cellStyle name="Normal 6 4" xfId="32" xr:uid="{7FC2EB2F-1BD3-4031-8166-A0E5E18EBBA5}"/>
    <cellStyle name="Normal 6 4 2" xfId="153" xr:uid="{C92C7A35-5109-4285-A433-38583769A5E6}"/>
    <cellStyle name="Normal 6 4 3" xfId="185" xr:uid="{F956AF60-1538-444F-8501-9370B62011AB}"/>
    <cellStyle name="Normal 6 4 4" xfId="216" xr:uid="{F2A8A7E6-07A8-4B3E-9CB3-B4CB336941A8}"/>
    <cellStyle name="Normal 6 4 5" xfId="248" xr:uid="{FF6CCFD1-CD75-4E93-A588-C102681D3BCC}"/>
    <cellStyle name="Normal 6 4 6" xfId="279" xr:uid="{BB6BBAEF-64D5-4524-B87F-E4DB53039330}"/>
    <cellStyle name="Normal 6 4 7" xfId="311" xr:uid="{FA7FBA0F-CC96-479A-81C1-EE81F4C99AFC}"/>
    <cellStyle name="Normal 6 5" xfId="44" xr:uid="{DBD63CAC-3FB2-4CA4-8CAA-7739F7371A1E}"/>
    <cellStyle name="Normal 6 6" xfId="80" xr:uid="{7AD5C161-0FEE-44AD-B8E5-9E79578169FE}"/>
    <cellStyle name="Normal 6 7" xfId="103" xr:uid="{C8BFDCFA-AD8E-43A8-8128-A02C3B7740BF}"/>
    <cellStyle name="Normal 6 8" xfId="125" xr:uid="{B1274F0F-7233-4B41-87B9-7A7D72C0144F}"/>
    <cellStyle name="Normal 6 9" xfId="157" xr:uid="{8E17AC4B-3BD5-4E5E-A968-0AAAAAD0898E}"/>
    <cellStyle name="Normal 7" xfId="6" xr:uid="{00000000-0005-0000-0000-000005000000}"/>
    <cellStyle name="Normal 7 10" xfId="192" xr:uid="{10AD3A9D-2ED3-40CB-932D-BCB6D50AEF9E}"/>
    <cellStyle name="Normal 7 11" xfId="224" xr:uid="{B5CC9DFB-A18A-4C94-8027-CEE2CDF84059}"/>
    <cellStyle name="Normal 7 12" xfId="255" xr:uid="{8D50249E-2D38-4E93-B0D4-E06B65C6AE48}"/>
    <cellStyle name="Normal 7 13" xfId="287" xr:uid="{A04A57C8-0FDD-40CF-A5F7-D8EDD7DFA5EA}"/>
    <cellStyle name="Normal 7 2" xfId="15" xr:uid="{1D2E81F6-932F-4B9B-BA83-78FB4D5BD47C}"/>
    <cellStyle name="Normal 7 2 10" xfId="231" xr:uid="{5F7ABB7B-86BE-4DBD-A543-B61B0CC7F359}"/>
    <cellStyle name="Normal 7 2 11" xfId="262" xr:uid="{151F55C9-381B-403C-98F5-09E08878453E}"/>
    <cellStyle name="Normal 7 2 12" xfId="294" xr:uid="{72BAD1B9-9983-4A2B-B9D2-169F57B4ABDB}"/>
    <cellStyle name="Normal 7 2 2" xfId="31" xr:uid="{FCA19916-8311-41B9-A4DE-2428F726B971}"/>
    <cellStyle name="Normal 7 2 3" xfId="43" xr:uid="{E83EE1B5-43DC-4FB0-9FEE-D7496EC8F651}"/>
    <cellStyle name="Normal 7 2 4" xfId="55" xr:uid="{3FE8BD6D-159A-4FC7-967B-B6D86481AC23}"/>
    <cellStyle name="Normal 7 2 5" xfId="91" xr:uid="{E19C1B93-4D71-4CFA-8E51-46EA7FC57187}"/>
    <cellStyle name="Normal 7 2 6" xfId="114" xr:uid="{FBBDCFFF-D168-4880-A9B2-11D38A5D8731}"/>
    <cellStyle name="Normal 7 2 7" xfId="136" xr:uid="{C9F92C65-A953-4EC1-877D-754E42BD7DD5}"/>
    <cellStyle name="Normal 7 2 8" xfId="168" xr:uid="{0CA1C7F1-BB17-44C5-AC8E-31E18E5FC1E2}"/>
    <cellStyle name="Normal 7 2 9" xfId="199" xr:uid="{D44F1C99-EC5A-4532-9E2F-1956DC5C074B}"/>
    <cellStyle name="Normal 7 3" xfId="24" xr:uid="{25AD799A-213A-47E5-BDEA-FED49CE42368}"/>
    <cellStyle name="Normal 7 3 10" xfId="302" xr:uid="{341E9B4B-142C-4C1D-A20D-63D20E3B3F81}"/>
    <cellStyle name="Normal 7 3 2" xfId="68" xr:uid="{8424C083-DFFD-4B4B-8529-ACE214EC4E29}"/>
    <cellStyle name="Normal 7 3 3" xfId="99" xr:uid="{1FE14E8D-C0D1-4E19-AD4A-6350C188ECC1}"/>
    <cellStyle name="Normal 7 3 4" xfId="122" xr:uid="{2A9E0B02-37A7-4DDB-BB0F-5576D5B15596}"/>
    <cellStyle name="Normal 7 3 5" xfId="144" xr:uid="{40E0F79E-56C9-4C6F-8A17-BDD31693F6D7}"/>
    <cellStyle name="Normal 7 3 6" xfId="176" xr:uid="{717996E6-C949-4132-84AF-D16FCFF14593}"/>
    <cellStyle name="Normal 7 3 7" xfId="207" xr:uid="{4B2006DA-AB02-4AEE-9271-A20FF5E97BF9}"/>
    <cellStyle name="Normal 7 3 8" xfId="239" xr:uid="{13B6EAEC-A326-4E54-81ED-253AFD5581F6}"/>
    <cellStyle name="Normal 7 3 9" xfId="270" xr:uid="{98C097A3-17DC-485B-B2EC-70ABF7AC59F1}"/>
    <cellStyle name="Normal 7 4" xfId="36" xr:uid="{001E165C-4D56-4FA3-9D7D-871F55AF1CDB}"/>
    <cellStyle name="Normal 7 4 2" xfId="154" xr:uid="{18F7B6CC-ED7B-441B-B63E-7A4BE2CF851C}"/>
    <cellStyle name="Normal 7 4 3" xfId="186" xr:uid="{44516D67-41FC-45AC-B56E-FA753C146B2A}"/>
    <cellStyle name="Normal 7 4 4" xfId="217" xr:uid="{E1FDB2F5-1BB7-45DF-83FA-AF347863B4B9}"/>
    <cellStyle name="Normal 7 4 5" xfId="249" xr:uid="{A87FC264-F92A-487B-908D-953CBA0080ED}"/>
    <cellStyle name="Normal 7 4 6" xfId="280" xr:uid="{6CB36463-3C15-4268-9749-4CEB370F778C}"/>
    <cellStyle name="Normal 7 4 7" xfId="312" xr:uid="{7CAA5D86-96F5-4C25-985F-4C9E4F5A9E52}"/>
    <cellStyle name="Normal 7 5" xfId="48" xr:uid="{2A3B0911-3145-417D-935B-10F98299B068}"/>
    <cellStyle name="Normal 7 6" xfId="84" xr:uid="{7C62DBC0-10A2-4266-9C76-95836BF6CE65}"/>
    <cellStyle name="Normal 7 7" xfId="107" xr:uid="{FF04FA4F-4E72-4441-996B-A2E8D3A490FF}"/>
    <cellStyle name="Normal 7 8" xfId="129" xr:uid="{89634B7B-A125-4649-8F1C-06693EA9CF0E}"/>
    <cellStyle name="Normal 7 9" xfId="161" xr:uid="{F84C7943-5B2D-465E-B490-225E41AFA67D}"/>
    <cellStyle name="Normal 8" xfId="79" xr:uid="{2B358BB8-216F-4613-977B-E44669C64E82}"/>
    <cellStyle name="Normal 8 2" xfId="147" xr:uid="{B4677183-F75C-4746-90DC-6D3326FB2965}"/>
    <cellStyle name="Normal 8 3" xfId="179" xr:uid="{EA1362B7-535B-4DF4-987E-C9D31243B5D9}"/>
    <cellStyle name="Normal 8 4" xfId="210" xr:uid="{7D239D76-2861-4AF7-ABDC-4AA05A530B23}"/>
    <cellStyle name="Normal 8 5" xfId="242" xr:uid="{8530FA5D-E563-4D12-8DE4-2DB0A8869B28}"/>
    <cellStyle name="Normal 8 6" xfId="273" xr:uid="{EE3B2E8C-E859-4EFB-A522-78AEDD15E7BA}"/>
    <cellStyle name="Normal 8 7" xfId="305" xr:uid="{109D8776-7EA6-4016-91E8-2FC54D26B862}"/>
    <cellStyle name="Normal 9" xfId="102" xr:uid="{A8661436-858F-4AAB-B9F6-806EBD5C99C2}"/>
    <cellStyle name="一般_930119成本報價" xfId="77" xr:uid="{3ACF496B-3C1B-40E0-857A-538E86451610}"/>
    <cellStyle name="千分位[0] 2 5" xfId="69" xr:uid="{BF10BAC4-A77A-4538-AA16-3D430BA7570D}"/>
    <cellStyle name="千分位[0] 2 5 2" xfId="100" xr:uid="{132BE803-897B-4B1C-AFBB-E7C5AFBF39A2}"/>
    <cellStyle name="千分位[0] 2 5 3" xfId="123" xr:uid="{E8F4BB76-09C9-4ADE-9E55-D94417BC20FD}"/>
    <cellStyle name="千分位[0] 2 5 4" xfId="145" xr:uid="{B2ABBC3E-DFF9-4A6C-977B-FBA09FDA9FCA}"/>
    <cellStyle name="千分位[0] 2 5 5" xfId="177" xr:uid="{0A21D89C-C458-41E7-A643-A827D634FD58}"/>
    <cellStyle name="千分位[0] 2 5 6" xfId="208" xr:uid="{D8CA1F5A-ABD1-464A-B3F2-031F7C075F9F}"/>
    <cellStyle name="千分位[0] 2 5 7" xfId="240" xr:uid="{1A613272-354B-48DE-94E5-A9F6ADFD5AF9}"/>
    <cellStyle name="千分位[0] 2 5 8" xfId="271" xr:uid="{E49F274D-85D4-4620-B7A8-2E141E54E8F5}"/>
    <cellStyle name="千分位[0] 2 5 9" xfId="303" xr:uid="{5299C66A-F35F-47C9-B500-F4023F7A48BF}"/>
    <cellStyle name="常规 11 3 3" xfId="70" xr:uid="{E22FEDD5-F36F-4CD5-BB3E-3040409E3A73}"/>
    <cellStyle name="常规 11 3 3 2" xfId="101" xr:uid="{B17CA201-4FD8-4396-BE1F-9917C109CBE7}"/>
    <cellStyle name="常规 11 3 3 2 2" xfId="155" xr:uid="{BA706C9B-26DE-484F-87BF-BA3BD2A01DAA}"/>
    <cellStyle name="常规 11 3 3 2 3" xfId="187" xr:uid="{FE7DFEC6-66F5-463F-A5EB-38A668333682}"/>
    <cellStyle name="常规 11 3 3 2 4" xfId="218" xr:uid="{B300B0DE-CEBB-4DF8-AF71-9AAC027825E7}"/>
    <cellStyle name="常规 11 3 3 2 5" xfId="250" xr:uid="{9C4EA5FE-93B2-41F6-9E6C-5785BF60EDA0}"/>
    <cellStyle name="常规 11 3 3 2 6" xfId="281" xr:uid="{E4070030-7333-4FD1-BF2C-A6BEA37F9ED1}"/>
    <cellStyle name="常规 11 3 3 2 7" xfId="313" xr:uid="{F7766138-207A-4581-9819-DC5B2F790D78}"/>
    <cellStyle name="常规 11 3 3 3" xfId="124" xr:uid="{DA5C784E-D42C-43A8-A6B8-6C19A5693B75}"/>
    <cellStyle name="常规 11 3 3 4" xfId="146" xr:uid="{783718EC-1A91-4631-BC3A-2D79D8BFE56A}"/>
    <cellStyle name="常规 11 3 3 5" xfId="178" xr:uid="{421EE133-2430-46C6-A531-59E46BC97BB2}"/>
    <cellStyle name="常规 11 3 3 6" xfId="209" xr:uid="{B0799D4A-EDAD-4FBF-982D-CFF48A1707A1}"/>
    <cellStyle name="常规 11 3 3 7" xfId="241" xr:uid="{479A21E0-8647-43F9-B0F2-2957F3A98E2E}"/>
    <cellStyle name="常规 11 3 3 8" xfId="272" xr:uid="{C32D2A71-EA80-4F1C-A3B3-C5364A524ADD}"/>
    <cellStyle name="常规 11 3 3 9" xfId="304" xr:uid="{4C3FDE54-0525-4CC9-869B-433282498283}"/>
    <cellStyle name="常规 18" xfId="17" xr:uid="{3487BB87-34B3-4503-8D44-20CE0AEFE71B}"/>
    <cellStyle name="常规 2" xfId="16" xr:uid="{E029A0C2-4966-45DB-9130-C8C5DEE4B840}"/>
    <cellStyle name="常规 2 2" xfId="72" xr:uid="{6701408C-E289-4F13-9853-46123600CFC5}"/>
    <cellStyle name="常规 2 3" xfId="71" xr:uid="{A57CA83E-0A0A-4F1B-897F-526A45DE0525}"/>
    <cellStyle name="常规 4" xfId="73" xr:uid="{EE27EC40-6CBC-4D81-A132-8F689533DD53}"/>
    <cellStyle name="常规 5" xfId="74" xr:uid="{66C92A0A-6264-48AE-98DF-F9573B474A50}"/>
    <cellStyle name="常规_Sheet1" xfId="7" xr:uid="{00000000-0005-0000-0000-000006000000}"/>
    <cellStyle name="常规_Sheet1_1" xfId="5" xr:uid="{00000000-0005-0000-0000-000007000000}"/>
    <cellStyle name="货币_Sheet2" xfId="75" xr:uid="{51BF10B3-8AB4-4B9F-BD84-C8A1A160FDEF}"/>
    <cellStyle name="㼿㼿" xfId="76" xr:uid="{68BC35E1-43DD-4F63-8C2D-5E0A272A8CD9}"/>
  </cellStyles>
  <dxfs count="0"/>
  <tableStyles count="0" defaultTableStyle="TableStyleMedium2" defaultPivotStyle="PivotStyleLight16"/>
  <colors>
    <mruColors>
      <color rgb="FFE69CE2"/>
      <color rgb="FFFFCCFF"/>
      <color rgb="FFFFCCCC"/>
      <color rgb="FFFFFF66"/>
      <color rgb="FFD2FC6A"/>
      <color rgb="FFCCCCFF"/>
      <color rgb="FF66FF33"/>
      <color rgb="FFDBA7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3568-5A38-4555-95C2-66ABB16BC5FB}">
  <dimension ref="A1:AM363"/>
  <sheetViews>
    <sheetView tabSelected="1" topLeftCell="A2" zoomScale="70" zoomScaleNormal="70" workbookViewId="0">
      <pane xSplit="4" ySplit="2" topLeftCell="E340" activePane="bottomRight" state="frozen"/>
      <selection activeCell="A2" sqref="A2"/>
      <selection pane="topRight" activeCell="E2" sqref="E2"/>
      <selection pane="bottomLeft" activeCell="A3" sqref="A3"/>
      <selection pane="bottomRight" activeCell="B362" sqref="B362"/>
    </sheetView>
  </sheetViews>
  <sheetFormatPr defaultRowHeight="16.5"/>
  <cols>
    <col min="1" max="1" width="13" customWidth="1"/>
    <col min="2" max="2" width="12.6640625" customWidth="1"/>
    <col min="3" max="3" width="29.44140625" customWidth="1"/>
    <col min="4" max="4" width="26.44140625" customWidth="1"/>
    <col min="5" max="5" width="14.5546875" style="144" customWidth="1"/>
    <col min="6" max="6" width="10.6640625" customWidth="1"/>
    <col min="7" max="7" width="24.88671875" customWidth="1"/>
    <col min="8" max="8" width="10.77734375" customWidth="1"/>
    <col min="9" max="9" width="10.5546875" customWidth="1"/>
    <col min="10" max="10" width="13.44140625" customWidth="1"/>
    <col min="11" max="13" width="7.77734375" customWidth="1"/>
    <col min="14" max="14" width="13.44140625" customWidth="1"/>
    <col min="15" max="15" width="13.88671875" customWidth="1"/>
    <col min="16" max="16" width="13.33203125" customWidth="1"/>
    <col min="17" max="17" width="9.21875" customWidth="1"/>
    <col min="18" max="18" width="9.109375" customWidth="1"/>
    <col min="19" max="19" width="14.44140625" customWidth="1"/>
    <col min="20" max="20" width="14.21875" customWidth="1"/>
    <col min="21" max="22" width="12.88671875" customWidth="1"/>
    <col min="23" max="23" width="22.21875" customWidth="1"/>
    <col min="24" max="24" width="20.21875" customWidth="1"/>
    <col min="25" max="25" width="10.88671875" customWidth="1"/>
    <col min="26" max="26" width="14.6640625" customWidth="1"/>
    <col min="27" max="27" width="16.44140625" customWidth="1"/>
    <col min="28" max="28" width="12.21875" customWidth="1"/>
    <col min="29" max="29" width="14.44140625" customWidth="1"/>
    <col min="30" max="30" width="14.88671875" customWidth="1"/>
    <col min="31" max="31" width="9.5546875" customWidth="1"/>
    <col min="32" max="32" width="8.6640625" customWidth="1"/>
    <col min="33" max="33" width="14.6640625" customWidth="1"/>
    <col min="34" max="34" width="12.6640625" customWidth="1"/>
    <col min="36" max="37" width="13.109375" bestFit="1" customWidth="1"/>
    <col min="38" max="38" width="14.44140625" customWidth="1"/>
    <col min="39" max="39" width="12.44140625" customWidth="1"/>
    <col min="44" max="44" width="10.88671875" customWidth="1"/>
    <col min="45" max="45" width="12.6640625" customWidth="1"/>
    <col min="46" max="46" width="18" customWidth="1"/>
  </cols>
  <sheetData>
    <row r="1" spans="1:39" s="17" customFormat="1" ht="23.25" thickBot="1">
      <c r="A1" s="4" t="s">
        <v>47</v>
      </c>
      <c r="B1" s="12"/>
      <c r="C1" s="13"/>
      <c r="D1" s="46" t="s">
        <v>48</v>
      </c>
      <c r="E1" s="14"/>
      <c r="F1" s="6" t="s">
        <v>49</v>
      </c>
      <c r="H1" s="45" t="s">
        <v>50</v>
      </c>
      <c r="I1" s="12"/>
      <c r="J1" s="47" t="s">
        <v>51</v>
      </c>
      <c r="K1" s="12"/>
      <c r="L1" s="12"/>
      <c r="M1" s="12"/>
      <c r="N1" s="15"/>
      <c r="P1" s="16"/>
      <c r="Q1" s="59"/>
      <c r="R1" s="234" t="s">
        <v>36</v>
      </c>
      <c r="S1" s="235"/>
      <c r="T1" s="235"/>
      <c r="U1" s="235"/>
      <c r="V1" s="235"/>
      <c r="W1" s="235"/>
      <c r="X1" s="235"/>
      <c r="Y1" s="236" t="s">
        <v>40</v>
      </c>
      <c r="Z1" s="237"/>
      <c r="AA1" s="237"/>
      <c r="AB1" s="237"/>
      <c r="AC1" s="237"/>
      <c r="AD1" s="237"/>
      <c r="AE1" s="237"/>
      <c r="AG1" s="43"/>
      <c r="AH1" s="43"/>
      <c r="AI1" s="43"/>
      <c r="AJ1" s="43"/>
      <c r="AK1" s="43"/>
      <c r="AL1" s="43"/>
      <c r="AM1" s="44"/>
    </row>
    <row r="2" spans="1:39" s="17" customFormat="1" ht="23.25" thickBot="1">
      <c r="A2" s="4" t="s">
        <v>47</v>
      </c>
      <c r="B2" s="12"/>
      <c r="C2" s="13"/>
      <c r="D2" s="46" t="s">
        <v>48</v>
      </c>
      <c r="E2" s="14"/>
      <c r="F2" s="6" t="s">
        <v>49</v>
      </c>
      <c r="H2" s="45" t="s">
        <v>50</v>
      </c>
      <c r="I2" s="12"/>
      <c r="J2" s="47" t="s">
        <v>51</v>
      </c>
      <c r="K2" s="12"/>
      <c r="L2" s="12"/>
      <c r="M2" s="12"/>
      <c r="N2" s="15"/>
      <c r="P2" s="16"/>
      <c r="Q2" s="59"/>
      <c r="R2" s="234" t="s">
        <v>36</v>
      </c>
      <c r="S2" s="235"/>
      <c r="T2" s="235"/>
      <c r="U2" s="235"/>
      <c r="V2" s="235"/>
      <c r="W2" s="235"/>
      <c r="X2" s="235"/>
      <c r="Y2" s="236" t="s">
        <v>40</v>
      </c>
      <c r="Z2" s="237"/>
      <c r="AA2" s="237"/>
      <c r="AB2" s="237"/>
      <c r="AC2" s="237"/>
      <c r="AD2" s="237"/>
      <c r="AE2" s="237"/>
      <c r="AG2" s="43"/>
      <c r="AH2" s="43"/>
      <c r="AI2" s="43"/>
      <c r="AJ2" s="43"/>
      <c r="AK2" s="43"/>
      <c r="AL2" s="43"/>
      <c r="AM2" s="44"/>
    </row>
    <row r="3" spans="1:39" s="17" customFormat="1" ht="112.5">
      <c r="A3" s="29" t="s">
        <v>46</v>
      </c>
      <c r="B3" s="26" t="s">
        <v>3</v>
      </c>
      <c r="C3" s="18" t="s">
        <v>4</v>
      </c>
      <c r="D3" s="19" t="s">
        <v>5</v>
      </c>
      <c r="E3" s="20" t="s">
        <v>6</v>
      </c>
      <c r="F3" s="21" t="s">
        <v>43</v>
      </c>
      <c r="G3" s="21" t="s">
        <v>7</v>
      </c>
      <c r="H3" s="21" t="s">
        <v>8</v>
      </c>
      <c r="I3" s="21" t="s">
        <v>9</v>
      </c>
      <c r="J3" s="22" t="s">
        <v>10</v>
      </c>
      <c r="K3" s="238" t="s">
        <v>0</v>
      </c>
      <c r="L3" s="238"/>
      <c r="M3" s="238"/>
      <c r="N3" s="23" t="s">
        <v>2</v>
      </c>
      <c r="O3" s="24" t="s">
        <v>1</v>
      </c>
      <c r="P3" s="25" t="s">
        <v>11</v>
      </c>
      <c r="Q3" s="58" t="s">
        <v>63</v>
      </c>
      <c r="R3" s="57" t="s">
        <v>35</v>
      </c>
      <c r="S3" s="33" t="s">
        <v>33</v>
      </c>
      <c r="T3" s="34" t="s">
        <v>34</v>
      </c>
      <c r="U3" s="35" t="s">
        <v>42</v>
      </c>
      <c r="V3" s="36" t="s">
        <v>37</v>
      </c>
      <c r="W3" s="36" t="s">
        <v>38</v>
      </c>
      <c r="X3" s="37" t="s">
        <v>41</v>
      </c>
      <c r="Y3" s="38" t="s">
        <v>35</v>
      </c>
      <c r="Z3" s="39" t="s">
        <v>33</v>
      </c>
      <c r="AA3" s="40" t="s">
        <v>34</v>
      </c>
      <c r="AB3" s="40" t="s">
        <v>42</v>
      </c>
      <c r="AC3" s="39" t="s">
        <v>37</v>
      </c>
      <c r="AD3" s="39" t="s">
        <v>38</v>
      </c>
      <c r="AE3" s="41" t="s">
        <v>39</v>
      </c>
      <c r="AG3" s="43"/>
      <c r="AH3" s="43"/>
      <c r="AI3" s="43"/>
      <c r="AJ3" s="43"/>
      <c r="AK3" s="43"/>
      <c r="AL3" s="43"/>
      <c r="AM3" s="44"/>
    </row>
    <row r="4" spans="1:39" ht="22.5">
      <c r="A4" s="48"/>
      <c r="B4" s="49"/>
      <c r="C4" s="49"/>
      <c r="D4" s="49"/>
      <c r="E4" s="140"/>
      <c r="F4" s="50"/>
      <c r="G4" s="50"/>
      <c r="H4" s="50"/>
      <c r="I4" s="50"/>
      <c r="J4" s="51"/>
      <c r="K4" s="50"/>
      <c r="L4" s="50"/>
      <c r="M4" s="50"/>
      <c r="N4" s="50"/>
      <c r="O4" s="50"/>
      <c r="P4" s="1"/>
      <c r="Q4" s="59"/>
      <c r="R4" s="5"/>
      <c r="S4" s="27"/>
      <c r="T4" s="27"/>
      <c r="U4" s="28"/>
      <c r="V4" s="32"/>
      <c r="W4" s="32"/>
      <c r="X4" s="32"/>
      <c r="Y4" s="31"/>
      <c r="Z4" s="27"/>
      <c r="AA4" s="5"/>
      <c r="AB4" s="5"/>
      <c r="AC4" s="27"/>
      <c r="AD4" s="27"/>
      <c r="AE4" s="32"/>
      <c r="AG4" s="5"/>
      <c r="AH4" s="5"/>
      <c r="AI4" s="5"/>
      <c r="AJ4" s="5"/>
      <c r="AK4" s="5"/>
      <c r="AL4" s="5"/>
      <c r="AM4" s="27"/>
    </row>
    <row r="5" spans="1:39" ht="40.5">
      <c r="A5" s="239" t="s">
        <v>445</v>
      </c>
      <c r="B5" s="239"/>
      <c r="C5" s="49"/>
      <c r="D5" s="49"/>
      <c r="E5" s="140"/>
      <c r="F5" s="50"/>
      <c r="G5" s="50"/>
      <c r="H5" s="50"/>
      <c r="I5" s="50"/>
      <c r="J5" s="51"/>
      <c r="K5" s="50"/>
      <c r="L5" s="50"/>
      <c r="M5" s="50"/>
      <c r="N5" s="50"/>
      <c r="O5" s="50"/>
      <c r="P5" s="1"/>
      <c r="Q5" s="1"/>
      <c r="R5" s="5"/>
      <c r="S5" s="27"/>
      <c r="T5" s="27"/>
      <c r="U5" s="28"/>
      <c r="V5" s="32"/>
      <c r="W5" s="32"/>
      <c r="X5" s="32"/>
      <c r="Y5" s="31"/>
      <c r="Z5" s="27"/>
      <c r="AA5" s="5"/>
      <c r="AB5" s="5"/>
      <c r="AC5" s="27"/>
      <c r="AD5" s="27"/>
      <c r="AE5" s="32"/>
      <c r="AG5" s="5"/>
      <c r="AH5" s="5"/>
      <c r="AI5" s="5"/>
      <c r="AJ5" s="5"/>
      <c r="AK5" s="5"/>
      <c r="AL5" s="5"/>
      <c r="AM5" s="27"/>
    </row>
    <row r="6" spans="1:39" ht="22.5">
      <c r="A6" s="48"/>
      <c r="B6" s="49"/>
      <c r="C6" s="49"/>
      <c r="D6" s="49"/>
      <c r="E6" s="140"/>
      <c r="F6" s="50"/>
      <c r="G6" s="50"/>
      <c r="H6" s="50"/>
      <c r="I6" s="50"/>
      <c r="J6" s="51"/>
      <c r="K6" s="50"/>
      <c r="L6" s="50"/>
      <c r="M6" s="50"/>
      <c r="N6" s="50"/>
      <c r="O6" s="50"/>
      <c r="P6" s="1"/>
      <c r="Q6" s="1"/>
      <c r="R6" s="5"/>
      <c r="S6" s="27"/>
      <c r="T6" s="27"/>
      <c r="U6" s="28"/>
      <c r="V6" s="32"/>
      <c r="W6" s="32"/>
      <c r="X6" s="32"/>
      <c r="Y6" s="31"/>
      <c r="Z6" s="27"/>
      <c r="AA6" s="5"/>
      <c r="AB6" s="5"/>
      <c r="AC6" s="27"/>
      <c r="AD6" s="27"/>
      <c r="AE6" s="32"/>
      <c r="AG6" s="5"/>
      <c r="AH6" s="5"/>
      <c r="AI6" s="5"/>
      <c r="AJ6" s="5"/>
      <c r="AK6" s="5"/>
      <c r="AL6" s="5"/>
      <c r="AM6" s="27"/>
    </row>
    <row r="7" spans="1:39" s="2" customFormat="1" ht="21">
      <c r="A7" s="145" t="s">
        <v>211</v>
      </c>
      <c r="B7" s="113" t="s">
        <v>212</v>
      </c>
      <c r="C7" s="113" t="s">
        <v>213</v>
      </c>
      <c r="D7" s="113" t="s">
        <v>214</v>
      </c>
      <c r="E7" s="83">
        <v>45659</v>
      </c>
      <c r="F7" s="113">
        <v>1</v>
      </c>
      <c r="G7" s="113" t="s">
        <v>97</v>
      </c>
      <c r="H7" s="113">
        <v>1</v>
      </c>
      <c r="I7" s="113">
        <v>1.3</v>
      </c>
      <c r="J7" s="114">
        <v>1.1016E-2</v>
      </c>
      <c r="K7" s="113">
        <v>34</v>
      </c>
      <c r="L7" s="113">
        <v>27</v>
      </c>
      <c r="M7" s="113">
        <v>12</v>
      </c>
      <c r="N7" s="113"/>
      <c r="O7" s="115" t="s">
        <v>24</v>
      </c>
    </row>
    <row r="8" spans="1:39" s="11" customFormat="1" ht="22.5">
      <c r="A8" s="146"/>
      <c r="B8" s="127"/>
      <c r="C8" s="127"/>
      <c r="D8" s="127"/>
      <c r="E8" s="141"/>
      <c r="F8" s="116">
        <v>1</v>
      </c>
      <c r="G8" s="116"/>
      <c r="H8" s="116"/>
      <c r="I8" s="116">
        <f>SUM(I7:I7)</f>
        <v>1.3</v>
      </c>
      <c r="J8" s="117">
        <f>SUM(J7:J7)</f>
        <v>1.1016E-2</v>
      </c>
      <c r="K8" s="116"/>
      <c r="L8" s="116"/>
      <c r="M8" s="116"/>
      <c r="N8" s="118"/>
      <c r="O8" s="118"/>
    </row>
    <row r="9" spans="1:39" s="2" customFormat="1" ht="21">
      <c r="A9" s="145" t="s">
        <v>215</v>
      </c>
      <c r="B9" s="113" t="s">
        <v>216</v>
      </c>
      <c r="C9" s="113" t="s">
        <v>217</v>
      </c>
      <c r="D9" s="113" t="s">
        <v>214</v>
      </c>
      <c r="E9" s="83">
        <v>45659</v>
      </c>
      <c r="F9" s="113">
        <v>1</v>
      </c>
      <c r="G9" s="113" t="s">
        <v>97</v>
      </c>
      <c r="H9" s="113">
        <v>1</v>
      </c>
      <c r="I9" s="113">
        <v>1.3</v>
      </c>
      <c r="J9" s="114">
        <v>1.274E-2</v>
      </c>
      <c r="K9" s="113">
        <v>35</v>
      </c>
      <c r="L9" s="113">
        <v>26</v>
      </c>
      <c r="M9" s="113">
        <v>14</v>
      </c>
      <c r="N9" s="113"/>
      <c r="O9" s="115" t="s">
        <v>24</v>
      </c>
    </row>
    <row r="10" spans="1:39" s="11" customFormat="1" ht="22.5">
      <c r="A10" s="146"/>
      <c r="B10" s="127"/>
      <c r="C10" s="127"/>
      <c r="D10" s="127"/>
      <c r="E10" s="141"/>
      <c r="F10" s="116">
        <v>1</v>
      </c>
      <c r="G10" s="116"/>
      <c r="H10" s="116"/>
      <c r="I10" s="116">
        <f>SUM(I9:I9)</f>
        <v>1.3</v>
      </c>
      <c r="J10" s="117">
        <f>SUM(J9:J9)</f>
        <v>1.274E-2</v>
      </c>
      <c r="K10" s="116"/>
      <c r="L10" s="116"/>
      <c r="M10" s="116"/>
      <c r="N10" s="118"/>
      <c r="O10" s="118"/>
    </row>
    <row r="11" spans="1:39" s="2" customFormat="1" ht="42">
      <c r="A11" s="145" t="s">
        <v>218</v>
      </c>
      <c r="B11" s="113" t="s">
        <v>219</v>
      </c>
      <c r="C11" s="113" t="s">
        <v>220</v>
      </c>
      <c r="D11" s="113" t="s">
        <v>214</v>
      </c>
      <c r="E11" s="83">
        <v>45659</v>
      </c>
      <c r="F11" s="113">
        <v>1</v>
      </c>
      <c r="G11" s="113" t="s">
        <v>97</v>
      </c>
      <c r="H11" s="113">
        <v>1</v>
      </c>
      <c r="I11" s="113">
        <v>1.7</v>
      </c>
      <c r="J11" s="114">
        <v>1.0200000000000001E-2</v>
      </c>
      <c r="K11" s="113">
        <v>34</v>
      </c>
      <c r="L11" s="113">
        <v>25</v>
      </c>
      <c r="M11" s="113">
        <v>12</v>
      </c>
      <c r="N11" s="113"/>
      <c r="O11" s="115" t="s">
        <v>24</v>
      </c>
    </row>
    <row r="12" spans="1:39" s="11" customFormat="1" ht="22.5">
      <c r="A12" s="146"/>
      <c r="B12" s="127"/>
      <c r="C12" s="127"/>
      <c r="D12" s="127"/>
      <c r="E12" s="141"/>
      <c r="F12" s="116">
        <v>1</v>
      </c>
      <c r="G12" s="116"/>
      <c r="H12" s="116"/>
      <c r="I12" s="116">
        <f>SUM(I11:I11)</f>
        <v>1.7</v>
      </c>
      <c r="J12" s="117">
        <f>SUM(J11:J11)</f>
        <v>1.0200000000000001E-2</v>
      </c>
      <c r="K12" s="116"/>
      <c r="L12" s="116"/>
      <c r="M12" s="116"/>
      <c r="N12" s="118"/>
      <c r="O12" s="118"/>
    </row>
    <row r="13" spans="1:39" s="2" customFormat="1" ht="42">
      <c r="A13" s="145" t="s">
        <v>221</v>
      </c>
      <c r="B13" s="113" t="s">
        <v>222</v>
      </c>
      <c r="C13" s="113" t="s">
        <v>223</v>
      </c>
      <c r="D13" s="113" t="s">
        <v>214</v>
      </c>
      <c r="E13" s="83">
        <v>45659</v>
      </c>
      <c r="F13" s="113">
        <v>1</v>
      </c>
      <c r="G13" s="113" t="s">
        <v>97</v>
      </c>
      <c r="H13" s="113">
        <v>1</v>
      </c>
      <c r="I13" s="113">
        <v>1.5</v>
      </c>
      <c r="J13" s="114">
        <v>1.274E-2</v>
      </c>
      <c r="K13" s="113">
        <v>35</v>
      </c>
      <c r="L13" s="113">
        <v>26</v>
      </c>
      <c r="M13" s="113">
        <v>14</v>
      </c>
      <c r="N13" s="113"/>
      <c r="O13" s="115" t="s">
        <v>24</v>
      </c>
    </row>
    <row r="14" spans="1:39" s="11" customFormat="1" ht="22.5">
      <c r="A14" s="146"/>
      <c r="B14" s="127"/>
      <c r="C14" s="127"/>
      <c r="D14" s="127"/>
      <c r="E14" s="141"/>
      <c r="F14" s="116">
        <v>1</v>
      </c>
      <c r="G14" s="116"/>
      <c r="H14" s="116"/>
      <c r="I14" s="116">
        <f>SUM(I13:I13)</f>
        <v>1.5</v>
      </c>
      <c r="J14" s="117">
        <f>SUM(J13:J13)</f>
        <v>1.274E-2</v>
      </c>
      <c r="K14" s="116"/>
      <c r="L14" s="116"/>
      <c r="M14" s="116"/>
      <c r="N14" s="118"/>
      <c r="O14" s="118"/>
    </row>
    <row r="15" spans="1:39" s="2" customFormat="1" ht="21">
      <c r="A15" s="145" t="s">
        <v>224</v>
      </c>
      <c r="B15" s="113" t="s">
        <v>225</v>
      </c>
      <c r="C15" s="113" t="s">
        <v>226</v>
      </c>
      <c r="D15" s="113" t="s">
        <v>44</v>
      </c>
      <c r="E15" s="83">
        <v>45659</v>
      </c>
      <c r="F15" s="113">
        <v>1</v>
      </c>
      <c r="G15" s="113" t="s">
        <v>227</v>
      </c>
      <c r="H15" s="113"/>
      <c r="I15" s="113">
        <v>7.6</v>
      </c>
      <c r="J15" s="114">
        <v>3.7905000000000001E-2</v>
      </c>
      <c r="K15" s="113">
        <v>57</v>
      </c>
      <c r="L15" s="113">
        <v>35</v>
      </c>
      <c r="M15" s="113">
        <v>19</v>
      </c>
      <c r="N15" s="113"/>
      <c r="O15" s="113"/>
    </row>
    <row r="16" spans="1:39" s="11" customFormat="1" ht="22.5">
      <c r="A16" s="146"/>
      <c r="B16" s="127"/>
      <c r="C16" s="127"/>
      <c r="D16" s="127"/>
      <c r="E16" s="141"/>
      <c r="F16" s="116">
        <v>1</v>
      </c>
      <c r="G16" s="116"/>
      <c r="H16" s="116"/>
      <c r="I16" s="116">
        <f>SUM(I15:I15)</f>
        <v>7.6</v>
      </c>
      <c r="J16" s="117">
        <f>SUM(J15:J15)</f>
        <v>3.7905000000000001E-2</v>
      </c>
      <c r="K16" s="116"/>
      <c r="L16" s="116"/>
      <c r="M16" s="116"/>
      <c r="N16" s="118"/>
      <c r="O16" s="118"/>
    </row>
    <row r="17" spans="1:15" s="2" customFormat="1" ht="21">
      <c r="A17" s="145" t="s">
        <v>228</v>
      </c>
      <c r="B17" s="113" t="s">
        <v>229</v>
      </c>
      <c r="C17" s="113" t="s">
        <v>230</v>
      </c>
      <c r="D17" s="113" t="s">
        <v>214</v>
      </c>
      <c r="E17" s="83">
        <v>45660</v>
      </c>
      <c r="F17" s="113">
        <v>1</v>
      </c>
      <c r="G17" s="113" t="s">
        <v>231</v>
      </c>
      <c r="H17" s="113">
        <v>1</v>
      </c>
      <c r="I17" s="113">
        <v>1.9</v>
      </c>
      <c r="J17" s="114">
        <v>1.8096000000000001E-2</v>
      </c>
      <c r="K17" s="113">
        <v>39</v>
      </c>
      <c r="L17" s="113">
        <v>29</v>
      </c>
      <c r="M17" s="113">
        <v>16</v>
      </c>
      <c r="N17" s="113"/>
      <c r="O17" s="113" t="s">
        <v>24</v>
      </c>
    </row>
    <row r="18" spans="1:15" s="11" customFormat="1" ht="22.5">
      <c r="A18" s="146"/>
      <c r="B18" s="127"/>
      <c r="C18" s="127"/>
      <c r="D18" s="127"/>
      <c r="E18" s="141"/>
      <c r="F18" s="116">
        <v>1</v>
      </c>
      <c r="G18" s="116"/>
      <c r="H18" s="116"/>
      <c r="I18" s="116">
        <f>SUM(I17:I17)</f>
        <v>1.9</v>
      </c>
      <c r="J18" s="117">
        <f>SUM(J17:J17)</f>
        <v>1.8096000000000001E-2</v>
      </c>
      <c r="K18" s="116"/>
      <c r="L18" s="116"/>
      <c r="M18" s="116"/>
      <c r="N18" s="118"/>
      <c r="O18" s="118"/>
    </row>
    <row r="19" spans="1:15" s="2" customFormat="1" ht="21">
      <c r="A19" s="145" t="s">
        <v>232</v>
      </c>
      <c r="B19" s="113" t="s">
        <v>233</v>
      </c>
      <c r="C19" s="113" t="s">
        <v>234</v>
      </c>
      <c r="D19" s="113" t="s">
        <v>214</v>
      </c>
      <c r="E19" s="83">
        <v>45660</v>
      </c>
      <c r="F19" s="113">
        <v>1</v>
      </c>
      <c r="G19" s="113" t="s">
        <v>231</v>
      </c>
      <c r="H19" s="113">
        <v>1</v>
      </c>
      <c r="I19" s="113">
        <v>1.3</v>
      </c>
      <c r="J19" s="114">
        <v>8.4480000000000006E-3</v>
      </c>
      <c r="K19" s="113">
        <v>32</v>
      </c>
      <c r="L19" s="113">
        <v>22</v>
      </c>
      <c r="M19" s="113">
        <v>12</v>
      </c>
      <c r="N19" s="113"/>
      <c r="O19" s="113" t="s">
        <v>24</v>
      </c>
    </row>
    <row r="20" spans="1:15" s="11" customFormat="1" ht="22.5">
      <c r="A20" s="146"/>
      <c r="B20" s="127"/>
      <c r="C20" s="127"/>
      <c r="D20" s="127"/>
      <c r="E20" s="141"/>
      <c r="F20" s="116">
        <v>1</v>
      </c>
      <c r="G20" s="116"/>
      <c r="H20" s="116"/>
      <c r="I20" s="116">
        <f>SUM(I19:I19)</f>
        <v>1.3</v>
      </c>
      <c r="J20" s="117">
        <f>SUM(J19:J19)</f>
        <v>8.4480000000000006E-3</v>
      </c>
      <c r="K20" s="116"/>
      <c r="L20" s="116"/>
      <c r="M20" s="116"/>
      <c r="N20" s="118"/>
      <c r="O20" s="118"/>
    </row>
    <row r="21" spans="1:15" s="2" customFormat="1" ht="42">
      <c r="A21" s="145" t="s">
        <v>235</v>
      </c>
      <c r="B21" s="113" t="s">
        <v>236</v>
      </c>
      <c r="C21" s="113" t="s">
        <v>237</v>
      </c>
      <c r="D21" s="113" t="s">
        <v>238</v>
      </c>
      <c r="E21" s="83">
        <v>45661</v>
      </c>
      <c r="F21" s="113">
        <v>1</v>
      </c>
      <c r="G21" s="113" t="s">
        <v>97</v>
      </c>
      <c r="H21" s="113">
        <v>1</v>
      </c>
      <c r="I21" s="113">
        <v>1.8</v>
      </c>
      <c r="J21" s="114">
        <v>1.6015999999999999E-2</v>
      </c>
      <c r="K21" s="113">
        <v>44</v>
      </c>
      <c r="L21" s="113">
        <v>26</v>
      </c>
      <c r="M21" s="113">
        <v>14</v>
      </c>
      <c r="N21" s="113"/>
      <c r="O21" s="106" t="s">
        <v>239</v>
      </c>
    </row>
    <row r="22" spans="1:15" s="11" customFormat="1" ht="22.5">
      <c r="A22" s="146"/>
      <c r="B22" s="127"/>
      <c r="C22" s="127"/>
      <c r="D22" s="127"/>
      <c r="E22" s="141"/>
      <c r="F22" s="116">
        <v>1</v>
      </c>
      <c r="G22" s="116"/>
      <c r="H22" s="116"/>
      <c r="I22" s="116">
        <f>SUM(I21:I21)</f>
        <v>1.8</v>
      </c>
      <c r="J22" s="117">
        <f>SUM(J21:J21)</f>
        <v>1.6015999999999999E-2</v>
      </c>
      <c r="K22" s="116"/>
      <c r="L22" s="116"/>
      <c r="M22" s="116"/>
      <c r="N22" s="118"/>
      <c r="O22" s="118"/>
    </row>
    <row r="23" spans="1:15" s="2" customFormat="1" ht="42">
      <c r="A23" s="145" t="s">
        <v>240</v>
      </c>
      <c r="B23" s="215" t="s">
        <v>241</v>
      </c>
      <c r="C23" s="113" t="s">
        <v>242</v>
      </c>
      <c r="D23" s="215" t="s">
        <v>238</v>
      </c>
      <c r="E23" s="196">
        <v>45661</v>
      </c>
      <c r="F23" s="113">
        <v>1</v>
      </c>
      <c r="G23" s="215" t="s">
        <v>97</v>
      </c>
      <c r="H23" s="215">
        <v>2</v>
      </c>
      <c r="I23" s="113">
        <v>1.3</v>
      </c>
      <c r="J23" s="114">
        <v>9.672E-3</v>
      </c>
      <c r="K23" s="113">
        <v>31</v>
      </c>
      <c r="L23" s="113">
        <v>24</v>
      </c>
      <c r="M23" s="113">
        <v>13</v>
      </c>
      <c r="N23" s="113"/>
      <c r="O23" s="215" t="s">
        <v>24</v>
      </c>
    </row>
    <row r="24" spans="1:15" s="2" customFormat="1" ht="42">
      <c r="A24" s="145" t="s">
        <v>243</v>
      </c>
      <c r="B24" s="216"/>
      <c r="C24" s="113" t="s">
        <v>244</v>
      </c>
      <c r="D24" s="216"/>
      <c r="E24" s="198"/>
      <c r="F24" s="113">
        <v>2</v>
      </c>
      <c r="G24" s="216"/>
      <c r="H24" s="216"/>
      <c r="I24" s="113">
        <v>1.1000000000000001</v>
      </c>
      <c r="J24" s="114">
        <v>1.0296E-2</v>
      </c>
      <c r="K24" s="113">
        <v>36</v>
      </c>
      <c r="L24" s="113">
        <v>22</v>
      </c>
      <c r="M24" s="113">
        <v>13</v>
      </c>
      <c r="N24" s="113"/>
      <c r="O24" s="216"/>
    </row>
    <row r="25" spans="1:15" s="11" customFormat="1" ht="22.5">
      <c r="A25" s="146"/>
      <c r="B25" s="127"/>
      <c r="C25" s="127"/>
      <c r="D25" s="127"/>
      <c r="E25" s="141"/>
      <c r="F25" s="116">
        <v>2</v>
      </c>
      <c r="G25" s="116"/>
      <c r="H25" s="116"/>
      <c r="I25" s="116">
        <f>SUM(I23:I24)</f>
        <v>2.4000000000000004</v>
      </c>
      <c r="J25" s="117">
        <f>SUM(J23:J24)</f>
        <v>1.9968E-2</v>
      </c>
      <c r="K25" s="116"/>
      <c r="L25" s="116"/>
      <c r="M25" s="116"/>
      <c r="N25" s="118"/>
      <c r="O25" s="118"/>
    </row>
    <row r="26" spans="1:15" s="2" customFormat="1" ht="42">
      <c r="A26" s="145" t="s">
        <v>245</v>
      </c>
      <c r="B26" s="113" t="s">
        <v>246</v>
      </c>
      <c r="C26" s="113" t="s">
        <v>247</v>
      </c>
      <c r="D26" s="113" t="s">
        <v>238</v>
      </c>
      <c r="E26" s="83">
        <v>45661</v>
      </c>
      <c r="F26" s="113">
        <v>1</v>
      </c>
      <c r="G26" s="113" t="s">
        <v>97</v>
      </c>
      <c r="H26" s="113">
        <v>1</v>
      </c>
      <c r="I26" s="113">
        <v>1.3</v>
      </c>
      <c r="J26" s="114">
        <v>1.2768E-2</v>
      </c>
      <c r="K26" s="113">
        <v>32</v>
      </c>
      <c r="L26" s="113">
        <v>21</v>
      </c>
      <c r="M26" s="113">
        <v>19</v>
      </c>
      <c r="N26" s="113"/>
      <c r="O26" s="113" t="s">
        <v>24</v>
      </c>
    </row>
    <row r="27" spans="1:15" s="11" customFormat="1" ht="22.5">
      <c r="A27" s="146"/>
      <c r="B27" s="127"/>
      <c r="C27" s="127"/>
      <c r="D27" s="127"/>
      <c r="E27" s="141"/>
      <c r="F27" s="116">
        <v>1</v>
      </c>
      <c r="G27" s="116"/>
      <c r="H27" s="116"/>
      <c r="I27" s="116">
        <f>SUM(I26:I26)</f>
        <v>1.3</v>
      </c>
      <c r="J27" s="117">
        <f>SUM(J26:J26)</f>
        <v>1.2768E-2</v>
      </c>
      <c r="K27" s="116"/>
      <c r="L27" s="116"/>
      <c r="M27" s="116"/>
      <c r="N27" s="118"/>
      <c r="O27" s="118"/>
    </row>
    <row r="28" spans="1:15" s="2" customFormat="1" ht="21">
      <c r="A28" s="145" t="s">
        <v>248</v>
      </c>
      <c r="B28" s="113" t="s">
        <v>249</v>
      </c>
      <c r="C28" s="113" t="s">
        <v>250</v>
      </c>
      <c r="D28" s="113" t="s">
        <v>238</v>
      </c>
      <c r="E28" s="83">
        <v>45661</v>
      </c>
      <c r="F28" s="113">
        <v>1</v>
      </c>
      <c r="G28" s="113" t="s">
        <v>97</v>
      </c>
      <c r="H28" s="113">
        <v>1</v>
      </c>
      <c r="I28" s="113">
        <v>2.2000000000000002</v>
      </c>
      <c r="J28" s="114">
        <v>1.8096000000000001E-2</v>
      </c>
      <c r="K28" s="113">
        <v>39</v>
      </c>
      <c r="L28" s="113">
        <v>29</v>
      </c>
      <c r="M28" s="113">
        <v>16</v>
      </c>
      <c r="N28" s="113"/>
      <c r="O28" s="113" t="s">
        <v>24</v>
      </c>
    </row>
    <row r="29" spans="1:15" s="11" customFormat="1" ht="22.5">
      <c r="A29" s="146"/>
      <c r="B29" s="127"/>
      <c r="C29" s="127"/>
      <c r="D29" s="127"/>
      <c r="E29" s="141"/>
      <c r="F29" s="116">
        <v>1</v>
      </c>
      <c r="G29" s="116"/>
      <c r="H29" s="116"/>
      <c r="I29" s="116">
        <f>SUM(I28:I28)</f>
        <v>2.2000000000000002</v>
      </c>
      <c r="J29" s="117">
        <f>SUM(J28:J28)</f>
        <v>1.8096000000000001E-2</v>
      </c>
      <c r="K29" s="116"/>
      <c r="L29" s="116"/>
      <c r="M29" s="116"/>
      <c r="N29" s="118"/>
      <c r="O29" s="118"/>
    </row>
    <row r="30" spans="1:15" s="2" customFormat="1" ht="21">
      <c r="A30" s="145" t="s">
        <v>251</v>
      </c>
      <c r="B30" s="113" t="s">
        <v>252</v>
      </c>
      <c r="C30" s="113" t="s">
        <v>253</v>
      </c>
      <c r="D30" s="113" t="s">
        <v>254</v>
      </c>
      <c r="E30" s="83">
        <v>45661</v>
      </c>
      <c r="F30" s="113">
        <v>1</v>
      </c>
      <c r="G30" s="113" t="s">
        <v>97</v>
      </c>
      <c r="H30" s="113"/>
      <c r="I30" s="113">
        <v>24.5</v>
      </c>
      <c r="J30" s="114">
        <v>0.15140400000000001</v>
      </c>
      <c r="K30" s="113">
        <v>62</v>
      </c>
      <c r="L30" s="113">
        <v>37</v>
      </c>
      <c r="M30" s="113">
        <v>66</v>
      </c>
      <c r="N30" s="113"/>
      <c r="O30" s="113" t="s">
        <v>24</v>
      </c>
    </row>
    <row r="31" spans="1:15" s="11" customFormat="1" ht="22.5">
      <c r="A31" s="146"/>
      <c r="B31" s="127"/>
      <c r="C31" s="127"/>
      <c r="D31" s="127"/>
      <c r="E31" s="141"/>
      <c r="F31" s="116">
        <v>1</v>
      </c>
      <c r="G31" s="116"/>
      <c r="H31" s="116"/>
      <c r="I31" s="116">
        <f>SUM(I30:I30)</f>
        <v>24.5</v>
      </c>
      <c r="J31" s="117">
        <f>SUM(J30:J30)</f>
        <v>0.15140400000000001</v>
      </c>
      <c r="K31" s="116"/>
      <c r="L31" s="116"/>
      <c r="M31" s="116"/>
      <c r="N31" s="118"/>
      <c r="O31" s="118"/>
    </row>
    <row r="32" spans="1:15" s="2" customFormat="1" ht="21">
      <c r="A32" s="145" t="s">
        <v>255</v>
      </c>
      <c r="B32" s="113" t="s">
        <v>256</v>
      </c>
      <c r="C32" s="113" t="s">
        <v>257</v>
      </c>
      <c r="D32" s="113" t="s">
        <v>238</v>
      </c>
      <c r="E32" s="83">
        <v>45663</v>
      </c>
      <c r="F32" s="113">
        <v>1</v>
      </c>
      <c r="G32" s="113" t="s">
        <v>97</v>
      </c>
      <c r="H32" s="113">
        <v>1</v>
      </c>
      <c r="I32" s="113">
        <v>1</v>
      </c>
      <c r="J32" s="114">
        <f>K32*L32*M32/1000000</f>
        <v>1.0584E-2</v>
      </c>
      <c r="K32" s="113">
        <v>42</v>
      </c>
      <c r="L32" s="113">
        <v>21</v>
      </c>
      <c r="M32" s="113">
        <v>12</v>
      </c>
      <c r="N32" s="113"/>
      <c r="O32" s="113" t="s">
        <v>24</v>
      </c>
    </row>
    <row r="33" spans="1:15" s="11" customFormat="1" ht="22.5">
      <c r="A33" s="146"/>
      <c r="B33" s="127"/>
      <c r="C33" s="127"/>
      <c r="D33" s="127"/>
      <c r="E33" s="141"/>
      <c r="F33" s="116">
        <v>1</v>
      </c>
      <c r="G33" s="116"/>
      <c r="H33" s="116"/>
      <c r="I33" s="116">
        <f>SUM(I32:I32)</f>
        <v>1</v>
      </c>
      <c r="J33" s="117">
        <f>SUM(J32:J32)</f>
        <v>1.0584E-2</v>
      </c>
      <c r="K33" s="116"/>
      <c r="L33" s="116"/>
      <c r="M33" s="116"/>
      <c r="N33" s="118"/>
      <c r="O33" s="118"/>
    </row>
    <row r="34" spans="1:15" s="2" customFormat="1" ht="21">
      <c r="A34" s="145" t="s">
        <v>258</v>
      </c>
      <c r="B34" s="113" t="s">
        <v>259</v>
      </c>
      <c r="C34" s="113" t="s">
        <v>260</v>
      </c>
      <c r="D34" s="113" t="s">
        <v>238</v>
      </c>
      <c r="E34" s="83">
        <v>45663</v>
      </c>
      <c r="F34" s="113">
        <v>1</v>
      </c>
      <c r="G34" s="113" t="s">
        <v>97</v>
      </c>
      <c r="H34" s="113">
        <v>1</v>
      </c>
      <c r="I34" s="113">
        <v>1.4</v>
      </c>
      <c r="J34" s="114">
        <f>K34*L34*M34/1000000</f>
        <v>1.4858E-2</v>
      </c>
      <c r="K34" s="113">
        <v>34</v>
      </c>
      <c r="L34" s="113">
        <v>19</v>
      </c>
      <c r="M34" s="113">
        <v>23</v>
      </c>
      <c r="N34" s="113"/>
      <c r="O34" s="113" t="s">
        <v>24</v>
      </c>
    </row>
    <row r="35" spans="1:15" s="11" customFormat="1" ht="22.5">
      <c r="A35" s="146"/>
      <c r="B35" s="127"/>
      <c r="C35" s="127"/>
      <c r="D35" s="127"/>
      <c r="E35" s="141"/>
      <c r="F35" s="116">
        <v>1</v>
      </c>
      <c r="G35" s="116"/>
      <c r="H35" s="116"/>
      <c r="I35" s="116">
        <f>SUM(I34:I34)</f>
        <v>1.4</v>
      </c>
      <c r="J35" s="117">
        <f>SUM(J34:J34)</f>
        <v>1.4858E-2</v>
      </c>
      <c r="K35" s="116"/>
      <c r="L35" s="116"/>
      <c r="M35" s="116"/>
      <c r="N35" s="118"/>
      <c r="O35" s="118"/>
    </row>
    <row r="36" spans="1:15" s="2" customFormat="1" ht="21">
      <c r="A36" s="145" t="s">
        <v>261</v>
      </c>
      <c r="B36" s="81" t="s">
        <v>262</v>
      </c>
      <c r="C36" s="81" t="s">
        <v>263</v>
      </c>
      <c r="D36" s="81" t="s">
        <v>264</v>
      </c>
      <c r="E36" s="83">
        <v>45664</v>
      </c>
      <c r="F36" s="81">
        <v>1</v>
      </c>
      <c r="G36" s="54" t="s">
        <v>265</v>
      </c>
      <c r="H36" s="81">
        <v>10</v>
      </c>
      <c r="I36" s="81">
        <v>2.4</v>
      </c>
      <c r="J36" s="119">
        <v>3.7399999999999998E-3</v>
      </c>
      <c r="K36" s="81">
        <v>22</v>
      </c>
      <c r="L36" s="81">
        <v>17</v>
      </c>
      <c r="M36" s="81">
        <v>10</v>
      </c>
      <c r="N36" s="81"/>
      <c r="O36" s="81"/>
    </row>
    <row r="37" spans="1:15" s="11" customFormat="1" ht="22.5">
      <c r="A37" s="146"/>
      <c r="B37" s="127"/>
      <c r="C37" s="127"/>
      <c r="D37" s="127"/>
      <c r="E37" s="141"/>
      <c r="F37" s="116">
        <v>1</v>
      </c>
      <c r="G37" s="116"/>
      <c r="H37" s="116"/>
      <c r="I37" s="116">
        <f>SUM(I36:I36)</f>
        <v>2.4</v>
      </c>
      <c r="J37" s="117">
        <f>SUM(J36:J36)</f>
        <v>3.7399999999999998E-3</v>
      </c>
      <c r="K37" s="116"/>
      <c r="L37" s="116"/>
      <c r="M37" s="116"/>
      <c r="N37" s="118"/>
      <c r="O37" s="118"/>
    </row>
    <row r="38" spans="1:15" s="2" customFormat="1" ht="21">
      <c r="A38" s="145" t="s">
        <v>266</v>
      </c>
      <c r="B38" s="113" t="s">
        <v>267</v>
      </c>
      <c r="C38" s="113" t="s">
        <v>268</v>
      </c>
      <c r="D38" s="113" t="s">
        <v>269</v>
      </c>
      <c r="E38" s="83">
        <v>45665</v>
      </c>
      <c r="F38" s="113">
        <v>1</v>
      </c>
      <c r="G38" s="106" t="s">
        <v>270</v>
      </c>
      <c r="H38" s="113"/>
      <c r="I38" s="113">
        <v>0.7</v>
      </c>
      <c r="J38" s="114">
        <v>8.6999999999999994E-3</v>
      </c>
      <c r="K38" s="113">
        <v>29</v>
      </c>
      <c r="L38" s="113">
        <v>20</v>
      </c>
      <c r="M38" s="113">
        <v>15</v>
      </c>
      <c r="N38" s="113"/>
      <c r="O38" s="113"/>
    </row>
    <row r="39" spans="1:15" s="11" customFormat="1" ht="22.5">
      <c r="A39" s="146"/>
      <c r="B39" s="127"/>
      <c r="C39" s="127"/>
      <c r="D39" s="127"/>
      <c r="E39" s="141"/>
      <c r="F39" s="116">
        <v>1</v>
      </c>
      <c r="G39" s="116"/>
      <c r="H39" s="116"/>
      <c r="I39" s="116">
        <f>SUM(I38:I38)</f>
        <v>0.7</v>
      </c>
      <c r="J39" s="117">
        <f>SUM(J38:J38)</f>
        <v>8.6999999999999994E-3</v>
      </c>
      <c r="K39" s="116"/>
      <c r="L39" s="116"/>
      <c r="M39" s="116"/>
      <c r="N39" s="118"/>
      <c r="O39" s="118"/>
    </row>
    <row r="40" spans="1:15" s="2" customFormat="1" ht="42">
      <c r="A40" s="145" t="s">
        <v>271</v>
      </c>
      <c r="B40" s="113" t="s">
        <v>272</v>
      </c>
      <c r="C40" s="113" t="s">
        <v>273</v>
      </c>
      <c r="D40" s="113" t="s">
        <v>274</v>
      </c>
      <c r="E40" s="83">
        <v>45664</v>
      </c>
      <c r="F40" s="113">
        <v>1</v>
      </c>
      <c r="G40" s="113" t="s">
        <v>97</v>
      </c>
      <c r="H40" s="113">
        <v>1</v>
      </c>
      <c r="I40" s="113">
        <v>1.5</v>
      </c>
      <c r="J40" s="114">
        <v>1.3468000000000001E-2</v>
      </c>
      <c r="K40" s="113">
        <v>37</v>
      </c>
      <c r="L40" s="113">
        <v>26</v>
      </c>
      <c r="M40" s="113">
        <v>14</v>
      </c>
      <c r="N40" s="113"/>
      <c r="O40" s="113" t="s">
        <v>24</v>
      </c>
    </row>
    <row r="41" spans="1:15" s="11" customFormat="1" ht="22.5">
      <c r="A41" s="146"/>
      <c r="B41" s="127"/>
      <c r="C41" s="127"/>
      <c r="D41" s="127"/>
      <c r="E41" s="141"/>
      <c r="F41" s="116">
        <v>1</v>
      </c>
      <c r="G41" s="116"/>
      <c r="H41" s="116"/>
      <c r="I41" s="116">
        <f>SUM(I40:I40)</f>
        <v>1.5</v>
      </c>
      <c r="J41" s="117">
        <f>SUM(J40:J40)</f>
        <v>1.3468000000000001E-2</v>
      </c>
      <c r="K41" s="116"/>
      <c r="L41" s="116"/>
      <c r="M41" s="116"/>
      <c r="N41" s="118"/>
      <c r="O41" s="118"/>
    </row>
    <row r="42" spans="1:15" s="2" customFormat="1" ht="21">
      <c r="A42" s="145" t="s">
        <v>275</v>
      </c>
      <c r="B42" s="215" t="s">
        <v>276</v>
      </c>
      <c r="C42" s="113" t="s">
        <v>277</v>
      </c>
      <c r="D42" s="215" t="s">
        <v>238</v>
      </c>
      <c r="E42" s="196">
        <v>45664</v>
      </c>
      <c r="F42" s="113">
        <v>1</v>
      </c>
      <c r="G42" s="215" t="s">
        <v>97</v>
      </c>
      <c r="H42" s="215">
        <v>3</v>
      </c>
      <c r="I42" s="113">
        <v>1.8</v>
      </c>
      <c r="J42" s="114">
        <v>2.3400000000000001E-2</v>
      </c>
      <c r="K42" s="113">
        <v>39</v>
      </c>
      <c r="L42" s="113">
        <v>30</v>
      </c>
      <c r="M42" s="113">
        <v>20</v>
      </c>
      <c r="N42" s="113"/>
      <c r="O42" s="215" t="s">
        <v>24</v>
      </c>
    </row>
    <row r="43" spans="1:15" s="2" customFormat="1" ht="21">
      <c r="A43" s="145" t="s">
        <v>278</v>
      </c>
      <c r="B43" s="217"/>
      <c r="C43" s="113" t="s">
        <v>279</v>
      </c>
      <c r="D43" s="217"/>
      <c r="E43" s="197"/>
      <c r="F43" s="113">
        <v>2</v>
      </c>
      <c r="G43" s="217"/>
      <c r="H43" s="217"/>
      <c r="I43" s="113">
        <v>1.4</v>
      </c>
      <c r="J43" s="114">
        <v>2.3400000000000001E-2</v>
      </c>
      <c r="K43" s="113">
        <v>39</v>
      </c>
      <c r="L43" s="113">
        <v>30</v>
      </c>
      <c r="M43" s="113">
        <v>20</v>
      </c>
      <c r="N43" s="113"/>
      <c r="O43" s="217"/>
    </row>
    <row r="44" spans="1:15" s="2" customFormat="1" ht="21">
      <c r="A44" s="145" t="s">
        <v>280</v>
      </c>
      <c r="B44" s="216"/>
      <c r="C44" s="113" t="s">
        <v>281</v>
      </c>
      <c r="D44" s="216"/>
      <c r="E44" s="198"/>
      <c r="F44" s="113">
        <v>3</v>
      </c>
      <c r="G44" s="216"/>
      <c r="H44" s="216"/>
      <c r="I44" s="113">
        <v>2</v>
      </c>
      <c r="J44" s="114">
        <v>2.3400000000000001E-2</v>
      </c>
      <c r="K44" s="113">
        <v>39</v>
      </c>
      <c r="L44" s="113">
        <v>30</v>
      </c>
      <c r="M44" s="113">
        <v>20</v>
      </c>
      <c r="N44" s="113"/>
      <c r="O44" s="216"/>
    </row>
    <row r="45" spans="1:15" s="11" customFormat="1" ht="22.5">
      <c r="A45" s="146"/>
      <c r="B45" s="127"/>
      <c r="C45" s="127"/>
      <c r="D45" s="127"/>
      <c r="E45" s="141"/>
      <c r="F45" s="116">
        <v>3</v>
      </c>
      <c r="G45" s="116"/>
      <c r="H45" s="116"/>
      <c r="I45" s="116">
        <f>SUM(I42:I44)</f>
        <v>5.2</v>
      </c>
      <c r="J45" s="117">
        <f>SUM(J42:J44)</f>
        <v>7.0199999999999999E-2</v>
      </c>
      <c r="K45" s="116"/>
      <c r="L45" s="116"/>
      <c r="M45" s="116"/>
      <c r="N45" s="118"/>
      <c r="O45" s="118"/>
    </row>
    <row r="46" spans="1:15" s="2" customFormat="1" ht="21">
      <c r="A46" s="145" t="s">
        <v>282</v>
      </c>
      <c r="B46" s="113" t="s">
        <v>283</v>
      </c>
      <c r="C46" s="113" t="s">
        <v>284</v>
      </c>
      <c r="D46" s="113" t="s">
        <v>285</v>
      </c>
      <c r="E46" s="83">
        <v>45665</v>
      </c>
      <c r="F46" s="113">
        <v>1</v>
      </c>
      <c r="G46" s="113" t="s">
        <v>97</v>
      </c>
      <c r="H46" s="113">
        <v>1</v>
      </c>
      <c r="I46" s="113">
        <v>1.8</v>
      </c>
      <c r="J46" s="114">
        <v>2.3400000000000001E-2</v>
      </c>
      <c r="K46" s="113">
        <v>39</v>
      </c>
      <c r="L46" s="113">
        <v>30</v>
      </c>
      <c r="M46" s="113">
        <v>20</v>
      </c>
      <c r="N46" s="113"/>
      <c r="O46" s="113" t="s">
        <v>24</v>
      </c>
    </row>
    <row r="47" spans="1:15" s="11" customFormat="1" ht="22.5">
      <c r="A47" s="146"/>
      <c r="B47" s="127"/>
      <c r="C47" s="127"/>
      <c r="D47" s="127"/>
      <c r="E47" s="141"/>
      <c r="F47" s="116">
        <v>1</v>
      </c>
      <c r="G47" s="116"/>
      <c r="H47" s="116"/>
      <c r="I47" s="116">
        <f>SUM(I46:I46)</f>
        <v>1.8</v>
      </c>
      <c r="J47" s="117">
        <f>SUM(J46:J46)</f>
        <v>2.3400000000000001E-2</v>
      </c>
      <c r="K47" s="116"/>
      <c r="L47" s="116"/>
      <c r="M47" s="116"/>
      <c r="N47" s="118"/>
      <c r="O47" s="118"/>
    </row>
    <row r="48" spans="1:15" s="101" customFormat="1" ht="21">
      <c r="A48" s="147" t="s">
        <v>286</v>
      </c>
      <c r="B48" s="90" t="s">
        <v>287</v>
      </c>
      <c r="C48" s="90" t="s">
        <v>288</v>
      </c>
      <c r="D48" s="90" t="s">
        <v>238</v>
      </c>
      <c r="E48" s="91">
        <v>45666</v>
      </c>
      <c r="F48" s="90">
        <v>1</v>
      </c>
      <c r="G48" s="90" t="s">
        <v>97</v>
      </c>
      <c r="H48" s="90">
        <v>1</v>
      </c>
      <c r="I48" s="90">
        <v>1.1000000000000001</v>
      </c>
      <c r="J48" s="120">
        <v>8.8319999999999996E-3</v>
      </c>
      <c r="K48" s="90">
        <v>32</v>
      </c>
      <c r="L48" s="90">
        <v>23</v>
      </c>
      <c r="M48" s="90">
        <v>12</v>
      </c>
      <c r="N48" s="54" t="s">
        <v>289</v>
      </c>
      <c r="O48" s="90" t="s">
        <v>24</v>
      </c>
    </row>
    <row r="49" spans="1:15" s="11" customFormat="1" ht="22.5">
      <c r="A49" s="146"/>
      <c r="B49" s="127"/>
      <c r="C49" s="127"/>
      <c r="D49" s="127"/>
      <c r="E49" s="141"/>
      <c r="F49" s="116">
        <v>1</v>
      </c>
      <c r="G49" s="116"/>
      <c r="H49" s="116"/>
      <c r="I49" s="116">
        <f>SUM(I48:I48)</f>
        <v>1.1000000000000001</v>
      </c>
      <c r="J49" s="117">
        <f>SUM(J48:J48)</f>
        <v>8.8319999999999996E-3</v>
      </c>
      <c r="K49" s="116"/>
      <c r="L49" s="116"/>
      <c r="M49" s="116"/>
      <c r="N49" s="118"/>
      <c r="O49" s="118"/>
    </row>
    <row r="50" spans="1:15" s="101" customFormat="1" ht="42">
      <c r="A50" s="147" t="s">
        <v>290</v>
      </c>
      <c r="B50" s="90" t="s">
        <v>291</v>
      </c>
      <c r="C50" s="90" t="s">
        <v>292</v>
      </c>
      <c r="D50" s="90" t="s">
        <v>238</v>
      </c>
      <c r="E50" s="91">
        <v>45666</v>
      </c>
      <c r="F50" s="90">
        <v>1</v>
      </c>
      <c r="G50" s="90" t="s">
        <v>97</v>
      </c>
      <c r="H50" s="90">
        <v>1</v>
      </c>
      <c r="I50" s="90">
        <v>1.3</v>
      </c>
      <c r="J50" s="120">
        <v>1.0919999999999999E-2</v>
      </c>
      <c r="K50" s="90">
        <v>24</v>
      </c>
      <c r="L50" s="90">
        <v>13</v>
      </c>
      <c r="M50" s="90">
        <v>35</v>
      </c>
      <c r="N50" s="90"/>
      <c r="O50" s="90" t="s">
        <v>24</v>
      </c>
    </row>
    <row r="51" spans="1:15" s="11" customFormat="1" ht="22.5">
      <c r="A51" s="146"/>
      <c r="B51" s="127"/>
      <c r="C51" s="127"/>
      <c r="D51" s="127"/>
      <c r="E51" s="141"/>
      <c r="F51" s="116">
        <v>1</v>
      </c>
      <c r="G51" s="116"/>
      <c r="H51" s="116"/>
      <c r="I51" s="116">
        <f>SUM(I50:I50)</f>
        <v>1.3</v>
      </c>
      <c r="J51" s="117">
        <f>SUM(J50:J50)</f>
        <v>1.0919999999999999E-2</v>
      </c>
      <c r="K51" s="116"/>
      <c r="L51" s="116"/>
      <c r="M51" s="116"/>
      <c r="N51" s="118"/>
      <c r="O51" s="118"/>
    </row>
    <row r="52" spans="1:15" s="101" customFormat="1" ht="20.25" customHeight="1">
      <c r="A52" s="147" t="s">
        <v>293</v>
      </c>
      <c r="B52" s="193" t="s">
        <v>294</v>
      </c>
      <c r="C52" s="193" t="s">
        <v>295</v>
      </c>
      <c r="D52" s="193" t="s">
        <v>214</v>
      </c>
      <c r="E52" s="209">
        <v>45666</v>
      </c>
      <c r="F52" s="90">
        <v>1</v>
      </c>
      <c r="G52" s="193" t="s">
        <v>97</v>
      </c>
      <c r="H52" s="90"/>
      <c r="I52" s="193">
        <v>10.199999999999999</v>
      </c>
      <c r="J52" s="232">
        <v>0.10335</v>
      </c>
      <c r="K52" s="193">
        <v>53</v>
      </c>
      <c r="L52" s="193">
        <v>39</v>
      </c>
      <c r="M52" s="193">
        <v>50</v>
      </c>
      <c r="N52" s="90"/>
      <c r="O52" s="193" t="s">
        <v>296</v>
      </c>
    </row>
    <row r="53" spans="1:15" s="101" customFormat="1" ht="21">
      <c r="A53" s="147" t="s">
        <v>297</v>
      </c>
      <c r="B53" s="195"/>
      <c r="C53" s="195"/>
      <c r="D53" s="195"/>
      <c r="E53" s="211"/>
      <c r="F53" s="90">
        <v>2</v>
      </c>
      <c r="G53" s="195"/>
      <c r="H53" s="90"/>
      <c r="I53" s="195"/>
      <c r="J53" s="233"/>
      <c r="K53" s="195"/>
      <c r="L53" s="195"/>
      <c r="M53" s="195"/>
      <c r="N53" s="90"/>
      <c r="O53" s="195"/>
    </row>
    <row r="54" spans="1:15" s="11" customFormat="1" ht="22.5">
      <c r="A54" s="146"/>
      <c r="B54" s="127"/>
      <c r="C54" s="127"/>
      <c r="D54" s="127"/>
      <c r="E54" s="141"/>
      <c r="F54" s="116">
        <v>2</v>
      </c>
      <c r="G54" s="116"/>
      <c r="H54" s="116"/>
      <c r="I54" s="116">
        <f>I52</f>
        <v>10.199999999999999</v>
      </c>
      <c r="J54" s="117">
        <f>J52</f>
        <v>0.10335</v>
      </c>
      <c r="K54" s="116"/>
      <c r="L54" s="116"/>
      <c r="M54" s="116"/>
      <c r="N54" s="118"/>
      <c r="O54" s="118"/>
    </row>
    <row r="55" spans="1:15" s="101" customFormat="1" ht="21">
      <c r="A55" s="147" t="s">
        <v>298</v>
      </c>
      <c r="B55" s="182" t="s">
        <v>299</v>
      </c>
      <c r="C55" s="182" t="s">
        <v>300</v>
      </c>
      <c r="D55" s="182" t="s">
        <v>44</v>
      </c>
      <c r="E55" s="185">
        <v>45668</v>
      </c>
      <c r="F55" s="94">
        <v>1</v>
      </c>
      <c r="G55" s="189" t="s">
        <v>301</v>
      </c>
      <c r="H55" s="182">
        <v>1676</v>
      </c>
      <c r="I55" s="94">
        <v>14.7</v>
      </c>
      <c r="J55" s="108">
        <f>K55*L55*M55/1000000</f>
        <v>7.6109999999999997E-2</v>
      </c>
      <c r="K55" s="94">
        <v>59</v>
      </c>
      <c r="L55" s="94">
        <v>30</v>
      </c>
      <c r="M55" s="94">
        <v>43</v>
      </c>
      <c r="N55" s="94"/>
      <c r="O55" s="182" t="s">
        <v>302</v>
      </c>
    </row>
    <row r="56" spans="1:15" s="101" customFormat="1" ht="21">
      <c r="A56" s="147" t="s">
        <v>303</v>
      </c>
      <c r="B56" s="184"/>
      <c r="C56" s="184"/>
      <c r="D56" s="184"/>
      <c r="E56" s="187"/>
      <c r="F56" s="94">
        <v>2</v>
      </c>
      <c r="G56" s="191"/>
      <c r="H56" s="184"/>
      <c r="I56" s="94">
        <v>16.7</v>
      </c>
      <c r="J56" s="108">
        <f>K56*L56*M56/1000000</f>
        <v>5.3999999999999999E-2</v>
      </c>
      <c r="K56" s="94">
        <v>60</v>
      </c>
      <c r="L56" s="94">
        <v>30</v>
      </c>
      <c r="M56" s="94">
        <v>30</v>
      </c>
      <c r="N56" s="94"/>
      <c r="O56" s="184"/>
    </row>
    <row r="57" spans="1:15" s="105" customFormat="1" ht="22.5">
      <c r="A57" s="146"/>
      <c r="B57" s="127"/>
      <c r="C57" s="127"/>
      <c r="D57" s="127"/>
      <c r="E57" s="141"/>
      <c r="F57" s="102">
        <v>2</v>
      </c>
      <c r="G57" s="121"/>
      <c r="H57" s="109"/>
      <c r="I57" s="102">
        <f>SUM(I55:I56)</f>
        <v>31.4</v>
      </c>
      <c r="J57" s="103">
        <f>SUM(J55:J56)</f>
        <v>0.13011</v>
      </c>
      <c r="K57" s="102"/>
      <c r="L57" s="102"/>
      <c r="M57" s="102"/>
      <c r="N57" s="97"/>
      <c r="O57" s="96"/>
    </row>
    <row r="58" spans="1:15" s="101" customFormat="1" ht="21">
      <c r="A58" s="147" t="s">
        <v>304</v>
      </c>
      <c r="B58" s="99" t="s">
        <v>305</v>
      </c>
      <c r="C58" s="99" t="s">
        <v>306</v>
      </c>
      <c r="D58" s="99" t="s">
        <v>307</v>
      </c>
      <c r="E58" s="91">
        <v>45668</v>
      </c>
      <c r="F58" s="99">
        <v>1</v>
      </c>
      <c r="G58" s="99" t="s">
        <v>72</v>
      </c>
      <c r="H58" s="99"/>
      <c r="I58" s="99">
        <v>4</v>
      </c>
      <c r="J58" s="100">
        <f>K58*L58*M58/1000000</f>
        <v>4.7039999999999998E-2</v>
      </c>
      <c r="K58" s="99">
        <v>49</v>
      </c>
      <c r="L58" s="99">
        <v>40</v>
      </c>
      <c r="M58" s="99">
        <v>24</v>
      </c>
      <c r="N58" s="106" t="s">
        <v>308</v>
      </c>
      <c r="O58" s="99"/>
    </row>
    <row r="59" spans="1:15" s="105" customFormat="1" ht="22.5">
      <c r="A59" s="146"/>
      <c r="B59" s="127"/>
      <c r="C59" s="127"/>
      <c r="D59" s="127"/>
      <c r="E59" s="141"/>
      <c r="F59" s="102">
        <v>1</v>
      </c>
      <c r="G59" s="102"/>
      <c r="H59" s="102"/>
      <c r="I59" s="102">
        <f>SUM(I58:I58)</f>
        <v>4</v>
      </c>
      <c r="J59" s="103">
        <f>SUM(J58:J58)</f>
        <v>4.7039999999999998E-2</v>
      </c>
      <c r="K59" s="102"/>
      <c r="L59" s="102"/>
      <c r="M59" s="102"/>
      <c r="N59" s="122"/>
      <c r="O59" s="104"/>
    </row>
    <row r="60" spans="1:15" s="101" customFormat="1" ht="48.75" customHeight="1">
      <c r="A60" s="147" t="s">
        <v>309</v>
      </c>
      <c r="B60" s="182" t="s">
        <v>310</v>
      </c>
      <c r="C60" s="182" t="s">
        <v>311</v>
      </c>
      <c r="D60" s="182" t="s">
        <v>269</v>
      </c>
      <c r="E60" s="185">
        <v>45670</v>
      </c>
      <c r="F60" s="94">
        <v>1</v>
      </c>
      <c r="G60" s="189" t="s">
        <v>312</v>
      </c>
      <c r="H60" s="182">
        <v>145</v>
      </c>
      <c r="I60" s="94">
        <v>4.5</v>
      </c>
      <c r="J60" s="108">
        <f>K60*L60*M60/1000000</f>
        <v>1.61E-2</v>
      </c>
      <c r="K60" s="94">
        <v>35</v>
      </c>
      <c r="L60" s="94">
        <v>20</v>
      </c>
      <c r="M60" s="94">
        <v>23</v>
      </c>
      <c r="N60" s="53"/>
      <c r="O60" s="182" t="s">
        <v>313</v>
      </c>
    </row>
    <row r="61" spans="1:15" s="101" customFormat="1" ht="21">
      <c r="A61" s="147" t="s">
        <v>314</v>
      </c>
      <c r="B61" s="184"/>
      <c r="C61" s="184"/>
      <c r="D61" s="184"/>
      <c r="E61" s="187"/>
      <c r="F61" s="94">
        <v>2</v>
      </c>
      <c r="G61" s="191"/>
      <c r="H61" s="184"/>
      <c r="I61" s="94">
        <v>13.7</v>
      </c>
      <c r="J61" s="108">
        <f>K61*L61*M61/1000000</f>
        <v>8.6730000000000002E-2</v>
      </c>
      <c r="K61" s="94">
        <v>59</v>
      </c>
      <c r="L61" s="94">
        <v>30</v>
      </c>
      <c r="M61" s="94">
        <v>49</v>
      </c>
      <c r="N61" s="94"/>
      <c r="O61" s="184"/>
    </row>
    <row r="62" spans="1:15" s="105" customFormat="1" ht="22.5">
      <c r="A62" s="146"/>
      <c r="B62" s="127"/>
      <c r="C62" s="127"/>
      <c r="D62" s="127"/>
      <c r="E62" s="141"/>
      <c r="F62" s="102">
        <v>2</v>
      </c>
      <c r="G62" s="102"/>
      <c r="H62" s="102"/>
      <c r="I62" s="102">
        <f>SUM(I60:I61)</f>
        <v>18.2</v>
      </c>
      <c r="J62" s="103">
        <f>SUM(J60:J61)</f>
        <v>0.10283</v>
      </c>
      <c r="K62" s="102"/>
      <c r="L62" s="102"/>
      <c r="M62" s="102"/>
      <c r="N62" s="97"/>
      <c r="O62" s="96"/>
    </row>
    <row r="63" spans="1:15" s="101" customFormat="1" ht="21">
      <c r="A63" s="147" t="s">
        <v>315</v>
      </c>
      <c r="B63" s="99" t="s">
        <v>316</v>
      </c>
      <c r="C63" s="99" t="s">
        <v>317</v>
      </c>
      <c r="D63" s="99" t="s">
        <v>318</v>
      </c>
      <c r="E63" s="91">
        <v>45671</v>
      </c>
      <c r="F63" s="99">
        <v>1</v>
      </c>
      <c r="G63" s="106" t="s">
        <v>319</v>
      </c>
      <c r="H63" s="99"/>
      <c r="I63" s="99">
        <v>1</v>
      </c>
      <c r="J63" s="100">
        <f>K63*L63*M63/1000000</f>
        <v>1.4024999999999999E-2</v>
      </c>
      <c r="K63" s="99">
        <v>25</v>
      </c>
      <c r="L63" s="99">
        <v>33</v>
      </c>
      <c r="M63" s="99">
        <v>17</v>
      </c>
      <c r="N63" s="99"/>
      <c r="O63" s="90"/>
    </row>
    <row r="64" spans="1:15" s="105" customFormat="1" ht="22.5">
      <c r="A64" s="146"/>
      <c r="B64" s="127"/>
      <c r="C64" s="127"/>
      <c r="D64" s="127"/>
      <c r="E64" s="141"/>
      <c r="F64" s="102">
        <v>1</v>
      </c>
      <c r="G64" s="102"/>
      <c r="H64" s="102"/>
      <c r="I64" s="102">
        <f>SUM(I63:I63)</f>
        <v>1</v>
      </c>
      <c r="J64" s="103">
        <f>SUM(J63:J63)</f>
        <v>1.4024999999999999E-2</v>
      </c>
      <c r="K64" s="102"/>
      <c r="L64" s="102"/>
      <c r="M64" s="102"/>
      <c r="N64" s="122"/>
      <c r="O64" s="104"/>
    </row>
    <row r="65" spans="1:15" s="101" customFormat="1" ht="37.5">
      <c r="A65" s="147" t="s">
        <v>320</v>
      </c>
      <c r="B65" s="99" t="s">
        <v>321</v>
      </c>
      <c r="C65" s="99" t="s">
        <v>317</v>
      </c>
      <c r="D65" s="99" t="s">
        <v>322</v>
      </c>
      <c r="E65" s="91">
        <v>45671</v>
      </c>
      <c r="F65" s="99">
        <v>1</v>
      </c>
      <c r="G65" s="106" t="s">
        <v>323</v>
      </c>
      <c r="H65" s="99"/>
      <c r="I65" s="99">
        <v>2</v>
      </c>
      <c r="J65" s="100">
        <f>K65*L65*M65/1000000</f>
        <v>1.4322E-2</v>
      </c>
      <c r="K65" s="99">
        <v>42</v>
      </c>
      <c r="L65" s="99">
        <v>31</v>
      </c>
      <c r="M65" s="99">
        <v>11</v>
      </c>
      <c r="N65" s="99"/>
      <c r="O65" s="90"/>
    </row>
    <row r="66" spans="1:15" s="105" customFormat="1" ht="22.5">
      <c r="A66" s="146"/>
      <c r="B66" s="127"/>
      <c r="C66" s="127"/>
      <c r="D66" s="127"/>
      <c r="E66" s="141"/>
      <c r="F66" s="102">
        <v>1</v>
      </c>
      <c r="G66" s="102"/>
      <c r="H66" s="102"/>
      <c r="I66" s="102">
        <f>SUM(I65:I65)</f>
        <v>2</v>
      </c>
      <c r="J66" s="103">
        <f>SUM(J65:J65)</f>
        <v>1.4322E-2</v>
      </c>
      <c r="K66" s="102"/>
      <c r="L66" s="102"/>
      <c r="M66" s="102"/>
      <c r="N66" s="122"/>
      <c r="O66" s="104"/>
    </row>
    <row r="67" spans="1:15" s="101" customFormat="1" ht="42">
      <c r="A67" s="147" t="s">
        <v>324</v>
      </c>
      <c r="B67" s="99" t="s">
        <v>325</v>
      </c>
      <c r="C67" s="99" t="s">
        <v>326</v>
      </c>
      <c r="D67" s="99" t="s">
        <v>327</v>
      </c>
      <c r="E67" s="91">
        <v>45672</v>
      </c>
      <c r="F67" s="99">
        <v>1</v>
      </c>
      <c r="G67" s="99" t="s">
        <v>328</v>
      </c>
      <c r="H67" s="99"/>
      <c r="I67" s="99">
        <v>1.2</v>
      </c>
      <c r="J67" s="100">
        <f>K67*L67*M67/1000000</f>
        <v>6.0480000000000004E-3</v>
      </c>
      <c r="K67" s="99">
        <v>27</v>
      </c>
      <c r="L67" s="99">
        <v>14</v>
      </c>
      <c r="M67" s="99">
        <v>16</v>
      </c>
      <c r="N67" s="99"/>
      <c r="O67" s="99"/>
    </row>
    <row r="68" spans="1:15" s="105" customFormat="1" ht="22.5">
      <c r="A68" s="146"/>
      <c r="B68" s="127"/>
      <c r="C68" s="127"/>
      <c r="D68" s="127"/>
      <c r="E68" s="141"/>
      <c r="F68" s="102">
        <v>1</v>
      </c>
      <c r="G68" s="102"/>
      <c r="H68" s="102"/>
      <c r="I68" s="102">
        <f>SUM(I67:I67)</f>
        <v>1.2</v>
      </c>
      <c r="J68" s="103">
        <f>SUM(J67:J67)</f>
        <v>6.0480000000000004E-3</v>
      </c>
      <c r="K68" s="102"/>
      <c r="L68" s="102"/>
      <c r="M68" s="102"/>
      <c r="N68" s="122"/>
      <c r="O68" s="104"/>
    </row>
    <row r="69" spans="1:15" s="101" customFormat="1" ht="60.75">
      <c r="A69" s="147" t="s">
        <v>329</v>
      </c>
      <c r="B69" s="94" t="s">
        <v>330</v>
      </c>
      <c r="C69" s="94" t="s">
        <v>331</v>
      </c>
      <c r="D69" s="94" t="s">
        <v>332</v>
      </c>
      <c r="E69" s="98">
        <v>45672</v>
      </c>
      <c r="F69" s="94">
        <v>1</v>
      </c>
      <c r="G69" s="94" t="s">
        <v>333</v>
      </c>
      <c r="H69" s="94">
        <v>4</v>
      </c>
      <c r="I69" s="94">
        <v>1.5</v>
      </c>
      <c r="J69" s="108">
        <v>1.728E-2</v>
      </c>
      <c r="K69" s="94">
        <v>36</v>
      </c>
      <c r="L69" s="94">
        <v>32</v>
      </c>
      <c r="M69" s="94">
        <v>15</v>
      </c>
      <c r="N69" s="53" t="s">
        <v>334</v>
      </c>
      <c r="O69" s="94" t="s">
        <v>335</v>
      </c>
    </row>
    <row r="70" spans="1:15" s="105" customFormat="1" ht="22.5">
      <c r="A70" s="146"/>
      <c r="B70" s="127"/>
      <c r="C70" s="127"/>
      <c r="D70" s="127"/>
      <c r="E70" s="141"/>
      <c r="F70" s="102">
        <v>1</v>
      </c>
      <c r="G70" s="102"/>
      <c r="H70" s="102"/>
      <c r="I70" s="102">
        <v>1.5</v>
      </c>
      <c r="J70" s="103">
        <v>1.728E-2</v>
      </c>
      <c r="K70" s="102"/>
      <c r="L70" s="102"/>
      <c r="M70" s="102"/>
      <c r="N70" s="97"/>
      <c r="O70" s="97"/>
    </row>
    <row r="71" spans="1:15" s="101" customFormat="1" ht="60.75">
      <c r="A71" s="147" t="s">
        <v>336</v>
      </c>
      <c r="B71" s="94" t="s">
        <v>337</v>
      </c>
      <c r="C71" s="94" t="s">
        <v>331</v>
      </c>
      <c r="D71" s="94" t="s">
        <v>338</v>
      </c>
      <c r="E71" s="98">
        <v>45672</v>
      </c>
      <c r="F71" s="94">
        <v>1</v>
      </c>
      <c r="G71" s="94" t="s">
        <v>339</v>
      </c>
      <c r="H71" s="94">
        <v>1</v>
      </c>
      <c r="I71" s="94">
        <v>7.4</v>
      </c>
      <c r="J71" s="108">
        <v>6.8543999999999994E-2</v>
      </c>
      <c r="K71" s="94">
        <v>51</v>
      </c>
      <c r="L71" s="94">
        <v>32</v>
      </c>
      <c r="M71" s="94">
        <v>42</v>
      </c>
      <c r="N71" s="94"/>
      <c r="O71" s="94" t="s">
        <v>335</v>
      </c>
    </row>
    <row r="72" spans="1:15" s="105" customFormat="1" ht="22.5">
      <c r="A72" s="146"/>
      <c r="B72" s="127"/>
      <c r="C72" s="127"/>
      <c r="D72" s="127"/>
      <c r="E72" s="141"/>
      <c r="F72" s="102">
        <v>1</v>
      </c>
      <c r="G72" s="102"/>
      <c r="H72" s="102"/>
      <c r="I72" s="102">
        <v>7.4</v>
      </c>
      <c r="J72" s="103">
        <v>6.8543999999999994E-2</v>
      </c>
      <c r="K72" s="102"/>
      <c r="L72" s="102"/>
      <c r="M72" s="102"/>
      <c r="N72" s="97"/>
      <c r="O72" s="97"/>
    </row>
    <row r="73" spans="1:15" s="101" customFormat="1" ht="37.5">
      <c r="A73" s="148"/>
      <c r="B73" s="123" t="s">
        <v>128</v>
      </c>
      <c r="C73" s="53" t="s">
        <v>340</v>
      </c>
      <c r="D73" s="123" t="s">
        <v>75</v>
      </c>
      <c r="E73" s="98">
        <v>45671</v>
      </c>
      <c r="F73" s="93" t="s">
        <v>130</v>
      </c>
      <c r="G73" s="124" t="s">
        <v>76</v>
      </c>
      <c r="H73" s="94">
        <v>12585</v>
      </c>
      <c r="I73" s="94">
        <v>1050</v>
      </c>
      <c r="J73" s="95">
        <f>K73*L73*M73/1000000*23</f>
        <v>3.2826749999999998</v>
      </c>
      <c r="K73" s="94">
        <v>33</v>
      </c>
      <c r="L73" s="94">
        <v>25</v>
      </c>
      <c r="M73" s="94">
        <v>173</v>
      </c>
      <c r="N73" s="94" t="s">
        <v>82</v>
      </c>
      <c r="O73" s="94"/>
    </row>
    <row r="74" spans="1:15" s="105" customFormat="1" ht="22.5">
      <c r="A74" s="146"/>
      <c r="B74" s="127"/>
      <c r="C74" s="127"/>
      <c r="D74" s="127"/>
      <c r="E74" s="141"/>
      <c r="F74" s="102">
        <v>1</v>
      </c>
      <c r="G74" s="102"/>
      <c r="H74" s="102"/>
      <c r="I74" s="102">
        <v>7.4</v>
      </c>
      <c r="J74" s="103">
        <v>6.8543999999999994E-2</v>
      </c>
      <c r="K74" s="102"/>
      <c r="L74" s="102"/>
      <c r="M74" s="102"/>
      <c r="N74" s="97"/>
      <c r="O74" s="97"/>
    </row>
    <row r="75" spans="1:15" s="101" customFormat="1" ht="21">
      <c r="A75" s="147" t="s">
        <v>341</v>
      </c>
      <c r="B75" s="206" t="s">
        <v>342</v>
      </c>
      <c r="C75" s="206"/>
      <c r="D75" s="206" t="s">
        <v>343</v>
      </c>
      <c r="E75" s="209">
        <v>45673</v>
      </c>
      <c r="F75" s="99">
        <v>1</v>
      </c>
      <c r="G75" s="206" t="s">
        <v>344</v>
      </c>
      <c r="H75" s="99">
        <v>200</v>
      </c>
      <c r="I75" s="99">
        <v>34.200000000000003</v>
      </c>
      <c r="J75" s="100">
        <f t="shared" ref="J75:J85" si="0">K75*L75*M75/1000000</f>
        <v>0.24</v>
      </c>
      <c r="K75" s="99">
        <v>80</v>
      </c>
      <c r="L75" s="99">
        <v>50</v>
      </c>
      <c r="M75" s="99">
        <v>60</v>
      </c>
      <c r="N75" s="99"/>
      <c r="O75" s="99"/>
    </row>
    <row r="76" spans="1:15" s="101" customFormat="1" ht="21">
      <c r="A76" s="147" t="s">
        <v>345</v>
      </c>
      <c r="B76" s="207"/>
      <c r="C76" s="207"/>
      <c r="D76" s="207"/>
      <c r="E76" s="210"/>
      <c r="F76" s="99">
        <v>2</v>
      </c>
      <c r="G76" s="207"/>
      <c r="H76" s="99">
        <v>240</v>
      </c>
      <c r="I76" s="99">
        <v>38</v>
      </c>
      <c r="J76" s="100">
        <f t="shared" si="0"/>
        <v>0.24</v>
      </c>
      <c r="K76" s="99">
        <v>80</v>
      </c>
      <c r="L76" s="99">
        <v>50</v>
      </c>
      <c r="M76" s="99">
        <v>60</v>
      </c>
      <c r="N76" s="99"/>
      <c r="O76" s="99"/>
    </row>
    <row r="77" spans="1:15" s="101" customFormat="1" ht="21">
      <c r="A77" s="147" t="s">
        <v>346</v>
      </c>
      <c r="B77" s="207"/>
      <c r="C77" s="207"/>
      <c r="D77" s="207"/>
      <c r="E77" s="210"/>
      <c r="F77" s="99">
        <v>3</v>
      </c>
      <c r="G77" s="207"/>
      <c r="H77" s="99">
        <v>300</v>
      </c>
      <c r="I77" s="99">
        <v>41.6</v>
      </c>
      <c r="J77" s="100">
        <f t="shared" si="0"/>
        <v>0.24</v>
      </c>
      <c r="K77" s="99">
        <v>80</v>
      </c>
      <c r="L77" s="99">
        <v>50</v>
      </c>
      <c r="M77" s="99">
        <v>60</v>
      </c>
      <c r="N77" s="99"/>
      <c r="O77" s="99"/>
    </row>
    <row r="78" spans="1:15" s="101" customFormat="1" ht="21">
      <c r="A78" s="147" t="s">
        <v>347</v>
      </c>
      <c r="B78" s="207"/>
      <c r="C78" s="207"/>
      <c r="D78" s="207"/>
      <c r="E78" s="210"/>
      <c r="F78" s="99">
        <v>4</v>
      </c>
      <c r="G78" s="207"/>
      <c r="H78" s="99">
        <v>230</v>
      </c>
      <c r="I78" s="99">
        <v>40.299999999999997</v>
      </c>
      <c r="J78" s="100">
        <f t="shared" si="0"/>
        <v>0.24</v>
      </c>
      <c r="K78" s="99">
        <v>80</v>
      </c>
      <c r="L78" s="99">
        <v>50</v>
      </c>
      <c r="M78" s="99">
        <v>60</v>
      </c>
      <c r="N78" s="99"/>
      <c r="O78" s="99"/>
    </row>
    <row r="79" spans="1:15" s="101" customFormat="1" ht="21">
      <c r="A79" s="147" t="s">
        <v>348</v>
      </c>
      <c r="B79" s="207"/>
      <c r="C79" s="207"/>
      <c r="D79" s="207"/>
      <c r="E79" s="210"/>
      <c r="F79" s="99">
        <v>5</v>
      </c>
      <c r="G79" s="207"/>
      <c r="H79" s="99">
        <v>220</v>
      </c>
      <c r="I79" s="99">
        <v>38.9</v>
      </c>
      <c r="J79" s="100">
        <f t="shared" si="0"/>
        <v>0.24</v>
      </c>
      <c r="K79" s="99">
        <v>80</v>
      </c>
      <c r="L79" s="99">
        <v>50</v>
      </c>
      <c r="M79" s="99">
        <v>60</v>
      </c>
      <c r="N79" s="99"/>
      <c r="O79" s="99"/>
    </row>
    <row r="80" spans="1:15" s="101" customFormat="1" ht="21">
      <c r="A80" s="147" t="s">
        <v>349</v>
      </c>
      <c r="B80" s="207"/>
      <c r="C80" s="207"/>
      <c r="D80" s="207"/>
      <c r="E80" s="210"/>
      <c r="F80" s="99">
        <v>6</v>
      </c>
      <c r="G80" s="207"/>
      <c r="H80" s="99">
        <v>200</v>
      </c>
      <c r="I80" s="99">
        <v>33.799999999999997</v>
      </c>
      <c r="J80" s="100">
        <f t="shared" si="0"/>
        <v>0.24</v>
      </c>
      <c r="K80" s="99">
        <v>80</v>
      </c>
      <c r="L80" s="99">
        <v>50</v>
      </c>
      <c r="M80" s="99">
        <v>60</v>
      </c>
      <c r="N80" s="99"/>
      <c r="O80" s="99"/>
    </row>
    <row r="81" spans="1:15" s="101" customFormat="1" ht="21">
      <c r="A81" s="147" t="s">
        <v>350</v>
      </c>
      <c r="B81" s="207"/>
      <c r="C81" s="207"/>
      <c r="D81" s="207"/>
      <c r="E81" s="210"/>
      <c r="F81" s="99">
        <v>7</v>
      </c>
      <c r="G81" s="207"/>
      <c r="H81" s="99">
        <v>190</v>
      </c>
      <c r="I81" s="99">
        <v>30.5</v>
      </c>
      <c r="J81" s="100">
        <f t="shared" si="0"/>
        <v>0.24</v>
      </c>
      <c r="K81" s="99">
        <v>80</v>
      </c>
      <c r="L81" s="99">
        <v>50</v>
      </c>
      <c r="M81" s="99">
        <v>60</v>
      </c>
      <c r="N81" s="99"/>
      <c r="O81" s="99"/>
    </row>
    <row r="82" spans="1:15" s="101" customFormat="1" ht="21">
      <c r="A82" s="147" t="s">
        <v>351</v>
      </c>
      <c r="B82" s="207"/>
      <c r="C82" s="207"/>
      <c r="D82" s="207"/>
      <c r="E82" s="210"/>
      <c r="F82" s="99">
        <v>8</v>
      </c>
      <c r="G82" s="207"/>
      <c r="H82" s="99">
        <v>200</v>
      </c>
      <c r="I82" s="99">
        <v>33.1</v>
      </c>
      <c r="J82" s="100">
        <f t="shared" si="0"/>
        <v>0.24</v>
      </c>
      <c r="K82" s="99">
        <v>80</v>
      </c>
      <c r="L82" s="99">
        <v>50</v>
      </c>
      <c r="M82" s="99">
        <v>60</v>
      </c>
      <c r="N82" s="99"/>
      <c r="O82" s="99"/>
    </row>
    <row r="83" spans="1:15" s="101" customFormat="1" ht="21">
      <c r="A83" s="147" t="s">
        <v>352</v>
      </c>
      <c r="B83" s="207"/>
      <c r="C83" s="207"/>
      <c r="D83" s="207"/>
      <c r="E83" s="210"/>
      <c r="F83" s="99">
        <v>9</v>
      </c>
      <c r="G83" s="207"/>
      <c r="H83" s="99">
        <v>200</v>
      </c>
      <c r="I83" s="99">
        <v>33.4</v>
      </c>
      <c r="J83" s="100">
        <f t="shared" si="0"/>
        <v>0.24</v>
      </c>
      <c r="K83" s="99">
        <v>80</v>
      </c>
      <c r="L83" s="99">
        <v>50</v>
      </c>
      <c r="M83" s="99">
        <v>60</v>
      </c>
      <c r="N83" s="99"/>
      <c r="O83" s="99"/>
    </row>
    <row r="84" spans="1:15" s="101" customFormat="1" ht="21">
      <c r="A84" s="147" t="s">
        <v>353</v>
      </c>
      <c r="B84" s="207"/>
      <c r="C84" s="207"/>
      <c r="D84" s="207"/>
      <c r="E84" s="210"/>
      <c r="F84" s="99">
        <v>10</v>
      </c>
      <c r="G84" s="207"/>
      <c r="H84" s="99">
        <v>200</v>
      </c>
      <c r="I84" s="99">
        <v>33.5</v>
      </c>
      <c r="J84" s="100">
        <f t="shared" si="0"/>
        <v>0.24</v>
      </c>
      <c r="K84" s="99">
        <v>80</v>
      </c>
      <c r="L84" s="99">
        <v>50</v>
      </c>
      <c r="M84" s="99">
        <v>60</v>
      </c>
      <c r="N84" s="99"/>
      <c r="O84" s="99"/>
    </row>
    <row r="85" spans="1:15" s="101" customFormat="1" ht="21">
      <c r="A85" s="147" t="s">
        <v>354</v>
      </c>
      <c r="B85" s="208"/>
      <c r="C85" s="208"/>
      <c r="D85" s="208"/>
      <c r="E85" s="211"/>
      <c r="F85" s="99">
        <v>11</v>
      </c>
      <c r="G85" s="208"/>
      <c r="H85" s="99">
        <v>200</v>
      </c>
      <c r="I85" s="99">
        <v>31</v>
      </c>
      <c r="J85" s="100">
        <f t="shared" si="0"/>
        <v>0.24</v>
      </c>
      <c r="K85" s="99">
        <v>80</v>
      </c>
      <c r="L85" s="99">
        <v>50</v>
      </c>
      <c r="M85" s="99">
        <v>60</v>
      </c>
      <c r="N85" s="99"/>
      <c r="O85" s="99"/>
    </row>
    <row r="86" spans="1:15" s="105" customFormat="1" ht="22.5">
      <c r="A86" s="146"/>
      <c r="B86" s="127"/>
      <c r="C86" s="127"/>
      <c r="D86" s="127"/>
      <c r="E86" s="141"/>
      <c r="F86" s="102">
        <v>11</v>
      </c>
      <c r="G86" s="102"/>
      <c r="H86" s="102"/>
      <c r="I86" s="102">
        <f>SUM(I75:I85)</f>
        <v>388.3</v>
      </c>
      <c r="J86" s="103">
        <f>SUM(J75:J85)</f>
        <v>2.6400000000000006</v>
      </c>
      <c r="K86" s="102"/>
      <c r="L86" s="102"/>
      <c r="M86" s="102"/>
      <c r="N86" s="104"/>
      <c r="O86" s="104"/>
    </row>
    <row r="87" spans="1:15" s="101" customFormat="1" ht="21">
      <c r="A87" s="147" t="s">
        <v>355</v>
      </c>
      <c r="B87" s="94" t="s">
        <v>356</v>
      </c>
      <c r="C87" s="94" t="s">
        <v>357</v>
      </c>
      <c r="D87" s="182" t="s">
        <v>358</v>
      </c>
      <c r="E87" s="98">
        <v>45640</v>
      </c>
      <c r="F87" s="94">
        <v>1</v>
      </c>
      <c r="G87" s="189" t="s">
        <v>359</v>
      </c>
      <c r="H87" s="182">
        <v>62</v>
      </c>
      <c r="I87" s="182">
        <v>11.7</v>
      </c>
      <c r="J87" s="229">
        <f>K87*L87*M87/1000000</f>
        <v>4.8543999999999997E-2</v>
      </c>
      <c r="K87" s="182">
        <v>32</v>
      </c>
      <c r="L87" s="182">
        <v>37</v>
      </c>
      <c r="M87" s="182">
        <v>41</v>
      </c>
      <c r="N87" s="53" t="s">
        <v>360</v>
      </c>
      <c r="O87" s="189" t="s">
        <v>361</v>
      </c>
    </row>
    <row r="88" spans="1:15" s="101" customFormat="1" ht="21">
      <c r="A88" s="147" t="s">
        <v>362</v>
      </c>
      <c r="B88" s="182" t="s">
        <v>363</v>
      </c>
      <c r="C88" s="182" t="s">
        <v>364</v>
      </c>
      <c r="D88" s="183"/>
      <c r="E88" s="185">
        <v>45673</v>
      </c>
      <c r="F88" s="94">
        <v>1</v>
      </c>
      <c r="G88" s="190"/>
      <c r="H88" s="183"/>
      <c r="I88" s="183"/>
      <c r="J88" s="230"/>
      <c r="K88" s="183"/>
      <c r="L88" s="183"/>
      <c r="M88" s="183"/>
      <c r="N88" s="189" t="s">
        <v>365</v>
      </c>
      <c r="O88" s="190"/>
    </row>
    <row r="89" spans="1:15" s="101" customFormat="1" ht="21">
      <c r="A89" s="147" t="s">
        <v>366</v>
      </c>
      <c r="B89" s="184"/>
      <c r="C89" s="184"/>
      <c r="D89" s="184"/>
      <c r="E89" s="187"/>
      <c r="F89" s="94">
        <v>2</v>
      </c>
      <c r="G89" s="191"/>
      <c r="H89" s="184"/>
      <c r="I89" s="184"/>
      <c r="J89" s="231"/>
      <c r="K89" s="184"/>
      <c r="L89" s="184"/>
      <c r="M89" s="184"/>
      <c r="N89" s="191"/>
      <c r="O89" s="191"/>
    </row>
    <row r="90" spans="1:15" s="105" customFormat="1" ht="22.5">
      <c r="A90" s="146"/>
      <c r="B90" s="127"/>
      <c r="C90" s="127"/>
      <c r="D90" s="127"/>
      <c r="E90" s="141"/>
      <c r="F90" s="102">
        <v>1</v>
      </c>
      <c r="G90" s="121"/>
      <c r="H90" s="109"/>
      <c r="I90" s="109">
        <f>SUM(I87:I89)</f>
        <v>11.7</v>
      </c>
      <c r="J90" s="125">
        <f>SUM(J87:J89)</f>
        <v>4.8543999999999997E-2</v>
      </c>
      <c r="K90" s="109"/>
      <c r="L90" s="109"/>
      <c r="M90" s="109"/>
      <c r="N90" s="126"/>
      <c r="O90" s="126"/>
    </row>
    <row r="91" spans="1:15" s="101" customFormat="1" ht="21">
      <c r="A91" s="147" t="s">
        <v>367</v>
      </c>
      <c r="B91" s="99" t="s">
        <v>368</v>
      </c>
      <c r="C91" s="99" t="s">
        <v>369</v>
      </c>
      <c r="D91" s="99" t="s">
        <v>370</v>
      </c>
      <c r="E91" s="91">
        <v>45675</v>
      </c>
      <c r="F91" s="99">
        <v>1</v>
      </c>
      <c r="G91" s="99" t="s">
        <v>97</v>
      </c>
      <c r="H91" s="99">
        <v>1</v>
      </c>
      <c r="I91" s="99">
        <v>1.6</v>
      </c>
      <c r="J91" s="100">
        <v>1.482E-2</v>
      </c>
      <c r="K91" s="99">
        <v>38</v>
      </c>
      <c r="L91" s="99">
        <v>26</v>
      </c>
      <c r="M91" s="99">
        <v>15</v>
      </c>
      <c r="N91" s="99"/>
      <c r="O91" s="99" t="s">
        <v>24</v>
      </c>
    </row>
    <row r="92" spans="1:15" s="105" customFormat="1" ht="22.5">
      <c r="A92" s="146"/>
      <c r="B92" s="127"/>
      <c r="C92" s="127"/>
      <c r="D92" s="127"/>
      <c r="E92" s="141"/>
      <c r="F92" s="102">
        <v>1</v>
      </c>
      <c r="G92" s="102"/>
      <c r="H92" s="102"/>
      <c r="I92" s="102">
        <f>I91</f>
        <v>1.6</v>
      </c>
      <c r="J92" s="103">
        <f>J91</f>
        <v>1.482E-2</v>
      </c>
      <c r="K92" s="102"/>
      <c r="L92" s="102"/>
      <c r="M92" s="102"/>
      <c r="N92" s="92"/>
      <c r="O92" s="92"/>
    </row>
    <row r="93" spans="1:15" s="101" customFormat="1" ht="42">
      <c r="A93" s="147" t="s">
        <v>59</v>
      </c>
      <c r="B93" s="99" t="s">
        <v>138</v>
      </c>
      <c r="C93" s="99" t="s">
        <v>139</v>
      </c>
      <c r="D93" s="99" t="s">
        <v>45</v>
      </c>
      <c r="E93" s="91">
        <v>45675</v>
      </c>
      <c r="F93" s="99">
        <v>1</v>
      </c>
      <c r="G93" s="99" t="s">
        <v>140</v>
      </c>
      <c r="H93" s="99">
        <v>1</v>
      </c>
      <c r="I93" s="99">
        <v>0.2</v>
      </c>
      <c r="J93" s="100">
        <v>3.0599999999999998E-3</v>
      </c>
      <c r="K93" s="99">
        <v>34</v>
      </c>
      <c r="L93" s="99">
        <v>30</v>
      </c>
      <c r="M93" s="99">
        <v>3</v>
      </c>
      <c r="N93" s="99"/>
      <c r="O93" s="99"/>
    </row>
    <row r="94" spans="1:15" s="105" customFormat="1" ht="22.5">
      <c r="A94" s="146"/>
      <c r="B94" s="42"/>
      <c r="C94" s="42"/>
      <c r="D94" s="42"/>
      <c r="E94" s="142"/>
      <c r="F94" s="102">
        <v>1</v>
      </c>
      <c r="G94" s="102"/>
      <c r="H94" s="102"/>
      <c r="I94" s="102">
        <f>I93</f>
        <v>0.2</v>
      </c>
      <c r="J94" s="103">
        <f>J93</f>
        <v>3.0599999999999998E-3</v>
      </c>
      <c r="K94" s="102"/>
      <c r="L94" s="102"/>
      <c r="M94" s="102"/>
      <c r="N94" s="92"/>
      <c r="O94" s="92"/>
    </row>
    <row r="95" spans="1:15" s="101" customFormat="1" ht="42">
      <c r="A95" s="147" t="s">
        <v>141</v>
      </c>
      <c r="B95" s="99" t="s">
        <v>142</v>
      </c>
      <c r="C95" s="99" t="s">
        <v>143</v>
      </c>
      <c r="D95" s="99" t="s">
        <v>45</v>
      </c>
      <c r="E95" s="91">
        <v>45676</v>
      </c>
      <c r="F95" s="99">
        <v>1</v>
      </c>
      <c r="G95" s="99" t="s">
        <v>72</v>
      </c>
      <c r="H95" s="99">
        <v>1</v>
      </c>
      <c r="I95" s="99">
        <v>0.8</v>
      </c>
      <c r="J95" s="100">
        <v>8.2620000000000002E-3</v>
      </c>
      <c r="K95" s="99">
        <v>34</v>
      </c>
      <c r="L95" s="99">
        <v>27</v>
      </c>
      <c r="M95" s="99">
        <v>9</v>
      </c>
      <c r="N95" s="99"/>
      <c r="O95" s="99"/>
    </row>
    <row r="96" spans="1:15" s="105" customFormat="1" ht="22.5">
      <c r="A96" s="146"/>
      <c r="B96" s="42"/>
      <c r="C96" s="42"/>
      <c r="D96" s="42"/>
      <c r="E96" s="142"/>
      <c r="F96" s="102">
        <v>1</v>
      </c>
      <c r="G96" s="102"/>
      <c r="H96" s="102"/>
      <c r="I96" s="102">
        <f>I95</f>
        <v>0.8</v>
      </c>
      <c r="J96" s="103">
        <f>J95</f>
        <v>8.2620000000000002E-3</v>
      </c>
      <c r="K96" s="102"/>
      <c r="L96" s="102"/>
      <c r="M96" s="102"/>
      <c r="N96" s="92"/>
      <c r="O96" s="92"/>
    </row>
    <row r="97" spans="1:15" s="101" customFormat="1" ht="42">
      <c r="A97" s="147" t="s">
        <v>144</v>
      </c>
      <c r="B97" s="99" t="s">
        <v>145</v>
      </c>
      <c r="C97" s="99" t="s">
        <v>146</v>
      </c>
      <c r="D97" s="99" t="s">
        <v>45</v>
      </c>
      <c r="E97" s="91">
        <v>45676</v>
      </c>
      <c r="F97" s="99">
        <v>1</v>
      </c>
      <c r="G97" s="106" t="s">
        <v>147</v>
      </c>
      <c r="H97" s="99">
        <v>1</v>
      </c>
      <c r="I97" s="99">
        <v>0.4</v>
      </c>
      <c r="J97" s="100">
        <v>2.6459999999999999E-3</v>
      </c>
      <c r="K97" s="99">
        <v>21</v>
      </c>
      <c r="L97" s="99">
        <v>21</v>
      </c>
      <c r="M97" s="99">
        <v>6</v>
      </c>
      <c r="N97" s="99"/>
      <c r="O97" s="99"/>
    </row>
    <row r="98" spans="1:15" s="105" customFormat="1" ht="22.5">
      <c r="A98" s="146"/>
      <c r="B98" s="42"/>
      <c r="C98" s="42"/>
      <c r="D98" s="42"/>
      <c r="E98" s="142"/>
      <c r="F98" s="102">
        <v>1</v>
      </c>
      <c r="G98" s="102"/>
      <c r="H98" s="102"/>
      <c r="I98" s="102">
        <f>I97</f>
        <v>0.4</v>
      </c>
      <c r="J98" s="103">
        <f>J97</f>
        <v>2.6459999999999999E-3</v>
      </c>
      <c r="K98" s="102"/>
      <c r="L98" s="102"/>
      <c r="M98" s="102"/>
      <c r="N98" s="92"/>
      <c r="O98" s="92"/>
    </row>
    <row r="99" spans="1:15" s="101" customFormat="1" ht="21">
      <c r="A99" s="147" t="s">
        <v>148</v>
      </c>
      <c r="B99" s="99" t="s">
        <v>149</v>
      </c>
      <c r="C99" s="99" t="s">
        <v>150</v>
      </c>
      <c r="D99" s="99" t="s">
        <v>45</v>
      </c>
      <c r="E99" s="91">
        <v>45676</v>
      </c>
      <c r="F99" s="99">
        <v>1</v>
      </c>
      <c r="G99" s="99" t="s">
        <v>151</v>
      </c>
      <c r="H99" s="99"/>
      <c r="I99" s="99">
        <v>0.7</v>
      </c>
      <c r="J99" s="100">
        <v>5.2500000000000003E-3</v>
      </c>
      <c r="K99" s="99">
        <v>35</v>
      </c>
      <c r="L99" s="99">
        <v>30</v>
      </c>
      <c r="M99" s="99">
        <v>5</v>
      </c>
      <c r="N99" s="99"/>
      <c r="O99" s="99"/>
    </row>
    <row r="100" spans="1:15" s="105" customFormat="1" ht="22.5">
      <c r="A100" s="146"/>
      <c r="B100" s="42"/>
      <c r="C100" s="42"/>
      <c r="D100" s="42"/>
      <c r="E100" s="142"/>
      <c r="F100" s="102">
        <v>1</v>
      </c>
      <c r="G100" s="102"/>
      <c r="H100" s="102"/>
      <c r="I100" s="102">
        <f>I99</f>
        <v>0.7</v>
      </c>
      <c r="J100" s="103">
        <f>J99</f>
        <v>5.2500000000000003E-3</v>
      </c>
      <c r="K100" s="102"/>
      <c r="L100" s="102"/>
      <c r="M100" s="102"/>
      <c r="N100" s="92"/>
      <c r="O100" s="92"/>
    </row>
    <row r="101" spans="1:15" s="101" customFormat="1" ht="21">
      <c r="A101" s="147" t="s">
        <v>152</v>
      </c>
      <c r="B101" s="99" t="s">
        <v>153</v>
      </c>
      <c r="C101" s="99" t="s">
        <v>154</v>
      </c>
      <c r="D101" s="99" t="s">
        <v>155</v>
      </c>
      <c r="E101" s="91">
        <v>45675</v>
      </c>
      <c r="F101" s="99">
        <v>1</v>
      </c>
      <c r="G101" s="99" t="s">
        <v>97</v>
      </c>
      <c r="H101" s="99"/>
      <c r="I101" s="99">
        <v>12</v>
      </c>
      <c r="J101" s="100">
        <v>8.0360000000000001E-2</v>
      </c>
      <c r="K101" s="99">
        <v>49</v>
      </c>
      <c r="L101" s="99">
        <v>41</v>
      </c>
      <c r="M101" s="99">
        <v>40</v>
      </c>
      <c r="N101" s="99"/>
      <c r="O101" s="99" t="s">
        <v>24</v>
      </c>
    </row>
    <row r="102" spans="1:15" s="105" customFormat="1" ht="22.5">
      <c r="A102" s="149"/>
      <c r="B102" s="127"/>
      <c r="C102" s="127"/>
      <c r="D102" s="127"/>
      <c r="E102" s="141"/>
      <c r="F102" s="102">
        <v>1</v>
      </c>
      <c r="G102" s="102"/>
      <c r="H102" s="102"/>
      <c r="I102" s="102">
        <f>I101</f>
        <v>12</v>
      </c>
      <c r="J102" s="103">
        <f>J101</f>
        <v>8.0360000000000001E-2</v>
      </c>
      <c r="K102" s="102"/>
      <c r="L102" s="102"/>
      <c r="M102" s="102"/>
      <c r="N102" s="92"/>
      <c r="O102" s="92"/>
    </row>
    <row r="103" spans="1:15" s="101" customFormat="1" ht="63">
      <c r="A103" s="147" t="s">
        <v>156</v>
      </c>
      <c r="B103" s="94" t="s">
        <v>157</v>
      </c>
      <c r="C103" s="94" t="s">
        <v>158</v>
      </c>
      <c r="D103" s="94" t="s">
        <v>44</v>
      </c>
      <c r="E103" s="98">
        <v>45676</v>
      </c>
      <c r="F103" s="94">
        <v>1</v>
      </c>
      <c r="G103" s="94"/>
      <c r="H103" s="94"/>
      <c r="I103" s="94">
        <v>8.6999999999999993</v>
      </c>
      <c r="J103" s="108">
        <v>5.9333999999999998E-2</v>
      </c>
      <c r="K103" s="94">
        <v>58</v>
      </c>
      <c r="L103" s="94">
        <v>31</v>
      </c>
      <c r="M103" s="94">
        <v>33</v>
      </c>
      <c r="N103" s="94"/>
      <c r="O103" s="94" t="s">
        <v>159</v>
      </c>
    </row>
    <row r="104" spans="1:15" s="105" customFormat="1" ht="22.5">
      <c r="A104" s="146"/>
      <c r="B104" s="42"/>
      <c r="C104" s="42"/>
      <c r="D104" s="42"/>
      <c r="E104" s="142"/>
      <c r="F104" s="102">
        <v>1</v>
      </c>
      <c r="G104" s="102"/>
      <c r="H104" s="102"/>
      <c r="I104" s="102">
        <v>8.6999999999999993</v>
      </c>
      <c r="J104" s="103">
        <v>5.9333999999999998E-2</v>
      </c>
      <c r="K104" s="102"/>
      <c r="L104" s="102"/>
      <c r="M104" s="102"/>
      <c r="N104" s="97"/>
      <c r="O104" s="97"/>
    </row>
    <row r="105" spans="1:15" s="101" customFormat="1" ht="23.25" customHeight="1">
      <c r="A105" s="147" t="s">
        <v>160</v>
      </c>
      <c r="B105" s="99" t="s">
        <v>161</v>
      </c>
      <c r="C105" s="99" t="s">
        <v>162</v>
      </c>
      <c r="D105" s="99" t="s">
        <v>155</v>
      </c>
      <c r="E105" s="91">
        <v>45677</v>
      </c>
      <c r="F105" s="99">
        <v>1</v>
      </c>
      <c r="G105" s="99" t="s">
        <v>97</v>
      </c>
      <c r="H105" s="99"/>
      <c r="I105" s="99">
        <v>19</v>
      </c>
      <c r="J105" s="100">
        <f>K105*L105*M105/1000000</f>
        <v>0.11505</v>
      </c>
      <c r="K105" s="99">
        <v>59</v>
      </c>
      <c r="L105" s="99">
        <v>39</v>
      </c>
      <c r="M105" s="99">
        <v>50</v>
      </c>
      <c r="N105" s="99"/>
      <c r="O105" s="99" t="s">
        <v>24</v>
      </c>
    </row>
    <row r="106" spans="1:15" s="105" customFormat="1" ht="22.5">
      <c r="A106" s="146"/>
      <c r="B106" s="42"/>
      <c r="C106" s="42"/>
      <c r="D106" s="42"/>
      <c r="E106" s="142"/>
      <c r="F106" s="102">
        <v>1</v>
      </c>
      <c r="G106" s="102"/>
      <c r="H106" s="102"/>
      <c r="I106" s="102">
        <f>SUM(I105:I105)</f>
        <v>19</v>
      </c>
      <c r="J106" s="103">
        <f>SUM(J105:J105)</f>
        <v>0.11505</v>
      </c>
      <c r="K106" s="102"/>
      <c r="L106" s="102"/>
      <c r="M106" s="102"/>
      <c r="N106" s="104"/>
      <c r="O106" s="104"/>
    </row>
    <row r="107" spans="1:15" s="101" customFormat="1" ht="42">
      <c r="A107" s="147" t="s">
        <v>163</v>
      </c>
      <c r="B107" s="99" t="s">
        <v>164</v>
      </c>
      <c r="C107" s="99" t="s">
        <v>165</v>
      </c>
      <c r="D107" s="99" t="s">
        <v>45</v>
      </c>
      <c r="E107" s="91">
        <v>45678</v>
      </c>
      <c r="F107" s="99">
        <v>1</v>
      </c>
      <c r="G107" s="106" t="s">
        <v>166</v>
      </c>
      <c r="H107" s="99"/>
      <c r="I107" s="99">
        <v>0.2</v>
      </c>
      <c r="J107" s="100">
        <v>3.0599999999999998E-3</v>
      </c>
      <c r="K107" s="99">
        <v>34</v>
      </c>
      <c r="L107" s="99">
        <v>30</v>
      </c>
      <c r="M107" s="99">
        <v>3</v>
      </c>
      <c r="N107" s="99"/>
      <c r="O107" s="99"/>
    </row>
    <row r="108" spans="1:15" s="105" customFormat="1" ht="22.5">
      <c r="A108" s="146"/>
      <c r="B108" s="42"/>
      <c r="C108" s="42"/>
      <c r="D108" s="42"/>
      <c r="E108" s="142"/>
      <c r="F108" s="102">
        <v>1</v>
      </c>
      <c r="G108" s="102"/>
      <c r="H108" s="102"/>
      <c r="I108" s="102">
        <f>SUM(I107:I107)</f>
        <v>0.2</v>
      </c>
      <c r="J108" s="103">
        <f>SUM(J107:J107)</f>
        <v>3.0599999999999998E-3</v>
      </c>
      <c r="K108" s="102"/>
      <c r="L108" s="102"/>
      <c r="M108" s="102"/>
      <c r="N108" s="104"/>
      <c r="O108" s="104"/>
    </row>
    <row r="109" spans="1:15" s="101" customFormat="1" ht="58.5">
      <c r="A109" s="147" t="s">
        <v>167</v>
      </c>
      <c r="B109" s="99" t="s">
        <v>168</v>
      </c>
      <c r="C109" s="99" t="s">
        <v>169</v>
      </c>
      <c r="D109" s="99" t="s">
        <v>45</v>
      </c>
      <c r="E109" s="91">
        <v>45678</v>
      </c>
      <c r="F109" s="99">
        <v>1</v>
      </c>
      <c r="G109" s="106" t="s">
        <v>170</v>
      </c>
      <c r="H109" s="99">
        <v>10</v>
      </c>
      <c r="I109" s="99">
        <v>3.6</v>
      </c>
      <c r="J109" s="100">
        <v>3.7199999999999997E-2</v>
      </c>
      <c r="K109" s="99">
        <v>40</v>
      </c>
      <c r="L109" s="99">
        <v>30</v>
      </c>
      <c r="M109" s="99">
        <v>31</v>
      </c>
      <c r="N109" s="99"/>
      <c r="O109" s="99" t="s">
        <v>24</v>
      </c>
    </row>
    <row r="110" spans="1:15" s="105" customFormat="1" ht="22.5">
      <c r="A110" s="146"/>
      <c r="B110" s="42"/>
      <c r="C110" s="42"/>
      <c r="D110" s="42"/>
      <c r="E110" s="142"/>
      <c r="F110" s="102">
        <v>1</v>
      </c>
      <c r="G110" s="111"/>
      <c r="H110" s="102"/>
      <c r="I110" s="102">
        <v>3.6</v>
      </c>
      <c r="J110" s="103">
        <v>3.7199999999999997E-2</v>
      </c>
      <c r="K110" s="102"/>
      <c r="L110" s="102"/>
      <c r="M110" s="102"/>
      <c r="N110" s="104"/>
      <c r="O110" s="104"/>
    </row>
    <row r="111" spans="1:15" s="101" customFormat="1" ht="21">
      <c r="A111" s="99" t="s">
        <v>171</v>
      </c>
      <c r="B111" s="206" t="s">
        <v>172</v>
      </c>
      <c r="C111" s="206" t="s">
        <v>173</v>
      </c>
      <c r="D111" s="206" t="s">
        <v>44</v>
      </c>
      <c r="E111" s="209">
        <v>45680</v>
      </c>
      <c r="F111" s="99">
        <v>1</v>
      </c>
      <c r="G111" s="212" t="s">
        <v>174</v>
      </c>
      <c r="H111" s="99"/>
      <c r="I111" s="99">
        <v>14.2</v>
      </c>
      <c r="J111" s="100">
        <f>K111*L111*M111/1000000</f>
        <v>3.7400000000000003E-2</v>
      </c>
      <c r="K111" s="99">
        <v>44</v>
      </c>
      <c r="L111" s="99">
        <v>34</v>
      </c>
      <c r="M111" s="99">
        <v>25</v>
      </c>
      <c r="N111" s="99"/>
      <c r="O111" s="99"/>
    </row>
    <row r="112" spans="1:15" s="101" customFormat="1" ht="21">
      <c r="A112" s="99" t="s">
        <v>175</v>
      </c>
      <c r="B112" s="207"/>
      <c r="C112" s="207"/>
      <c r="D112" s="207"/>
      <c r="E112" s="210"/>
      <c r="F112" s="99">
        <v>2</v>
      </c>
      <c r="G112" s="207"/>
      <c r="H112" s="99"/>
      <c r="I112" s="99">
        <v>9.1</v>
      </c>
      <c r="J112" s="100">
        <f>K112*L112*M112/1000000</f>
        <v>3.7400000000000003E-2</v>
      </c>
      <c r="K112" s="99">
        <v>44</v>
      </c>
      <c r="L112" s="99">
        <v>34</v>
      </c>
      <c r="M112" s="99">
        <v>25</v>
      </c>
      <c r="N112" s="99"/>
      <c r="O112" s="99"/>
    </row>
    <row r="113" spans="1:15" s="101" customFormat="1" ht="21">
      <c r="A113" s="99" t="s">
        <v>176</v>
      </c>
      <c r="B113" s="207"/>
      <c r="C113" s="207"/>
      <c r="D113" s="207"/>
      <c r="E113" s="210"/>
      <c r="F113" s="99">
        <v>3</v>
      </c>
      <c r="G113" s="207"/>
      <c r="H113" s="99"/>
      <c r="I113" s="99">
        <v>24.1</v>
      </c>
      <c r="J113" s="100">
        <f>K113*L113*M113/1000000</f>
        <v>3.7400000000000003E-2</v>
      </c>
      <c r="K113" s="99">
        <v>44</v>
      </c>
      <c r="L113" s="99">
        <v>34</v>
      </c>
      <c r="M113" s="99">
        <v>25</v>
      </c>
      <c r="N113" s="99"/>
      <c r="O113" s="99"/>
    </row>
    <row r="114" spans="1:15" s="101" customFormat="1" ht="21">
      <c r="A114" s="99" t="s">
        <v>177</v>
      </c>
      <c r="B114" s="208"/>
      <c r="C114" s="208"/>
      <c r="D114" s="208"/>
      <c r="E114" s="211"/>
      <c r="F114" s="99">
        <v>4</v>
      </c>
      <c r="G114" s="208"/>
      <c r="H114" s="99"/>
      <c r="I114" s="99">
        <v>6.4</v>
      </c>
      <c r="J114" s="100">
        <f>K114*L114*M114/1000000</f>
        <v>3.7124999999999998E-2</v>
      </c>
      <c r="K114" s="99">
        <v>45</v>
      </c>
      <c r="L114" s="99">
        <v>33</v>
      </c>
      <c r="M114" s="99">
        <v>25</v>
      </c>
      <c r="N114" s="99"/>
      <c r="O114" s="99"/>
    </row>
    <row r="115" spans="1:15" s="105" customFormat="1" ht="22.5">
      <c r="A115" s="42"/>
      <c r="B115" s="42"/>
      <c r="C115" s="42"/>
      <c r="D115" s="42"/>
      <c r="E115" s="142"/>
      <c r="F115" s="102">
        <v>4</v>
      </c>
      <c r="G115" s="109"/>
      <c r="H115" s="102"/>
      <c r="I115" s="102">
        <f>SUM(I111:I114)</f>
        <v>53.8</v>
      </c>
      <c r="J115" s="103">
        <f>SUM(J111:J114)</f>
        <v>0.14932500000000001</v>
      </c>
      <c r="K115" s="102"/>
      <c r="L115" s="102"/>
      <c r="M115" s="102"/>
      <c r="N115" s="104"/>
      <c r="O115" s="104"/>
    </row>
    <row r="116" spans="1:15" s="56" customFormat="1" ht="21" customHeight="1">
      <c r="A116" s="99" t="s">
        <v>446</v>
      </c>
      <c r="B116" s="99" t="s">
        <v>447</v>
      </c>
      <c r="C116" s="99" t="s">
        <v>448</v>
      </c>
      <c r="D116" s="99" t="s">
        <v>449</v>
      </c>
      <c r="E116" s="151">
        <v>45698</v>
      </c>
      <c r="F116" s="99">
        <v>1</v>
      </c>
      <c r="G116" s="99" t="s">
        <v>450</v>
      </c>
      <c r="H116" s="99">
        <v>1</v>
      </c>
      <c r="I116" s="99">
        <v>1.2</v>
      </c>
      <c r="J116" s="100">
        <v>6.3E-3</v>
      </c>
      <c r="K116" s="99">
        <v>20</v>
      </c>
      <c r="L116" s="99">
        <v>21</v>
      </c>
      <c r="M116" s="99">
        <v>15</v>
      </c>
      <c r="N116" s="99" t="s">
        <v>451</v>
      </c>
      <c r="O116" s="99" t="s">
        <v>24</v>
      </c>
    </row>
    <row r="117" spans="1:15" s="56" customFormat="1" ht="21" customHeight="1">
      <c r="A117" s="42"/>
      <c r="B117" s="42"/>
      <c r="C117" s="42"/>
      <c r="D117" s="42"/>
      <c r="E117" s="42"/>
      <c r="F117" s="102">
        <v>1</v>
      </c>
      <c r="G117" s="111"/>
      <c r="H117" s="102"/>
      <c r="I117" s="102">
        <f>I116</f>
        <v>1.2</v>
      </c>
      <c r="J117" s="103">
        <f>J116</f>
        <v>6.3E-3</v>
      </c>
      <c r="K117" s="102"/>
      <c r="L117" s="102"/>
      <c r="M117" s="102"/>
      <c r="N117" s="104"/>
      <c r="O117" s="104"/>
    </row>
    <row r="118" spans="1:15" s="56" customFormat="1" ht="21" customHeight="1">
      <c r="A118" s="99" t="s">
        <v>452</v>
      </c>
      <c r="B118" s="203" t="s">
        <v>453</v>
      </c>
      <c r="C118" s="99" t="s">
        <v>454</v>
      </c>
      <c r="D118" s="203" t="s">
        <v>449</v>
      </c>
      <c r="E118" s="204">
        <v>45698</v>
      </c>
      <c r="F118" s="99">
        <v>1</v>
      </c>
      <c r="G118" s="203" t="s">
        <v>450</v>
      </c>
      <c r="H118" s="203">
        <v>2</v>
      </c>
      <c r="I118" s="99">
        <v>0.2</v>
      </c>
      <c r="J118" s="100">
        <v>1.3500000000000001E-3</v>
      </c>
      <c r="K118" s="99">
        <v>15</v>
      </c>
      <c r="L118" s="99">
        <v>9</v>
      </c>
      <c r="M118" s="99">
        <v>10</v>
      </c>
      <c r="N118" s="99"/>
      <c r="O118" s="203" t="s">
        <v>24</v>
      </c>
    </row>
    <row r="119" spans="1:15" s="56" customFormat="1" ht="21" customHeight="1">
      <c r="A119" s="99" t="s">
        <v>455</v>
      </c>
      <c r="B119" s="203"/>
      <c r="C119" s="99" t="s">
        <v>456</v>
      </c>
      <c r="D119" s="203"/>
      <c r="E119" s="204"/>
      <c r="F119" s="99">
        <v>2</v>
      </c>
      <c r="G119" s="203"/>
      <c r="H119" s="203"/>
      <c r="I119" s="99">
        <v>1.4</v>
      </c>
      <c r="J119" s="100">
        <v>7.6439999999999998E-3</v>
      </c>
      <c r="K119" s="99">
        <v>26</v>
      </c>
      <c r="L119" s="99">
        <v>21</v>
      </c>
      <c r="M119" s="99">
        <v>14</v>
      </c>
      <c r="N119" s="99"/>
      <c r="O119" s="203"/>
    </row>
    <row r="120" spans="1:15" s="56" customFormat="1" ht="21" customHeight="1">
      <c r="A120" s="42"/>
      <c r="B120" s="42"/>
      <c r="C120" s="42"/>
      <c r="D120" s="42"/>
      <c r="E120" s="42"/>
      <c r="F120" s="102">
        <v>2</v>
      </c>
      <c r="G120" s="111"/>
      <c r="H120" s="102"/>
      <c r="I120" s="102">
        <f>SUM(I118:I119)</f>
        <v>1.5999999999999999</v>
      </c>
      <c r="J120" s="103">
        <f>SUM(J118:J119)</f>
        <v>8.9940000000000003E-3</v>
      </c>
      <c r="K120" s="102"/>
      <c r="L120" s="102"/>
      <c r="M120" s="102"/>
      <c r="N120" s="104"/>
      <c r="O120" s="104"/>
    </row>
    <row r="121" spans="1:15" s="56" customFormat="1" ht="21" customHeight="1">
      <c r="A121" s="99" t="s">
        <v>457</v>
      </c>
      <c r="B121" s="99" t="s">
        <v>458</v>
      </c>
      <c r="C121" s="99" t="s">
        <v>459</v>
      </c>
      <c r="D121" s="99" t="s">
        <v>460</v>
      </c>
      <c r="E121" s="151">
        <v>45698</v>
      </c>
      <c r="F121" s="99">
        <v>1</v>
      </c>
      <c r="G121" s="99" t="s">
        <v>450</v>
      </c>
      <c r="H121" s="99">
        <v>1</v>
      </c>
      <c r="I121" s="99">
        <v>0.4</v>
      </c>
      <c r="J121" s="100">
        <f>K121*L121*M121/1000000</f>
        <v>2.3760000000000001E-3</v>
      </c>
      <c r="K121" s="99">
        <v>18</v>
      </c>
      <c r="L121" s="99">
        <v>12</v>
      </c>
      <c r="M121" s="99">
        <v>11</v>
      </c>
      <c r="N121" s="99"/>
      <c r="O121" s="99" t="s">
        <v>24</v>
      </c>
    </row>
    <row r="122" spans="1:15" s="56" customFormat="1" ht="21" customHeight="1">
      <c r="A122" s="42"/>
      <c r="B122" s="42"/>
      <c r="C122" s="42"/>
      <c r="D122" s="42"/>
      <c r="E122" s="42"/>
      <c r="F122" s="102">
        <v>1</v>
      </c>
      <c r="G122" s="111"/>
      <c r="H122" s="102"/>
      <c r="I122" s="102">
        <f>I121</f>
        <v>0.4</v>
      </c>
      <c r="J122" s="103">
        <f>J121</f>
        <v>2.3760000000000001E-3</v>
      </c>
      <c r="K122" s="102"/>
      <c r="L122" s="102"/>
      <c r="M122" s="102"/>
      <c r="N122" s="104"/>
      <c r="O122" s="104"/>
    </row>
    <row r="123" spans="1:15" s="56" customFormat="1" ht="21" customHeight="1">
      <c r="A123" s="99" t="s">
        <v>461</v>
      </c>
      <c r="B123" s="99" t="s">
        <v>462</v>
      </c>
      <c r="C123" s="99" t="s">
        <v>463</v>
      </c>
      <c r="D123" s="99" t="s">
        <v>155</v>
      </c>
      <c r="E123" s="91">
        <v>45701</v>
      </c>
      <c r="F123" s="99">
        <v>1</v>
      </c>
      <c r="G123" s="99" t="s">
        <v>97</v>
      </c>
      <c r="H123" s="99">
        <v>6</v>
      </c>
      <c r="I123" s="99">
        <v>7.1</v>
      </c>
      <c r="J123" s="100">
        <f>K123*L123*M123/1000000</f>
        <v>7.4880000000000002E-2</v>
      </c>
      <c r="K123" s="99">
        <v>48</v>
      </c>
      <c r="L123" s="99">
        <v>40</v>
      </c>
      <c r="M123" s="99">
        <v>39</v>
      </c>
      <c r="N123" s="99"/>
      <c r="O123" s="99" t="s">
        <v>24</v>
      </c>
    </row>
    <row r="124" spans="1:15" s="56" customFormat="1" ht="21" customHeight="1">
      <c r="A124" s="42"/>
      <c r="B124" s="42"/>
      <c r="C124" s="42"/>
      <c r="D124" s="42"/>
      <c r="E124" s="42"/>
      <c r="F124" s="102">
        <v>1</v>
      </c>
      <c r="G124" s="102"/>
      <c r="H124" s="102"/>
      <c r="I124" s="102">
        <f>SUM(I123:I123)</f>
        <v>7.1</v>
      </c>
      <c r="J124" s="103">
        <f>SUM(J123:J123)</f>
        <v>7.4880000000000002E-2</v>
      </c>
      <c r="K124" s="102"/>
      <c r="L124" s="102"/>
      <c r="M124" s="102"/>
      <c r="N124" s="104"/>
      <c r="O124" s="104"/>
    </row>
    <row r="125" spans="1:15" s="56" customFormat="1" ht="21" customHeight="1">
      <c r="A125" s="99" t="s">
        <v>464</v>
      </c>
      <c r="B125" s="99" t="s">
        <v>465</v>
      </c>
      <c r="C125" s="99" t="s">
        <v>466</v>
      </c>
      <c r="D125" s="99" t="s">
        <v>467</v>
      </c>
      <c r="E125" s="91">
        <v>45703</v>
      </c>
      <c r="F125" s="99">
        <v>1</v>
      </c>
      <c r="G125" s="106" t="s">
        <v>468</v>
      </c>
      <c r="H125" s="99">
        <v>1</v>
      </c>
      <c r="I125" s="99">
        <v>11</v>
      </c>
      <c r="J125" s="100">
        <f>K125*L125*M125/1000000</f>
        <v>0.19325600000000001</v>
      </c>
      <c r="K125" s="99">
        <v>58</v>
      </c>
      <c r="L125" s="99">
        <v>49</v>
      </c>
      <c r="M125" s="99">
        <v>68</v>
      </c>
      <c r="N125" s="99"/>
      <c r="O125" s="99"/>
    </row>
    <row r="126" spans="1:15" s="56" customFormat="1" ht="21" customHeight="1">
      <c r="A126" s="42"/>
      <c r="B126" s="42"/>
      <c r="C126" s="42"/>
      <c r="D126" s="42"/>
      <c r="E126" s="42"/>
      <c r="F126" s="102">
        <v>1</v>
      </c>
      <c r="G126" s="111"/>
      <c r="H126" s="102"/>
      <c r="I126" s="102">
        <f>SUM(I125:I125)</f>
        <v>11</v>
      </c>
      <c r="J126" s="103">
        <f>SUM(J125:J125)</f>
        <v>0.19325600000000001</v>
      </c>
      <c r="K126" s="102"/>
      <c r="L126" s="102"/>
      <c r="M126" s="102"/>
      <c r="N126" s="104"/>
      <c r="O126" s="104"/>
    </row>
    <row r="127" spans="1:15" s="56" customFormat="1" ht="21" customHeight="1">
      <c r="A127" s="99" t="s">
        <v>469</v>
      </c>
      <c r="B127" s="99" t="s">
        <v>470</v>
      </c>
      <c r="C127" s="99" t="s">
        <v>471</v>
      </c>
      <c r="D127" s="99" t="s">
        <v>472</v>
      </c>
      <c r="E127" s="91">
        <v>45705</v>
      </c>
      <c r="F127" s="99">
        <v>1</v>
      </c>
      <c r="G127" s="99" t="s">
        <v>473</v>
      </c>
      <c r="H127" s="99"/>
      <c r="I127" s="99">
        <v>1.6</v>
      </c>
      <c r="J127" s="100">
        <f>K127*L127*M127/1000000</f>
        <v>2.4948000000000001E-2</v>
      </c>
      <c r="K127" s="99">
        <v>42</v>
      </c>
      <c r="L127" s="99">
        <v>27</v>
      </c>
      <c r="M127" s="99">
        <v>22</v>
      </c>
      <c r="N127" s="99"/>
      <c r="O127" s="99"/>
    </row>
    <row r="128" spans="1:15" s="56" customFormat="1" ht="21" customHeight="1">
      <c r="A128" s="42"/>
      <c r="B128" s="42"/>
      <c r="C128" s="42"/>
      <c r="D128" s="42"/>
      <c r="E128" s="42"/>
      <c r="F128" s="102">
        <v>1</v>
      </c>
      <c r="G128" s="111"/>
      <c r="H128" s="102"/>
      <c r="I128" s="102">
        <f>SUM(I127:I127)</f>
        <v>1.6</v>
      </c>
      <c r="J128" s="103">
        <f>SUM(J127:J127)</f>
        <v>2.4948000000000001E-2</v>
      </c>
      <c r="K128" s="102"/>
      <c r="L128" s="102"/>
      <c r="M128" s="102"/>
      <c r="N128" s="104"/>
      <c r="O128" s="104"/>
    </row>
    <row r="129" spans="1:15" s="56" customFormat="1" ht="21" customHeight="1">
      <c r="A129" s="99" t="s">
        <v>492</v>
      </c>
      <c r="B129" s="99" t="s">
        <v>493</v>
      </c>
      <c r="C129" s="99" t="s">
        <v>494</v>
      </c>
      <c r="D129" s="99" t="s">
        <v>214</v>
      </c>
      <c r="E129" s="91">
        <v>45706</v>
      </c>
      <c r="F129" s="99">
        <v>1</v>
      </c>
      <c r="G129" s="99" t="s">
        <v>97</v>
      </c>
      <c r="H129" s="99"/>
      <c r="I129" s="99">
        <v>1.7</v>
      </c>
      <c r="J129" s="100">
        <v>2.52E-2</v>
      </c>
      <c r="K129" s="99">
        <v>40</v>
      </c>
      <c r="L129" s="99">
        <v>30</v>
      </c>
      <c r="M129" s="99">
        <v>21</v>
      </c>
      <c r="N129" s="99"/>
      <c r="O129" s="99" t="s">
        <v>24</v>
      </c>
    </row>
    <row r="130" spans="1:15" s="56" customFormat="1" ht="21" customHeight="1">
      <c r="A130" s="42"/>
      <c r="B130" s="42"/>
      <c r="C130" s="42"/>
      <c r="D130" s="42"/>
      <c r="E130" s="42"/>
      <c r="F130" s="102">
        <v>1</v>
      </c>
      <c r="G130" s="111"/>
      <c r="H130" s="102"/>
      <c r="I130" s="102">
        <f>SUM(I129:I129)</f>
        <v>1.7</v>
      </c>
      <c r="J130" s="103">
        <f>SUM(J129:J129)</f>
        <v>2.52E-2</v>
      </c>
      <c r="K130" s="102"/>
      <c r="L130" s="102"/>
      <c r="M130" s="102"/>
      <c r="N130" s="104"/>
      <c r="O130" s="104"/>
    </row>
    <row r="131" spans="1:15" s="56" customFormat="1" ht="21" customHeight="1">
      <c r="A131" s="99" t="s">
        <v>495</v>
      </c>
      <c r="B131" s="206" t="s">
        <v>496</v>
      </c>
      <c r="C131" s="206" t="s">
        <v>497</v>
      </c>
      <c r="D131" s="206" t="s">
        <v>358</v>
      </c>
      <c r="E131" s="209">
        <v>45706</v>
      </c>
      <c r="F131" s="99">
        <v>1</v>
      </c>
      <c r="G131" s="206" t="s">
        <v>498</v>
      </c>
      <c r="H131" s="206">
        <v>16</v>
      </c>
      <c r="I131" s="99">
        <v>10.199999999999999</v>
      </c>
      <c r="J131" s="100">
        <v>3.7975000000000002E-2</v>
      </c>
      <c r="K131" s="99">
        <v>49</v>
      </c>
      <c r="L131" s="99">
        <v>25</v>
      </c>
      <c r="M131" s="99">
        <v>31</v>
      </c>
      <c r="N131" s="212" t="s">
        <v>499</v>
      </c>
      <c r="O131" s="99"/>
    </row>
    <row r="132" spans="1:15" s="56" customFormat="1" ht="21" customHeight="1">
      <c r="A132" s="99" t="s">
        <v>500</v>
      </c>
      <c r="B132" s="207"/>
      <c r="C132" s="207"/>
      <c r="D132" s="207"/>
      <c r="E132" s="210"/>
      <c r="F132" s="99">
        <v>2</v>
      </c>
      <c r="G132" s="207"/>
      <c r="H132" s="207"/>
      <c r="I132" s="99">
        <v>10.199999999999999</v>
      </c>
      <c r="J132" s="100">
        <v>3.7975000000000002E-2</v>
      </c>
      <c r="K132" s="99">
        <v>49</v>
      </c>
      <c r="L132" s="99">
        <v>25</v>
      </c>
      <c r="M132" s="99">
        <v>31</v>
      </c>
      <c r="N132" s="213"/>
      <c r="O132" s="99"/>
    </row>
    <row r="133" spans="1:15" s="56" customFormat="1" ht="21" customHeight="1">
      <c r="A133" s="99" t="s">
        <v>215</v>
      </c>
      <c r="B133" s="207"/>
      <c r="C133" s="207"/>
      <c r="D133" s="207"/>
      <c r="E133" s="210"/>
      <c r="F133" s="99">
        <v>3</v>
      </c>
      <c r="G133" s="207"/>
      <c r="H133" s="207"/>
      <c r="I133" s="99">
        <v>10.199999999999999</v>
      </c>
      <c r="J133" s="100">
        <v>3.7975000000000002E-2</v>
      </c>
      <c r="K133" s="99">
        <v>49</v>
      </c>
      <c r="L133" s="99">
        <v>25</v>
      </c>
      <c r="M133" s="99">
        <v>31</v>
      </c>
      <c r="N133" s="213"/>
      <c r="O133" s="99"/>
    </row>
    <row r="134" spans="1:15" s="56" customFormat="1" ht="21" customHeight="1">
      <c r="A134" s="99" t="s">
        <v>501</v>
      </c>
      <c r="B134" s="208"/>
      <c r="C134" s="208"/>
      <c r="D134" s="208"/>
      <c r="E134" s="211"/>
      <c r="F134" s="99">
        <v>4</v>
      </c>
      <c r="G134" s="208"/>
      <c r="H134" s="208"/>
      <c r="I134" s="99">
        <v>10.199999999999999</v>
      </c>
      <c r="J134" s="100">
        <v>3.7975000000000002E-2</v>
      </c>
      <c r="K134" s="99">
        <v>49</v>
      </c>
      <c r="L134" s="99">
        <v>25</v>
      </c>
      <c r="M134" s="99">
        <v>31</v>
      </c>
      <c r="N134" s="214"/>
      <c r="O134" s="99"/>
    </row>
    <row r="135" spans="1:15" s="56" customFormat="1" ht="21" customHeight="1">
      <c r="A135" s="42"/>
      <c r="B135" s="42"/>
      <c r="C135" s="42"/>
      <c r="D135" s="42"/>
      <c r="E135" s="42"/>
      <c r="F135" s="102">
        <v>4</v>
      </c>
      <c r="G135" s="109"/>
      <c r="H135" s="109"/>
      <c r="I135" s="102">
        <v>40.799999999999997</v>
      </c>
      <c r="J135" s="103">
        <v>0.15190000000000001</v>
      </c>
      <c r="K135" s="102"/>
      <c r="L135" s="102"/>
      <c r="M135" s="102"/>
      <c r="N135" s="162"/>
      <c r="O135" s="104"/>
    </row>
    <row r="136" spans="1:15" s="56" customFormat="1" ht="21" customHeight="1">
      <c r="A136" s="94" t="s">
        <v>502</v>
      </c>
      <c r="B136" s="182" t="s">
        <v>503</v>
      </c>
      <c r="C136" s="182" t="s">
        <v>504</v>
      </c>
      <c r="D136" s="182" t="s">
        <v>505</v>
      </c>
      <c r="E136" s="185">
        <v>45706</v>
      </c>
      <c r="F136" s="94">
        <v>1</v>
      </c>
      <c r="G136" s="189" t="s">
        <v>506</v>
      </c>
      <c r="H136" s="182">
        <v>553</v>
      </c>
      <c r="I136" s="94">
        <v>14.2</v>
      </c>
      <c r="J136" s="108">
        <v>8.5260000000000002E-2</v>
      </c>
      <c r="K136" s="94">
        <v>58</v>
      </c>
      <c r="L136" s="94">
        <v>30</v>
      </c>
      <c r="M136" s="94">
        <v>49</v>
      </c>
      <c r="N136" s="94"/>
      <c r="O136" s="182" t="s">
        <v>159</v>
      </c>
    </row>
    <row r="137" spans="1:15" s="56" customFormat="1" ht="21" customHeight="1">
      <c r="A137" s="94" t="s">
        <v>507</v>
      </c>
      <c r="B137" s="183"/>
      <c r="C137" s="183"/>
      <c r="D137" s="183"/>
      <c r="E137" s="186"/>
      <c r="F137" s="94">
        <v>2</v>
      </c>
      <c r="G137" s="190"/>
      <c r="H137" s="183"/>
      <c r="I137" s="94">
        <v>11.9</v>
      </c>
      <c r="J137" s="108">
        <v>8.5260000000000002E-2</v>
      </c>
      <c r="K137" s="94">
        <v>58</v>
      </c>
      <c r="L137" s="94">
        <v>30</v>
      </c>
      <c r="M137" s="94">
        <v>49</v>
      </c>
      <c r="N137" s="94"/>
      <c r="O137" s="183"/>
    </row>
    <row r="138" spans="1:15" s="56" customFormat="1" ht="21" customHeight="1">
      <c r="A138" s="94" t="s">
        <v>508</v>
      </c>
      <c r="B138" s="183"/>
      <c r="C138" s="183"/>
      <c r="D138" s="183"/>
      <c r="E138" s="186"/>
      <c r="F138" s="94">
        <v>3</v>
      </c>
      <c r="G138" s="190"/>
      <c r="H138" s="183"/>
      <c r="I138" s="94">
        <v>13.8</v>
      </c>
      <c r="J138" s="108">
        <v>8.5260000000000002E-2</v>
      </c>
      <c r="K138" s="94">
        <v>58</v>
      </c>
      <c r="L138" s="94">
        <v>30</v>
      </c>
      <c r="M138" s="94">
        <v>49</v>
      </c>
      <c r="N138" s="94"/>
      <c r="O138" s="183"/>
    </row>
    <row r="139" spans="1:15" s="56" customFormat="1" ht="21" customHeight="1">
      <c r="A139" s="94" t="s">
        <v>509</v>
      </c>
      <c r="B139" s="183"/>
      <c r="C139" s="183"/>
      <c r="D139" s="183"/>
      <c r="E139" s="186"/>
      <c r="F139" s="94">
        <v>4</v>
      </c>
      <c r="G139" s="190"/>
      <c r="H139" s="183"/>
      <c r="I139" s="94">
        <v>17.600000000000001</v>
      </c>
      <c r="J139" s="108">
        <v>8.5260000000000002E-2</v>
      </c>
      <c r="K139" s="94">
        <v>58</v>
      </c>
      <c r="L139" s="94">
        <v>30</v>
      </c>
      <c r="M139" s="94">
        <v>49</v>
      </c>
      <c r="N139" s="94"/>
      <c r="O139" s="183"/>
    </row>
    <row r="140" spans="1:15" s="56" customFormat="1" ht="21" customHeight="1">
      <c r="A140" s="94" t="s">
        <v>510</v>
      </c>
      <c r="B140" s="183"/>
      <c r="C140" s="183"/>
      <c r="D140" s="183"/>
      <c r="E140" s="186"/>
      <c r="F140" s="94">
        <v>5</v>
      </c>
      <c r="G140" s="190"/>
      <c r="H140" s="183"/>
      <c r="I140" s="94">
        <v>7.8</v>
      </c>
      <c r="J140" s="108">
        <v>4.8160000000000001E-2</v>
      </c>
      <c r="K140" s="94">
        <v>35</v>
      </c>
      <c r="L140" s="94">
        <v>32</v>
      </c>
      <c r="M140" s="94">
        <v>43</v>
      </c>
      <c r="N140" s="94"/>
      <c r="O140" s="183"/>
    </row>
    <row r="141" spans="1:15" s="56" customFormat="1" ht="21" customHeight="1">
      <c r="A141" s="94" t="s">
        <v>511</v>
      </c>
      <c r="B141" s="183"/>
      <c r="C141" s="183"/>
      <c r="D141" s="183"/>
      <c r="E141" s="186"/>
      <c r="F141" s="94">
        <v>6</v>
      </c>
      <c r="G141" s="190"/>
      <c r="H141" s="183"/>
      <c r="I141" s="94">
        <v>15.5</v>
      </c>
      <c r="J141" s="108">
        <v>8.5260000000000002E-2</v>
      </c>
      <c r="K141" s="94">
        <v>58</v>
      </c>
      <c r="L141" s="94">
        <v>30</v>
      </c>
      <c r="M141" s="94">
        <v>49</v>
      </c>
      <c r="N141" s="94"/>
      <c r="O141" s="183"/>
    </row>
    <row r="142" spans="1:15" s="56" customFormat="1" ht="21" customHeight="1">
      <c r="A142" s="94" t="s">
        <v>512</v>
      </c>
      <c r="B142" s="184"/>
      <c r="C142" s="184"/>
      <c r="D142" s="184"/>
      <c r="E142" s="187"/>
      <c r="F142" s="94">
        <v>7</v>
      </c>
      <c r="G142" s="191"/>
      <c r="H142" s="184"/>
      <c r="I142" s="94">
        <v>14.6</v>
      </c>
      <c r="J142" s="108">
        <v>8.5260000000000002E-2</v>
      </c>
      <c r="K142" s="94">
        <v>58</v>
      </c>
      <c r="L142" s="94">
        <v>30</v>
      </c>
      <c r="M142" s="94">
        <v>49</v>
      </c>
      <c r="N142" s="94"/>
      <c r="O142" s="184"/>
    </row>
    <row r="143" spans="1:15" s="56" customFormat="1" ht="21" customHeight="1">
      <c r="A143" s="42"/>
      <c r="B143" s="42"/>
      <c r="C143" s="42"/>
      <c r="D143" s="42"/>
      <c r="E143" s="42"/>
      <c r="F143" s="102">
        <v>7</v>
      </c>
      <c r="G143" s="111"/>
      <c r="H143" s="102"/>
      <c r="I143" s="102">
        <v>95.4</v>
      </c>
      <c r="J143" s="103">
        <v>0.55972</v>
      </c>
      <c r="K143" s="102"/>
      <c r="L143" s="102"/>
      <c r="M143" s="102"/>
      <c r="N143" s="97"/>
      <c r="O143" s="96"/>
    </row>
    <row r="144" spans="1:15" s="56" customFormat="1" ht="21" customHeight="1">
      <c r="A144" s="99" t="s">
        <v>521</v>
      </c>
      <c r="B144" s="99" t="s">
        <v>522</v>
      </c>
      <c r="C144" s="99" t="s">
        <v>523</v>
      </c>
      <c r="D144" s="99" t="s">
        <v>524</v>
      </c>
      <c r="E144" s="91">
        <v>45707</v>
      </c>
      <c r="F144" s="99">
        <v>1</v>
      </c>
      <c r="G144" s="106" t="s">
        <v>525</v>
      </c>
      <c r="H144" s="99"/>
      <c r="I144" s="99">
        <v>0.9</v>
      </c>
      <c r="J144" s="100">
        <v>1.14E-2</v>
      </c>
      <c r="K144" s="99">
        <v>30</v>
      </c>
      <c r="L144" s="99">
        <v>20</v>
      </c>
      <c r="M144" s="99">
        <v>19</v>
      </c>
      <c r="N144" s="99"/>
      <c r="O144" s="99" t="s">
        <v>24</v>
      </c>
    </row>
    <row r="145" spans="1:15" s="56" customFormat="1" ht="21" customHeight="1">
      <c r="A145" s="42"/>
      <c r="B145" s="42"/>
      <c r="C145" s="42"/>
      <c r="D145" s="42"/>
      <c r="E145" s="42"/>
      <c r="F145" s="102">
        <v>1</v>
      </c>
      <c r="G145" s="111"/>
      <c r="H145" s="102"/>
      <c r="I145" s="102">
        <f>SUM(I144:I144)</f>
        <v>0.9</v>
      </c>
      <c r="J145" s="103">
        <f>SUM(J144:J144)</f>
        <v>1.14E-2</v>
      </c>
      <c r="K145" s="102"/>
      <c r="L145" s="102"/>
      <c r="M145" s="102"/>
      <c r="N145" s="104"/>
      <c r="O145" s="104"/>
    </row>
    <row r="146" spans="1:15" s="56" customFormat="1" ht="21" customHeight="1">
      <c r="A146" s="99" t="s">
        <v>526</v>
      </c>
      <c r="B146" s="99" t="s">
        <v>527</v>
      </c>
      <c r="C146" s="99" t="s">
        <v>528</v>
      </c>
      <c r="D146" s="99" t="s">
        <v>214</v>
      </c>
      <c r="E146" s="91">
        <v>45707</v>
      </c>
      <c r="F146" s="99">
        <v>1</v>
      </c>
      <c r="G146" s="99" t="s">
        <v>97</v>
      </c>
      <c r="H146" s="99">
        <v>1</v>
      </c>
      <c r="I146" s="99">
        <v>2.1</v>
      </c>
      <c r="J146" s="100">
        <v>1.8096000000000001E-2</v>
      </c>
      <c r="K146" s="99">
        <v>39</v>
      </c>
      <c r="L146" s="99">
        <v>29</v>
      </c>
      <c r="M146" s="99">
        <v>16</v>
      </c>
      <c r="N146" s="99"/>
      <c r="O146" s="99" t="s">
        <v>24</v>
      </c>
    </row>
    <row r="147" spans="1:15" s="56" customFormat="1" ht="21" customHeight="1">
      <c r="A147" s="42"/>
      <c r="B147" s="42"/>
      <c r="C147" s="42"/>
      <c r="D147" s="42"/>
      <c r="E147" s="42"/>
      <c r="F147" s="102">
        <v>1</v>
      </c>
      <c r="G147" s="111"/>
      <c r="H147" s="102"/>
      <c r="I147" s="102">
        <f>SUM(I146:I146)</f>
        <v>2.1</v>
      </c>
      <c r="J147" s="103">
        <f>SUM(J146:J146)</f>
        <v>1.8096000000000001E-2</v>
      </c>
      <c r="K147" s="102"/>
      <c r="L147" s="102"/>
      <c r="M147" s="102"/>
      <c r="N147" s="104"/>
      <c r="O147" s="104"/>
    </row>
    <row r="148" spans="1:15" s="56" customFormat="1" ht="21" customHeight="1">
      <c r="A148" s="90" t="s">
        <v>529</v>
      </c>
      <c r="B148" s="99" t="s">
        <v>530</v>
      </c>
      <c r="C148" s="99" t="s">
        <v>531</v>
      </c>
      <c r="D148" s="99" t="s">
        <v>505</v>
      </c>
      <c r="E148" s="91">
        <v>45707</v>
      </c>
      <c r="F148" s="99">
        <v>1</v>
      </c>
      <c r="G148" s="99" t="s">
        <v>227</v>
      </c>
      <c r="H148" s="99"/>
      <c r="I148" s="99">
        <v>20.9</v>
      </c>
      <c r="J148" s="100">
        <v>3.0099999999999998E-2</v>
      </c>
      <c r="K148" s="99">
        <v>43</v>
      </c>
      <c r="L148" s="99">
        <v>28</v>
      </c>
      <c r="M148" s="99">
        <v>25</v>
      </c>
      <c r="N148" s="99"/>
      <c r="O148" s="99"/>
    </row>
    <row r="149" spans="1:15" s="56" customFormat="1" ht="21" customHeight="1">
      <c r="A149" s="42"/>
      <c r="B149" s="42"/>
      <c r="C149" s="42"/>
      <c r="D149" s="42"/>
      <c r="E149" s="42"/>
      <c r="F149" s="102">
        <v>1</v>
      </c>
      <c r="G149" s="111"/>
      <c r="H149" s="102"/>
      <c r="I149" s="102">
        <f>SUM(I148:I148)</f>
        <v>20.9</v>
      </c>
      <c r="J149" s="103">
        <f>SUM(J148:J148)</f>
        <v>3.0099999999999998E-2</v>
      </c>
      <c r="K149" s="102"/>
      <c r="L149" s="102"/>
      <c r="M149" s="102"/>
      <c r="N149" s="104"/>
      <c r="O149" s="104"/>
    </row>
    <row r="150" spans="1:15" s="56" customFormat="1" ht="21" customHeight="1">
      <c r="A150" s="113" t="s">
        <v>355</v>
      </c>
      <c r="B150" s="113" t="s">
        <v>569</v>
      </c>
      <c r="C150" s="113" t="s">
        <v>570</v>
      </c>
      <c r="D150" s="113" t="s">
        <v>214</v>
      </c>
      <c r="E150" s="83">
        <v>45709</v>
      </c>
      <c r="F150" s="113">
        <v>1</v>
      </c>
      <c r="G150" s="113" t="s">
        <v>97</v>
      </c>
      <c r="H150" s="113"/>
      <c r="I150" s="113">
        <v>1.2</v>
      </c>
      <c r="J150" s="114">
        <f>K150*L150*M150/1000000</f>
        <v>1.3650000000000001E-2</v>
      </c>
      <c r="K150" s="113">
        <v>35</v>
      </c>
      <c r="L150" s="113">
        <v>26</v>
      </c>
      <c r="M150" s="113">
        <v>15</v>
      </c>
      <c r="N150" s="113"/>
      <c r="O150" s="113" t="s">
        <v>24</v>
      </c>
    </row>
    <row r="151" spans="1:15" s="56" customFormat="1" ht="21" customHeight="1">
      <c r="A151" s="42"/>
      <c r="B151" s="42"/>
      <c r="C151" s="42"/>
      <c r="D151" s="42"/>
      <c r="E151" s="42"/>
      <c r="F151" s="116">
        <v>1</v>
      </c>
      <c r="G151" s="111"/>
      <c r="H151" s="116"/>
      <c r="I151" s="116">
        <f>SUM(I150:I150)</f>
        <v>1.2</v>
      </c>
      <c r="J151" s="117">
        <f>SUM(J150:J150)</f>
        <v>1.3650000000000001E-2</v>
      </c>
      <c r="K151" s="116"/>
      <c r="L151" s="116"/>
      <c r="M151" s="116"/>
      <c r="N151" s="118"/>
      <c r="O151" s="118"/>
    </row>
    <row r="152" spans="1:15" s="56" customFormat="1" ht="21" customHeight="1">
      <c r="A152" s="113" t="s">
        <v>571</v>
      </c>
      <c r="B152" s="113" t="s">
        <v>572</v>
      </c>
      <c r="C152" s="113" t="s">
        <v>573</v>
      </c>
      <c r="D152" s="113" t="s">
        <v>214</v>
      </c>
      <c r="E152" s="83">
        <v>45710</v>
      </c>
      <c r="F152" s="113">
        <v>1</v>
      </c>
      <c r="G152" s="113" t="s">
        <v>97</v>
      </c>
      <c r="H152" s="113">
        <v>1</v>
      </c>
      <c r="I152" s="113">
        <v>2.1</v>
      </c>
      <c r="J152" s="114">
        <f>K152*L152*M152/1000000</f>
        <v>2.0552999999999998E-2</v>
      </c>
      <c r="K152" s="113">
        <v>39</v>
      </c>
      <c r="L152" s="113">
        <v>31</v>
      </c>
      <c r="M152" s="113">
        <v>17</v>
      </c>
      <c r="N152" s="113"/>
      <c r="O152" s="113" t="s">
        <v>24</v>
      </c>
    </row>
    <row r="153" spans="1:15" s="56" customFormat="1" ht="21" customHeight="1">
      <c r="A153" s="42"/>
      <c r="B153" s="42"/>
      <c r="C153" s="42"/>
      <c r="D153" s="42"/>
      <c r="E153" s="42"/>
      <c r="F153" s="116">
        <v>1</v>
      </c>
      <c r="G153" s="111"/>
      <c r="H153" s="116"/>
      <c r="I153" s="116">
        <f>SUM(I152:I152)</f>
        <v>2.1</v>
      </c>
      <c r="J153" s="117">
        <f>SUM(J152:J152)</f>
        <v>2.0552999999999998E-2</v>
      </c>
      <c r="K153" s="116"/>
      <c r="L153" s="116"/>
      <c r="M153" s="116"/>
      <c r="N153" s="118"/>
      <c r="O153" s="118"/>
    </row>
    <row r="154" spans="1:15" s="56" customFormat="1" ht="21" customHeight="1">
      <c r="A154" s="113" t="s">
        <v>574</v>
      </c>
      <c r="B154" s="113" t="s">
        <v>575</v>
      </c>
      <c r="C154" s="113" t="s">
        <v>576</v>
      </c>
      <c r="D154" s="113" t="s">
        <v>214</v>
      </c>
      <c r="E154" s="83">
        <v>45710</v>
      </c>
      <c r="F154" s="113">
        <v>1</v>
      </c>
      <c r="G154" s="113" t="s">
        <v>97</v>
      </c>
      <c r="H154" s="113">
        <v>1</v>
      </c>
      <c r="I154" s="113">
        <v>1.8</v>
      </c>
      <c r="J154" s="114">
        <f>K154*L154*M154/1000000</f>
        <v>1.7441999999999999E-2</v>
      </c>
      <c r="K154" s="113">
        <v>38</v>
      </c>
      <c r="L154" s="113">
        <v>27</v>
      </c>
      <c r="M154" s="113">
        <v>17</v>
      </c>
      <c r="N154" s="113"/>
      <c r="O154" s="113" t="s">
        <v>24</v>
      </c>
    </row>
    <row r="155" spans="1:15" s="56" customFormat="1" ht="21" customHeight="1">
      <c r="A155" s="42"/>
      <c r="B155" s="42"/>
      <c r="C155" s="42"/>
      <c r="D155" s="42"/>
      <c r="E155" s="42"/>
      <c r="F155" s="116">
        <v>1</v>
      </c>
      <c r="G155" s="111"/>
      <c r="H155" s="116"/>
      <c r="I155" s="116">
        <f>SUM(I154:I154)</f>
        <v>1.8</v>
      </c>
      <c r="J155" s="117">
        <f>SUM(J154:J154)</f>
        <v>1.7441999999999999E-2</v>
      </c>
      <c r="K155" s="116"/>
      <c r="L155" s="116"/>
      <c r="M155" s="116"/>
      <c r="N155" s="118"/>
      <c r="O155" s="118"/>
    </row>
    <row r="156" spans="1:15" s="56" customFormat="1" ht="21" customHeight="1">
      <c r="A156" s="81" t="s">
        <v>175</v>
      </c>
      <c r="B156" s="113" t="s">
        <v>585</v>
      </c>
      <c r="C156" s="106" t="s">
        <v>586</v>
      </c>
      <c r="D156" s="113" t="s">
        <v>587</v>
      </c>
      <c r="E156" s="175">
        <v>45712</v>
      </c>
      <c r="F156" s="113">
        <v>1</v>
      </c>
      <c r="G156" s="113" t="s">
        <v>97</v>
      </c>
      <c r="H156" s="113">
        <v>1</v>
      </c>
      <c r="I156" s="113">
        <v>0.7</v>
      </c>
      <c r="J156" s="114">
        <v>1.17E-2</v>
      </c>
      <c r="K156" s="113">
        <v>36</v>
      </c>
      <c r="L156" s="113">
        <v>25</v>
      </c>
      <c r="M156" s="113">
        <v>13</v>
      </c>
      <c r="N156" s="113"/>
      <c r="O156" s="113" t="s">
        <v>24</v>
      </c>
    </row>
    <row r="157" spans="1:15" s="56" customFormat="1" ht="21" customHeight="1">
      <c r="A157" s="42"/>
      <c r="B157" s="42"/>
      <c r="C157" s="42"/>
      <c r="D157" s="42"/>
      <c r="E157" s="42"/>
      <c r="F157" s="116">
        <v>1</v>
      </c>
      <c r="G157" s="111"/>
      <c r="H157" s="116"/>
      <c r="I157" s="116">
        <f>SUM(I156:I156)</f>
        <v>0.7</v>
      </c>
      <c r="J157" s="117">
        <f>SUM(J156:J156)</f>
        <v>1.17E-2</v>
      </c>
      <c r="K157" s="116"/>
      <c r="L157" s="116"/>
      <c r="M157" s="116"/>
      <c r="N157" s="118"/>
      <c r="O157" s="118"/>
    </row>
    <row r="158" spans="1:15" s="56" customFormat="1" ht="21" customHeight="1">
      <c r="A158" s="113" t="s">
        <v>588</v>
      </c>
      <c r="B158" s="113" t="s">
        <v>589</v>
      </c>
      <c r="C158" s="113" t="s">
        <v>590</v>
      </c>
      <c r="D158" s="113" t="s">
        <v>591</v>
      </c>
      <c r="E158" s="175">
        <v>45712</v>
      </c>
      <c r="F158" s="113">
        <v>1</v>
      </c>
      <c r="G158" s="113" t="s">
        <v>592</v>
      </c>
      <c r="H158" s="113"/>
      <c r="I158" s="113">
        <v>1.2</v>
      </c>
      <c r="J158" s="114">
        <v>9.9749999999999995E-3</v>
      </c>
      <c r="K158" s="113">
        <v>25</v>
      </c>
      <c r="L158" s="113">
        <v>21</v>
      </c>
      <c r="M158" s="113">
        <v>19</v>
      </c>
      <c r="N158" s="113"/>
      <c r="O158" s="113" t="s">
        <v>24</v>
      </c>
    </row>
    <row r="159" spans="1:15" s="56" customFormat="1" ht="21" customHeight="1">
      <c r="A159" s="42"/>
      <c r="B159" s="42"/>
      <c r="C159" s="42"/>
      <c r="D159" s="42"/>
      <c r="E159" s="42"/>
      <c r="F159" s="116">
        <v>1</v>
      </c>
      <c r="G159" s="111"/>
      <c r="H159" s="116"/>
      <c r="I159" s="116">
        <f>SUM(I158:I158)</f>
        <v>1.2</v>
      </c>
      <c r="J159" s="117">
        <f>SUM(J158:J158)</f>
        <v>9.9749999999999995E-3</v>
      </c>
      <c r="K159" s="116"/>
      <c r="L159" s="116"/>
      <c r="M159" s="116"/>
      <c r="N159" s="118"/>
      <c r="O159" s="118"/>
    </row>
    <row r="160" spans="1:15" s="56" customFormat="1" ht="21" customHeight="1">
      <c r="A160" s="113" t="s">
        <v>593</v>
      </c>
      <c r="B160" s="113" t="s">
        <v>594</v>
      </c>
      <c r="C160" s="113" t="s">
        <v>595</v>
      </c>
      <c r="D160" s="113" t="s">
        <v>596</v>
      </c>
      <c r="E160" s="175">
        <v>45712</v>
      </c>
      <c r="F160" s="113">
        <v>1</v>
      </c>
      <c r="G160" s="106" t="s">
        <v>597</v>
      </c>
      <c r="H160" s="113">
        <v>10</v>
      </c>
      <c r="I160" s="113">
        <v>10.1</v>
      </c>
      <c r="J160" s="114">
        <v>3.9269999999999999E-2</v>
      </c>
      <c r="K160" s="113">
        <v>35</v>
      </c>
      <c r="L160" s="113">
        <v>34</v>
      </c>
      <c r="M160" s="113">
        <v>33</v>
      </c>
      <c r="N160" s="113"/>
      <c r="O160" s="113"/>
    </row>
    <row r="161" spans="1:15" s="56" customFormat="1" ht="21" customHeight="1">
      <c r="A161" s="42"/>
      <c r="B161" s="42"/>
      <c r="C161" s="42"/>
      <c r="D161" s="42"/>
      <c r="E161" s="42"/>
      <c r="F161" s="116">
        <v>1</v>
      </c>
      <c r="G161" s="111"/>
      <c r="H161" s="116"/>
      <c r="I161" s="116">
        <v>10.1</v>
      </c>
      <c r="J161" s="117">
        <v>3.9269999999999999E-2</v>
      </c>
      <c r="K161" s="116"/>
      <c r="L161" s="116"/>
      <c r="M161" s="116"/>
      <c r="N161" s="118"/>
      <c r="O161" s="118"/>
    </row>
    <row r="162" spans="1:15" s="56" customFormat="1" ht="21" customHeight="1">
      <c r="A162" s="113" t="s">
        <v>598</v>
      </c>
      <c r="B162" s="215" t="s">
        <v>599</v>
      </c>
      <c r="C162" s="113" t="s">
        <v>600</v>
      </c>
      <c r="D162" s="215" t="s">
        <v>238</v>
      </c>
      <c r="E162" s="240">
        <v>45713</v>
      </c>
      <c r="F162" s="113">
        <v>1</v>
      </c>
      <c r="G162" s="215" t="s">
        <v>97</v>
      </c>
      <c r="H162" s="113"/>
      <c r="I162" s="113">
        <v>1.4</v>
      </c>
      <c r="J162" s="114">
        <v>1.3875E-2</v>
      </c>
      <c r="K162" s="113">
        <v>25</v>
      </c>
      <c r="L162" s="113">
        <v>15</v>
      </c>
      <c r="M162" s="113">
        <v>37</v>
      </c>
      <c r="N162" s="113"/>
      <c r="O162" s="215" t="s">
        <v>24</v>
      </c>
    </row>
    <row r="163" spans="1:15" s="56" customFormat="1" ht="21" customHeight="1">
      <c r="A163" s="113" t="s">
        <v>601</v>
      </c>
      <c r="B163" s="216"/>
      <c r="C163" s="113" t="s">
        <v>602</v>
      </c>
      <c r="D163" s="216"/>
      <c r="E163" s="241"/>
      <c r="F163" s="113">
        <v>2</v>
      </c>
      <c r="G163" s="216"/>
      <c r="H163" s="113"/>
      <c r="I163" s="113">
        <v>2</v>
      </c>
      <c r="J163" s="114">
        <v>1.9344E-2</v>
      </c>
      <c r="K163" s="113">
        <v>39</v>
      </c>
      <c r="L163" s="113">
        <v>31</v>
      </c>
      <c r="M163" s="113">
        <v>16</v>
      </c>
      <c r="N163" s="113"/>
      <c r="O163" s="216"/>
    </row>
    <row r="164" spans="1:15" s="56" customFormat="1" ht="21" customHeight="1">
      <c r="A164" s="42"/>
      <c r="B164" s="42"/>
      <c r="C164" s="42"/>
      <c r="D164" s="42"/>
      <c r="E164" s="42"/>
      <c r="F164" s="116">
        <v>2</v>
      </c>
      <c r="G164" s="111"/>
      <c r="H164" s="116"/>
      <c r="I164" s="116">
        <f>SUM(I162:I163)</f>
        <v>3.4</v>
      </c>
      <c r="J164" s="117">
        <f>SUM(J162:J163)</f>
        <v>3.3218999999999999E-2</v>
      </c>
      <c r="K164" s="116"/>
      <c r="L164" s="116"/>
      <c r="M164" s="116"/>
      <c r="N164" s="118"/>
      <c r="O164" s="118"/>
    </row>
    <row r="165" spans="1:15" s="56" customFormat="1" ht="21" customHeight="1">
      <c r="A165" s="113" t="s">
        <v>603</v>
      </c>
      <c r="B165" s="215" t="s">
        <v>604</v>
      </c>
      <c r="C165" s="215" t="s">
        <v>605</v>
      </c>
      <c r="D165" s="215" t="s">
        <v>606</v>
      </c>
      <c r="E165" s="240">
        <v>45713</v>
      </c>
      <c r="F165" s="113">
        <v>1</v>
      </c>
      <c r="G165" s="215" t="s">
        <v>97</v>
      </c>
      <c r="H165" s="215">
        <v>120</v>
      </c>
      <c r="I165" s="113">
        <v>20.7</v>
      </c>
      <c r="J165" s="114">
        <v>0.11700000000000001</v>
      </c>
      <c r="K165" s="113">
        <v>60</v>
      </c>
      <c r="L165" s="113">
        <v>39</v>
      </c>
      <c r="M165" s="113">
        <v>50</v>
      </c>
      <c r="N165" s="113"/>
      <c r="O165" s="215" t="s">
        <v>24</v>
      </c>
    </row>
    <row r="166" spans="1:15" s="56" customFormat="1" ht="21" customHeight="1">
      <c r="A166" s="113" t="s">
        <v>607</v>
      </c>
      <c r="B166" s="217"/>
      <c r="C166" s="217"/>
      <c r="D166" s="217"/>
      <c r="E166" s="180"/>
      <c r="F166" s="113">
        <v>2</v>
      </c>
      <c r="G166" s="217"/>
      <c r="H166" s="217"/>
      <c r="I166" s="113">
        <v>19.5</v>
      </c>
      <c r="J166" s="114">
        <v>0.11700000000000001</v>
      </c>
      <c r="K166" s="113">
        <v>60</v>
      </c>
      <c r="L166" s="113">
        <v>39</v>
      </c>
      <c r="M166" s="113">
        <v>50</v>
      </c>
      <c r="N166" s="113"/>
      <c r="O166" s="217"/>
    </row>
    <row r="167" spans="1:15" s="56" customFormat="1" ht="21" customHeight="1">
      <c r="A167" s="113" t="s">
        <v>608</v>
      </c>
      <c r="B167" s="217"/>
      <c r="C167" s="217"/>
      <c r="D167" s="217"/>
      <c r="E167" s="180"/>
      <c r="F167" s="113">
        <v>3</v>
      </c>
      <c r="G167" s="217"/>
      <c r="H167" s="217"/>
      <c r="I167" s="113">
        <v>22</v>
      </c>
      <c r="J167" s="114">
        <v>0.11700000000000001</v>
      </c>
      <c r="K167" s="113">
        <v>60</v>
      </c>
      <c r="L167" s="113">
        <v>39</v>
      </c>
      <c r="M167" s="113">
        <v>50</v>
      </c>
      <c r="N167" s="113"/>
      <c r="O167" s="217"/>
    </row>
    <row r="168" spans="1:15" s="56" customFormat="1" ht="21" customHeight="1">
      <c r="A168" s="113" t="s">
        <v>609</v>
      </c>
      <c r="B168" s="217"/>
      <c r="C168" s="217"/>
      <c r="D168" s="217"/>
      <c r="E168" s="180"/>
      <c r="F168" s="113">
        <v>4</v>
      </c>
      <c r="G168" s="217"/>
      <c r="H168" s="217"/>
      <c r="I168" s="113">
        <v>21.2</v>
      </c>
      <c r="J168" s="114">
        <v>0.11700000000000001</v>
      </c>
      <c r="K168" s="113">
        <v>60</v>
      </c>
      <c r="L168" s="113">
        <v>39</v>
      </c>
      <c r="M168" s="113">
        <v>50</v>
      </c>
      <c r="N168" s="113"/>
      <c r="O168" s="217"/>
    </row>
    <row r="169" spans="1:15" s="56" customFormat="1" ht="21" customHeight="1">
      <c r="A169" s="113" t="s">
        <v>610</v>
      </c>
      <c r="B169" s="217"/>
      <c r="C169" s="217"/>
      <c r="D169" s="217"/>
      <c r="E169" s="180"/>
      <c r="F169" s="113">
        <v>5</v>
      </c>
      <c r="G169" s="217"/>
      <c r="H169" s="217"/>
      <c r="I169" s="113">
        <v>19.600000000000001</v>
      </c>
      <c r="J169" s="114">
        <v>0.11700000000000001</v>
      </c>
      <c r="K169" s="113">
        <v>60</v>
      </c>
      <c r="L169" s="113">
        <v>39</v>
      </c>
      <c r="M169" s="113">
        <v>50</v>
      </c>
      <c r="N169" s="113"/>
      <c r="O169" s="217"/>
    </row>
    <row r="170" spans="1:15" s="56" customFormat="1" ht="21" customHeight="1">
      <c r="A170" s="113" t="s">
        <v>611</v>
      </c>
      <c r="B170" s="216"/>
      <c r="C170" s="216"/>
      <c r="D170" s="216"/>
      <c r="E170" s="181"/>
      <c r="F170" s="113">
        <v>6</v>
      </c>
      <c r="G170" s="216"/>
      <c r="H170" s="216"/>
      <c r="I170" s="113">
        <v>20.2</v>
      </c>
      <c r="J170" s="114">
        <v>0.11700000000000001</v>
      </c>
      <c r="K170" s="113">
        <v>60</v>
      </c>
      <c r="L170" s="113">
        <v>39</v>
      </c>
      <c r="M170" s="113">
        <v>50</v>
      </c>
      <c r="N170" s="113"/>
      <c r="O170" s="216"/>
    </row>
    <row r="171" spans="1:15" s="56" customFormat="1" ht="21" customHeight="1">
      <c r="A171" s="42"/>
      <c r="B171" s="42"/>
      <c r="C171" s="42"/>
      <c r="D171" s="42"/>
      <c r="E171" s="42"/>
      <c r="F171" s="116">
        <v>6</v>
      </c>
      <c r="G171" s="116"/>
      <c r="H171" s="116"/>
      <c r="I171" s="116">
        <v>123.2</v>
      </c>
      <c r="J171" s="117">
        <v>0.70200000000000007</v>
      </c>
      <c r="K171" s="116"/>
      <c r="L171" s="116"/>
      <c r="M171" s="116"/>
      <c r="N171" s="118"/>
      <c r="O171" s="176"/>
    </row>
    <row r="172" spans="1:15" s="56" customFormat="1" ht="21" customHeight="1">
      <c r="E172" s="143"/>
    </row>
    <row r="173" spans="1:15" s="56" customFormat="1" ht="21" customHeight="1">
      <c r="E173" s="143"/>
    </row>
    <row r="174" spans="1:15" s="56" customFormat="1" ht="21" customHeight="1">
      <c r="E174" s="143"/>
    </row>
    <row r="175" spans="1:15" s="56" customFormat="1" ht="21" customHeight="1">
      <c r="E175" s="143"/>
    </row>
    <row r="176" spans="1:15" s="56" customFormat="1" ht="21" customHeight="1">
      <c r="E176" s="143"/>
    </row>
    <row r="177" spans="5:5" s="56" customFormat="1" ht="21" customHeight="1">
      <c r="E177" s="143"/>
    </row>
    <row r="178" spans="5:5" s="56" customFormat="1" ht="21" customHeight="1">
      <c r="E178" s="143"/>
    </row>
    <row r="179" spans="5:5" s="56" customFormat="1" ht="21" customHeight="1">
      <c r="E179" s="143"/>
    </row>
    <row r="180" spans="5:5" s="56" customFormat="1" ht="21" customHeight="1">
      <c r="E180" s="143"/>
    </row>
    <row r="181" spans="5:5" s="56" customFormat="1" ht="21" customHeight="1">
      <c r="E181" s="143"/>
    </row>
    <row r="182" spans="5:5" s="56" customFormat="1" ht="21" customHeight="1">
      <c r="E182" s="143"/>
    </row>
    <row r="183" spans="5:5" s="56" customFormat="1" ht="21" customHeight="1">
      <c r="E183" s="143"/>
    </row>
    <row r="184" spans="5:5" s="56" customFormat="1" ht="21" customHeight="1">
      <c r="E184" s="143"/>
    </row>
    <row r="185" spans="5:5" s="56" customFormat="1" ht="21" customHeight="1">
      <c r="E185" s="143"/>
    </row>
    <row r="186" spans="5:5" s="56" customFormat="1" ht="21" customHeight="1">
      <c r="E186" s="143"/>
    </row>
    <row r="187" spans="5:5" s="56" customFormat="1" ht="21" customHeight="1">
      <c r="E187" s="143"/>
    </row>
    <row r="188" spans="5:5" s="56" customFormat="1" ht="21" customHeight="1">
      <c r="E188" s="143"/>
    </row>
    <row r="189" spans="5:5" s="56" customFormat="1" ht="21" customHeight="1">
      <c r="E189" s="143"/>
    </row>
    <row r="190" spans="5:5" s="56" customFormat="1" ht="21" customHeight="1">
      <c r="E190" s="143"/>
    </row>
    <row r="191" spans="5:5" s="56" customFormat="1" ht="21" customHeight="1">
      <c r="E191" s="143"/>
    </row>
    <row r="208" spans="1:2" ht="40.5">
      <c r="A208" s="205" t="s">
        <v>444</v>
      </c>
      <c r="B208" s="205"/>
    </row>
    <row r="210" spans="1:16" ht="84">
      <c r="A210" s="150"/>
      <c r="B210" s="81" t="s">
        <v>371</v>
      </c>
      <c r="C210" s="54" t="s">
        <v>372</v>
      </c>
      <c r="D210" s="81" t="s">
        <v>73</v>
      </c>
      <c r="E210" s="83">
        <v>45659</v>
      </c>
      <c r="F210" s="3" t="s">
        <v>373</v>
      </c>
      <c r="G210" s="81" t="s">
        <v>72</v>
      </c>
      <c r="H210" s="81"/>
      <c r="I210" s="81">
        <v>240</v>
      </c>
      <c r="J210" s="10">
        <v>1.1200000000000001</v>
      </c>
      <c r="K210" s="81">
        <v>50</v>
      </c>
      <c r="L210" s="81">
        <v>50</v>
      </c>
      <c r="M210" s="81">
        <v>32</v>
      </c>
      <c r="N210" s="82">
        <v>45672</v>
      </c>
      <c r="O210" s="82">
        <v>45700</v>
      </c>
      <c r="P210" s="81" t="s">
        <v>374</v>
      </c>
    </row>
    <row r="211" spans="1:16" ht="22.5">
      <c r="A211" s="150"/>
      <c r="B211" s="178" t="s">
        <v>12</v>
      </c>
      <c r="C211" s="178"/>
      <c r="D211" s="178"/>
      <c r="E211" s="178"/>
      <c r="F211" s="64" t="s">
        <v>375</v>
      </c>
      <c r="G211" s="52"/>
      <c r="H211" s="52"/>
      <c r="I211" s="52">
        <v>240</v>
      </c>
      <c r="J211" s="65">
        <v>1.1200000000000001</v>
      </c>
      <c r="K211" s="52"/>
      <c r="L211" s="52"/>
      <c r="M211" s="52"/>
      <c r="N211" s="67"/>
      <c r="O211" s="67"/>
      <c r="P211" s="67"/>
    </row>
    <row r="212" spans="1:16" ht="37.5">
      <c r="A212" s="150"/>
      <c r="B212" s="220" t="s">
        <v>376</v>
      </c>
      <c r="C212" s="189" t="s">
        <v>377</v>
      </c>
      <c r="D212" s="220" t="s">
        <v>378</v>
      </c>
      <c r="E212" s="221">
        <v>45659</v>
      </c>
      <c r="F212" s="62" t="s">
        <v>21</v>
      </c>
      <c r="G212" s="53" t="s">
        <v>379</v>
      </c>
      <c r="H212" s="60">
        <v>1</v>
      </c>
      <c r="I212" s="220">
        <v>255</v>
      </c>
      <c r="J212" s="63">
        <v>0.65100000000000002</v>
      </c>
      <c r="K212" s="60">
        <v>100</v>
      </c>
      <c r="L212" s="60">
        <v>105</v>
      </c>
      <c r="M212" s="60">
        <v>62</v>
      </c>
      <c r="N212" s="200">
        <v>45663</v>
      </c>
      <c r="O212" s="200">
        <v>45705</v>
      </c>
      <c r="P212" s="220" t="s">
        <v>380</v>
      </c>
    </row>
    <row r="213" spans="1:16" ht="21">
      <c r="A213" s="150"/>
      <c r="B213" s="201"/>
      <c r="C213" s="190"/>
      <c r="D213" s="201"/>
      <c r="E213" s="222"/>
      <c r="F213" s="62" t="s">
        <v>15</v>
      </c>
      <c r="G213" s="53" t="s">
        <v>381</v>
      </c>
      <c r="H213" s="60">
        <v>1</v>
      </c>
      <c r="I213" s="201"/>
      <c r="J213" s="63">
        <v>0.54978000000000005</v>
      </c>
      <c r="K213" s="60">
        <v>68</v>
      </c>
      <c r="L213" s="60">
        <v>105</v>
      </c>
      <c r="M213" s="60">
        <v>77</v>
      </c>
      <c r="N213" s="201"/>
      <c r="O213" s="201"/>
      <c r="P213" s="201"/>
    </row>
    <row r="214" spans="1:16" ht="37.5">
      <c r="A214" s="150"/>
      <c r="B214" s="201"/>
      <c r="C214" s="190"/>
      <c r="D214" s="201"/>
      <c r="E214" s="222"/>
      <c r="F214" s="62" t="s">
        <v>30</v>
      </c>
      <c r="G214" s="53" t="s">
        <v>382</v>
      </c>
      <c r="H214" s="60">
        <v>1</v>
      </c>
      <c r="I214" s="201"/>
      <c r="J214" s="63">
        <v>0.51480000000000004</v>
      </c>
      <c r="K214" s="60">
        <v>72</v>
      </c>
      <c r="L214" s="60">
        <v>110</v>
      </c>
      <c r="M214" s="60">
        <v>65</v>
      </c>
      <c r="N214" s="201"/>
      <c r="O214" s="201"/>
      <c r="P214" s="201"/>
    </row>
    <row r="215" spans="1:16" ht="56.25">
      <c r="A215" s="150"/>
      <c r="B215" s="202"/>
      <c r="C215" s="191"/>
      <c r="D215" s="202"/>
      <c r="E215" s="223"/>
      <c r="F215" s="62" t="s">
        <v>25</v>
      </c>
      <c r="G215" s="53" t="s">
        <v>383</v>
      </c>
      <c r="H215" s="60">
        <v>1</v>
      </c>
      <c r="I215" s="202"/>
      <c r="J215" s="63">
        <v>7.3800000000000004E-2</v>
      </c>
      <c r="K215" s="60">
        <v>100</v>
      </c>
      <c r="L215" s="60">
        <v>41</v>
      </c>
      <c r="M215" s="60">
        <v>18</v>
      </c>
      <c r="N215" s="202"/>
      <c r="O215" s="202"/>
      <c r="P215" s="202"/>
    </row>
    <row r="216" spans="1:16" ht="22.5">
      <c r="A216" s="177">
        <v>45692</v>
      </c>
      <c r="B216" s="178" t="s">
        <v>12</v>
      </c>
      <c r="C216" s="178"/>
      <c r="D216" s="178"/>
      <c r="E216" s="178"/>
      <c r="F216" s="64" t="s">
        <v>25</v>
      </c>
      <c r="G216" s="52"/>
      <c r="H216" s="52"/>
      <c r="I216" s="52">
        <v>255</v>
      </c>
      <c r="J216" s="65">
        <v>1.7893800000000002</v>
      </c>
      <c r="K216" s="52"/>
      <c r="L216" s="52"/>
      <c r="M216" s="52"/>
      <c r="N216" s="128"/>
      <c r="O216" s="128"/>
      <c r="P216" s="55"/>
    </row>
    <row r="217" spans="1:16" ht="117">
      <c r="A217" s="150"/>
      <c r="B217" s="81" t="s">
        <v>384</v>
      </c>
      <c r="C217" s="129" t="s">
        <v>385</v>
      </c>
      <c r="D217" s="81" t="s">
        <v>73</v>
      </c>
      <c r="E217" s="83">
        <v>45659</v>
      </c>
      <c r="F217" s="3" t="s">
        <v>386</v>
      </c>
      <c r="G217" s="81" t="s">
        <v>71</v>
      </c>
      <c r="H217" s="81">
        <f>40*222</f>
        <v>8880</v>
      </c>
      <c r="I217" s="81">
        <f>4800/222*150</f>
        <v>3243.2432432432433</v>
      </c>
      <c r="J217" s="10">
        <f>K217*L217*M217/1000000*150</f>
        <v>14.363999999999999</v>
      </c>
      <c r="K217" s="81">
        <v>60</v>
      </c>
      <c r="L217" s="81">
        <v>57</v>
      </c>
      <c r="M217" s="81">
        <v>28</v>
      </c>
      <c r="N217" s="82">
        <v>45663</v>
      </c>
      <c r="O217" s="82">
        <v>45705</v>
      </c>
      <c r="P217" s="54" t="s">
        <v>387</v>
      </c>
    </row>
    <row r="218" spans="1:16" ht="22.5">
      <c r="A218" s="150"/>
      <c r="B218" s="178" t="s">
        <v>12</v>
      </c>
      <c r="C218" s="178"/>
      <c r="D218" s="178"/>
      <c r="E218" s="178"/>
      <c r="F218" s="64" t="s">
        <v>388</v>
      </c>
      <c r="G218" s="7"/>
      <c r="H218" s="52"/>
      <c r="I218" s="7">
        <f>SUM(I217:I217)</f>
        <v>3243.2432432432433</v>
      </c>
      <c r="J218" s="65">
        <f>SUM(J217:J217)</f>
        <v>14.363999999999999</v>
      </c>
      <c r="K218" s="52"/>
      <c r="L218" s="52"/>
      <c r="M218" s="52"/>
      <c r="N218" s="67"/>
      <c r="O218" s="67"/>
      <c r="P218" s="67"/>
    </row>
    <row r="219" spans="1:16" ht="117">
      <c r="A219" s="150"/>
      <c r="B219" s="81" t="s">
        <v>384</v>
      </c>
      <c r="C219" s="129" t="s">
        <v>385</v>
      </c>
      <c r="D219" s="81" t="s">
        <v>73</v>
      </c>
      <c r="E219" s="83">
        <v>45659</v>
      </c>
      <c r="F219" s="3" t="s">
        <v>389</v>
      </c>
      <c r="G219" s="81" t="s">
        <v>71</v>
      </c>
      <c r="H219" s="81">
        <f>40*222</f>
        <v>8880</v>
      </c>
      <c r="I219" s="81">
        <f>4800/222*72</f>
        <v>1556.7567567567567</v>
      </c>
      <c r="J219" s="10">
        <f>K219*L219*M219/1000000*72</f>
        <v>6.8947199999999995</v>
      </c>
      <c r="K219" s="81">
        <v>60</v>
      </c>
      <c r="L219" s="81">
        <v>57</v>
      </c>
      <c r="M219" s="81">
        <v>28</v>
      </c>
      <c r="N219" s="82">
        <v>45665</v>
      </c>
      <c r="O219" s="82">
        <v>45706</v>
      </c>
      <c r="P219" s="54" t="s">
        <v>390</v>
      </c>
    </row>
    <row r="220" spans="1:16" ht="22.5">
      <c r="A220" s="150"/>
      <c r="B220" s="178" t="s">
        <v>12</v>
      </c>
      <c r="C220" s="178"/>
      <c r="D220" s="178"/>
      <c r="E220" s="178"/>
      <c r="F220" s="64" t="s">
        <v>391</v>
      </c>
      <c r="G220" s="7"/>
      <c r="H220" s="52"/>
      <c r="I220" s="7">
        <f>SUM(I219:I219)</f>
        <v>1556.7567567567567</v>
      </c>
      <c r="J220" s="65">
        <f>SUM(J219:J219)</f>
        <v>6.8947199999999995</v>
      </c>
      <c r="K220" s="52"/>
      <c r="L220" s="52"/>
      <c r="M220" s="52"/>
      <c r="N220" s="67"/>
      <c r="O220" s="67"/>
      <c r="P220" s="67"/>
    </row>
    <row r="221" spans="1:16" ht="98.25">
      <c r="A221" s="150"/>
      <c r="B221" s="81" t="s">
        <v>384</v>
      </c>
      <c r="C221" s="129" t="s">
        <v>385</v>
      </c>
      <c r="D221" s="81" t="s">
        <v>73</v>
      </c>
      <c r="E221" s="83">
        <v>45659</v>
      </c>
      <c r="F221" s="3" t="s">
        <v>392</v>
      </c>
      <c r="G221" s="81" t="s">
        <v>71</v>
      </c>
      <c r="H221" s="81">
        <v>8880</v>
      </c>
      <c r="I221" s="81">
        <v>4800</v>
      </c>
      <c r="J221" s="10">
        <v>21.25872</v>
      </c>
      <c r="K221" s="81">
        <v>60</v>
      </c>
      <c r="L221" s="81">
        <v>57</v>
      </c>
      <c r="M221" s="81">
        <v>28</v>
      </c>
      <c r="N221" s="81" t="s">
        <v>88</v>
      </c>
      <c r="O221" s="81" t="s">
        <v>88</v>
      </c>
      <c r="P221" s="54" t="s">
        <v>393</v>
      </c>
    </row>
    <row r="222" spans="1:16" ht="22.5">
      <c r="A222" s="150"/>
      <c r="B222" s="178" t="s">
        <v>12</v>
      </c>
      <c r="C222" s="178"/>
      <c r="D222" s="178"/>
      <c r="E222" s="178"/>
      <c r="F222" s="64" t="s">
        <v>394</v>
      </c>
      <c r="G222" s="52"/>
      <c r="H222" s="52"/>
      <c r="I222" s="52">
        <v>4800</v>
      </c>
      <c r="J222" s="65">
        <v>21.25872</v>
      </c>
      <c r="K222" s="52"/>
      <c r="L222" s="52"/>
      <c r="M222" s="52"/>
      <c r="N222" s="67"/>
      <c r="O222" s="67"/>
      <c r="P222" s="67"/>
    </row>
    <row r="223" spans="1:16" ht="21">
      <c r="A223" s="150"/>
      <c r="B223" s="179" t="s">
        <v>395</v>
      </c>
      <c r="C223" s="179" t="s">
        <v>396</v>
      </c>
      <c r="D223" s="179" t="s">
        <v>397</v>
      </c>
      <c r="E223" s="196">
        <v>45660</v>
      </c>
      <c r="F223" s="3" t="s">
        <v>21</v>
      </c>
      <c r="G223" s="219" t="s">
        <v>398</v>
      </c>
      <c r="H223" s="81">
        <v>130</v>
      </c>
      <c r="I223" s="179">
        <v>7600</v>
      </c>
      <c r="J223" s="10">
        <v>2.863146</v>
      </c>
      <c r="K223" s="81">
        <v>611</v>
      </c>
      <c r="L223" s="81">
        <v>71</v>
      </c>
      <c r="M223" s="81">
        <v>66</v>
      </c>
      <c r="N223" s="192">
        <v>45665</v>
      </c>
      <c r="O223" s="192">
        <v>45706</v>
      </c>
      <c r="P223" s="179" t="s">
        <v>399</v>
      </c>
    </row>
    <row r="224" spans="1:16" ht="21">
      <c r="A224" s="150"/>
      <c r="B224" s="180"/>
      <c r="C224" s="180"/>
      <c r="D224" s="180"/>
      <c r="E224" s="197"/>
      <c r="F224" s="3" t="s">
        <v>15</v>
      </c>
      <c r="G224" s="224"/>
      <c r="H224" s="81">
        <v>120</v>
      </c>
      <c r="I224" s="180"/>
      <c r="J224" s="10">
        <v>3.167424</v>
      </c>
      <c r="K224" s="81">
        <v>611</v>
      </c>
      <c r="L224" s="81">
        <v>72</v>
      </c>
      <c r="M224" s="81">
        <v>72</v>
      </c>
      <c r="N224" s="180"/>
      <c r="O224" s="180"/>
      <c r="P224" s="180"/>
    </row>
    <row r="225" spans="1:16" ht="21">
      <c r="A225" s="150"/>
      <c r="B225" s="180"/>
      <c r="C225" s="180"/>
      <c r="D225" s="180"/>
      <c r="E225" s="197"/>
      <c r="F225" s="3" t="s">
        <v>30</v>
      </c>
      <c r="G225" s="224"/>
      <c r="H225" s="81">
        <v>130</v>
      </c>
      <c r="I225" s="180"/>
      <c r="J225" s="10">
        <v>3.383718</v>
      </c>
      <c r="K225" s="81">
        <v>611</v>
      </c>
      <c r="L225" s="81">
        <v>78</v>
      </c>
      <c r="M225" s="81">
        <v>71</v>
      </c>
      <c r="N225" s="180"/>
      <c r="O225" s="180"/>
      <c r="P225" s="180"/>
    </row>
    <row r="226" spans="1:16" ht="21">
      <c r="A226" s="150"/>
      <c r="B226" s="180"/>
      <c r="C226" s="180"/>
      <c r="D226" s="180"/>
      <c r="E226" s="197"/>
      <c r="F226" s="3" t="s">
        <v>25</v>
      </c>
      <c r="G226" s="225"/>
      <c r="H226" s="81">
        <v>220</v>
      </c>
      <c r="I226" s="180"/>
      <c r="J226" s="10">
        <v>2.5405380000000002</v>
      </c>
      <c r="K226" s="81">
        <v>611</v>
      </c>
      <c r="L226" s="81">
        <v>66</v>
      </c>
      <c r="M226" s="81">
        <v>63</v>
      </c>
      <c r="N226" s="180"/>
      <c r="O226" s="180"/>
      <c r="P226" s="180"/>
    </row>
    <row r="227" spans="1:16" ht="21">
      <c r="A227" s="150"/>
      <c r="B227" s="181"/>
      <c r="C227" s="181"/>
      <c r="D227" s="181"/>
      <c r="E227" s="198"/>
      <c r="F227" s="3" t="s">
        <v>13</v>
      </c>
      <c r="G227" s="54" t="s">
        <v>400</v>
      </c>
      <c r="H227" s="81">
        <v>1599</v>
      </c>
      <c r="I227" s="181"/>
      <c r="J227" s="10">
        <v>0.68834399999999996</v>
      </c>
      <c r="K227" s="81">
        <v>87</v>
      </c>
      <c r="L227" s="81">
        <v>86</v>
      </c>
      <c r="M227" s="81">
        <v>92</v>
      </c>
      <c r="N227" s="181"/>
      <c r="O227" s="181"/>
      <c r="P227" s="181"/>
    </row>
    <row r="228" spans="1:16" ht="22.5">
      <c r="A228" s="177">
        <v>45689</v>
      </c>
      <c r="B228" s="178" t="s">
        <v>12</v>
      </c>
      <c r="C228" s="178"/>
      <c r="D228" s="178"/>
      <c r="E228" s="178"/>
      <c r="F228" s="64" t="s">
        <v>13</v>
      </c>
      <c r="G228" s="69"/>
      <c r="H228" s="52"/>
      <c r="I228" s="9">
        <v>7600</v>
      </c>
      <c r="J228" s="65">
        <v>12.64317</v>
      </c>
      <c r="K228" s="52"/>
      <c r="L228" s="52"/>
      <c r="M228" s="52"/>
      <c r="N228" s="67"/>
      <c r="O228" s="67"/>
      <c r="P228" s="67"/>
    </row>
    <row r="229" spans="1:16" ht="42">
      <c r="A229" s="150"/>
      <c r="B229" s="60" t="s">
        <v>401</v>
      </c>
      <c r="C229" s="60"/>
      <c r="D229" s="60" t="s">
        <v>402</v>
      </c>
      <c r="E229" s="107">
        <v>45660</v>
      </c>
      <c r="F229" s="62" t="s">
        <v>403</v>
      </c>
      <c r="G229" s="60" t="s">
        <v>404</v>
      </c>
      <c r="H229" s="60">
        <v>130</v>
      </c>
      <c r="I229" s="60">
        <v>149</v>
      </c>
      <c r="J229" s="63">
        <v>1.1248</v>
      </c>
      <c r="K229" s="60">
        <v>74</v>
      </c>
      <c r="L229" s="60">
        <v>38</v>
      </c>
      <c r="M229" s="60">
        <v>40</v>
      </c>
      <c r="N229" s="60" t="s">
        <v>82</v>
      </c>
      <c r="O229" s="60" t="s">
        <v>82</v>
      </c>
      <c r="P229" s="53" t="s">
        <v>405</v>
      </c>
    </row>
    <row r="230" spans="1:16" ht="22.5">
      <c r="A230" s="150"/>
      <c r="B230" s="178" t="s">
        <v>12</v>
      </c>
      <c r="C230" s="178"/>
      <c r="D230" s="178"/>
      <c r="E230" s="178"/>
      <c r="F230" s="64" t="s">
        <v>406</v>
      </c>
      <c r="G230" s="52"/>
      <c r="H230" s="52"/>
      <c r="I230" s="52">
        <v>149</v>
      </c>
      <c r="J230" s="65">
        <v>1.1248</v>
      </c>
      <c r="K230" s="52"/>
      <c r="L230" s="52"/>
      <c r="M230" s="52"/>
      <c r="N230" s="55"/>
      <c r="O230" s="55"/>
      <c r="P230" s="55"/>
    </row>
    <row r="231" spans="1:16" ht="42">
      <c r="A231" s="150"/>
      <c r="B231" s="81" t="s">
        <v>407</v>
      </c>
      <c r="C231" s="81"/>
      <c r="D231" s="81" t="s">
        <v>73</v>
      </c>
      <c r="E231" s="83">
        <v>45663</v>
      </c>
      <c r="F231" s="3" t="s">
        <v>408</v>
      </c>
      <c r="G231" s="81" t="s">
        <v>71</v>
      </c>
      <c r="H231" s="81">
        <f>40*107</f>
        <v>4280</v>
      </c>
      <c r="I231" s="81">
        <f>21*107</f>
        <v>2247</v>
      </c>
      <c r="J231" s="10">
        <f>K231*L231*M231/1000000*107</f>
        <v>11.234999999999999</v>
      </c>
      <c r="K231" s="81">
        <v>50</v>
      </c>
      <c r="L231" s="81">
        <v>50</v>
      </c>
      <c r="M231" s="81">
        <v>42</v>
      </c>
      <c r="N231" s="81" t="s">
        <v>88</v>
      </c>
      <c r="O231" s="81" t="s">
        <v>88</v>
      </c>
      <c r="P231" s="81" t="s">
        <v>24</v>
      </c>
    </row>
    <row r="232" spans="1:16" ht="22.5">
      <c r="A232" s="150"/>
      <c r="B232" s="178" t="s">
        <v>12</v>
      </c>
      <c r="C232" s="178"/>
      <c r="D232" s="178"/>
      <c r="E232" s="178"/>
      <c r="F232" s="64" t="s">
        <v>409</v>
      </c>
      <c r="G232" s="52"/>
      <c r="H232" s="52"/>
      <c r="I232" s="52">
        <f>SUM(I231:I231)</f>
        <v>2247</v>
      </c>
      <c r="J232" s="65">
        <f>SUM(J231:J231)</f>
        <v>11.234999999999999</v>
      </c>
      <c r="K232" s="52"/>
      <c r="L232" s="52"/>
      <c r="M232" s="52"/>
      <c r="N232" s="67"/>
      <c r="O232" s="67"/>
      <c r="P232" s="67"/>
    </row>
    <row r="233" spans="1:16" ht="37.5">
      <c r="A233" s="177"/>
      <c r="B233" s="179" t="s">
        <v>410</v>
      </c>
      <c r="C233" s="179" t="s">
        <v>411</v>
      </c>
      <c r="D233" s="179" t="s">
        <v>412</v>
      </c>
      <c r="E233" s="196">
        <v>45665</v>
      </c>
      <c r="F233" s="3" t="s">
        <v>98</v>
      </c>
      <c r="G233" s="54" t="s">
        <v>413</v>
      </c>
      <c r="H233" s="81">
        <f>12*28</f>
        <v>336</v>
      </c>
      <c r="I233" s="81">
        <v>322</v>
      </c>
      <c r="J233" s="10">
        <f>K233*L233*M233/1000000*28</f>
        <v>2.1785399999999999</v>
      </c>
      <c r="K233" s="81">
        <v>57</v>
      </c>
      <c r="L233" s="81">
        <v>35</v>
      </c>
      <c r="M233" s="81">
        <v>39</v>
      </c>
      <c r="N233" s="192">
        <v>45670</v>
      </c>
      <c r="O233" s="192">
        <v>45712</v>
      </c>
      <c r="P233" s="179" t="s">
        <v>414</v>
      </c>
    </row>
    <row r="234" spans="1:16" ht="37.5">
      <c r="A234" s="177"/>
      <c r="B234" s="180"/>
      <c r="C234" s="180"/>
      <c r="D234" s="180"/>
      <c r="E234" s="197"/>
      <c r="F234" s="3" t="s">
        <v>99</v>
      </c>
      <c r="G234" s="54" t="s">
        <v>415</v>
      </c>
      <c r="H234" s="81">
        <f>15*24</f>
        <v>360</v>
      </c>
      <c r="I234" s="81">
        <v>230</v>
      </c>
      <c r="J234" s="10">
        <f>K234*L234*M234/1000000*24</f>
        <v>1.2949439999999999</v>
      </c>
      <c r="K234" s="81">
        <v>47</v>
      </c>
      <c r="L234" s="81">
        <v>41</v>
      </c>
      <c r="M234" s="81">
        <v>28</v>
      </c>
      <c r="N234" s="180"/>
      <c r="O234" s="180"/>
      <c r="P234" s="180"/>
    </row>
    <row r="235" spans="1:16" ht="21">
      <c r="A235" s="177"/>
      <c r="B235" s="180"/>
      <c r="C235" s="180"/>
      <c r="D235" s="180"/>
      <c r="E235" s="197"/>
      <c r="F235" s="3" t="s">
        <v>416</v>
      </c>
      <c r="G235" s="219" t="s">
        <v>417</v>
      </c>
      <c r="H235" s="81">
        <f>104*3</f>
        <v>312</v>
      </c>
      <c r="I235" s="81">
        <v>38</v>
      </c>
      <c r="J235" s="10">
        <f>K235*L235*M235/1000000*3</f>
        <v>0.139932</v>
      </c>
      <c r="K235" s="81">
        <v>52</v>
      </c>
      <c r="L235" s="81">
        <v>23</v>
      </c>
      <c r="M235" s="81">
        <v>39</v>
      </c>
      <c r="N235" s="180"/>
      <c r="O235" s="180"/>
      <c r="P235" s="180"/>
    </row>
    <row r="236" spans="1:16" ht="21">
      <c r="A236" s="177"/>
      <c r="B236" s="180"/>
      <c r="C236" s="180"/>
      <c r="D236" s="180"/>
      <c r="E236" s="197"/>
      <c r="F236" s="3" t="s">
        <v>418</v>
      </c>
      <c r="G236" s="225"/>
      <c r="H236" s="81">
        <v>48</v>
      </c>
      <c r="I236" s="81">
        <v>6</v>
      </c>
      <c r="J236" s="10">
        <f>K236*L236*M236/1000000</f>
        <v>2.7508000000000001E-2</v>
      </c>
      <c r="K236" s="81">
        <v>52</v>
      </c>
      <c r="L236" s="81">
        <v>23</v>
      </c>
      <c r="M236" s="81">
        <v>23</v>
      </c>
      <c r="N236" s="180"/>
      <c r="O236" s="180"/>
      <c r="P236" s="180"/>
    </row>
    <row r="237" spans="1:16" ht="37.5">
      <c r="A237" s="177"/>
      <c r="B237" s="181"/>
      <c r="C237" s="181"/>
      <c r="D237" s="181"/>
      <c r="E237" s="198"/>
      <c r="F237" s="3" t="s">
        <v>419</v>
      </c>
      <c r="G237" s="54" t="s">
        <v>420</v>
      </c>
      <c r="H237" s="81">
        <f>24/12</f>
        <v>2</v>
      </c>
      <c r="I237" s="81">
        <v>160</v>
      </c>
      <c r="J237" s="10">
        <f>K237*L237*M237/1000000*12</f>
        <v>0.92496</v>
      </c>
      <c r="K237" s="81">
        <v>41</v>
      </c>
      <c r="L237" s="81">
        <v>40</v>
      </c>
      <c r="M237" s="81">
        <v>47</v>
      </c>
      <c r="N237" s="181"/>
      <c r="O237" s="181"/>
      <c r="P237" s="181"/>
    </row>
    <row r="238" spans="1:16" ht="22.5">
      <c r="A238" s="177">
        <v>45702</v>
      </c>
      <c r="B238" s="178" t="s">
        <v>12</v>
      </c>
      <c r="C238" s="178"/>
      <c r="D238" s="178"/>
      <c r="E238" s="178"/>
      <c r="F238" s="64" t="s">
        <v>421</v>
      </c>
      <c r="G238" s="69"/>
      <c r="H238" s="52"/>
      <c r="I238" s="52">
        <f>SUM(I233:I237)</f>
        <v>756</v>
      </c>
      <c r="J238" s="65">
        <f>SUM(J233:J237)</f>
        <v>4.5658840000000005</v>
      </c>
      <c r="K238" s="52"/>
      <c r="L238" s="52"/>
      <c r="M238" s="52"/>
      <c r="N238" s="67"/>
      <c r="O238" s="67"/>
      <c r="P238" s="67"/>
    </row>
    <row r="239" spans="1:16" ht="21">
      <c r="A239" s="177"/>
      <c r="B239" s="81" t="s">
        <v>422</v>
      </c>
      <c r="C239" s="54" t="s">
        <v>423</v>
      </c>
      <c r="D239" s="81" t="s">
        <v>424</v>
      </c>
      <c r="E239" s="83">
        <v>45666</v>
      </c>
      <c r="F239" s="3" t="s">
        <v>16</v>
      </c>
      <c r="G239" s="54" t="s">
        <v>425</v>
      </c>
      <c r="H239" s="81">
        <v>4</v>
      </c>
      <c r="I239" s="81">
        <v>65</v>
      </c>
      <c r="J239" s="10">
        <v>0.17399999999999999</v>
      </c>
      <c r="K239" s="81">
        <v>50</v>
      </c>
      <c r="L239" s="81">
        <v>29</v>
      </c>
      <c r="M239" s="81">
        <v>30</v>
      </c>
      <c r="N239" s="82">
        <v>45670</v>
      </c>
      <c r="O239" s="82">
        <v>45712</v>
      </c>
      <c r="P239" s="81" t="s">
        <v>414</v>
      </c>
    </row>
    <row r="240" spans="1:16" ht="22.5">
      <c r="A240" s="177">
        <v>45707</v>
      </c>
      <c r="B240" s="178" t="s">
        <v>12</v>
      </c>
      <c r="C240" s="178"/>
      <c r="D240" s="178"/>
      <c r="E240" s="178"/>
      <c r="F240" s="64" t="s">
        <v>25</v>
      </c>
      <c r="G240" s="69"/>
      <c r="H240" s="52"/>
      <c r="I240" s="52">
        <v>65</v>
      </c>
      <c r="J240" s="65">
        <v>0.17399999999999999</v>
      </c>
      <c r="K240" s="52"/>
      <c r="L240" s="52"/>
      <c r="M240" s="52"/>
      <c r="N240" s="67"/>
      <c r="O240" s="67"/>
      <c r="P240" s="67"/>
    </row>
    <row r="241" spans="1:16" ht="21">
      <c r="A241" s="177"/>
      <c r="B241" s="179" t="s">
        <v>426</v>
      </c>
      <c r="C241" s="219" t="s">
        <v>427</v>
      </c>
      <c r="D241" s="179" t="s">
        <v>18</v>
      </c>
      <c r="E241" s="196">
        <v>45666</v>
      </c>
      <c r="F241" s="3" t="s">
        <v>21</v>
      </c>
      <c r="G241" s="219" t="s">
        <v>428</v>
      </c>
      <c r="H241" s="81"/>
      <c r="I241" s="179">
        <v>13</v>
      </c>
      <c r="J241" s="10">
        <v>5.6160000000000002E-2</v>
      </c>
      <c r="K241" s="81">
        <v>40</v>
      </c>
      <c r="L241" s="81">
        <v>39</v>
      </c>
      <c r="M241" s="81">
        <v>36</v>
      </c>
      <c r="N241" s="192">
        <v>45670</v>
      </c>
      <c r="O241" s="192">
        <v>45712</v>
      </c>
      <c r="P241" s="179" t="s">
        <v>429</v>
      </c>
    </row>
    <row r="242" spans="1:16" ht="21">
      <c r="A242" s="177"/>
      <c r="B242" s="181"/>
      <c r="C242" s="225"/>
      <c r="D242" s="181"/>
      <c r="E242" s="198"/>
      <c r="F242" s="3" t="s">
        <v>15</v>
      </c>
      <c r="G242" s="181"/>
      <c r="H242" s="81"/>
      <c r="I242" s="181"/>
      <c r="J242" s="10">
        <v>2.3751000000000001E-2</v>
      </c>
      <c r="K242" s="81">
        <v>39</v>
      </c>
      <c r="L242" s="81">
        <v>21</v>
      </c>
      <c r="M242" s="81">
        <v>29</v>
      </c>
      <c r="N242" s="181"/>
      <c r="O242" s="181"/>
      <c r="P242" s="181"/>
    </row>
    <row r="243" spans="1:16" ht="22.5">
      <c r="A243" s="177">
        <v>45694</v>
      </c>
      <c r="B243" s="178" t="s">
        <v>12</v>
      </c>
      <c r="C243" s="178"/>
      <c r="D243" s="178"/>
      <c r="E243" s="178"/>
      <c r="F243" s="64" t="s">
        <v>15</v>
      </c>
      <c r="G243" s="9"/>
      <c r="H243" s="52"/>
      <c r="I243" s="9">
        <v>13</v>
      </c>
      <c r="J243" s="65">
        <v>7.991100000000001E-2</v>
      </c>
      <c r="K243" s="52"/>
      <c r="L243" s="52"/>
      <c r="M243" s="52"/>
      <c r="N243" s="67"/>
      <c r="O243" s="67"/>
      <c r="P243" s="67"/>
    </row>
    <row r="244" spans="1:16" ht="42">
      <c r="B244" s="81" t="s">
        <v>430</v>
      </c>
      <c r="C244" s="81"/>
      <c r="D244" s="81" t="s">
        <v>53</v>
      </c>
      <c r="E244" s="83">
        <v>45667</v>
      </c>
      <c r="F244" s="3" t="s">
        <v>436</v>
      </c>
      <c r="G244" s="54" t="s">
        <v>54</v>
      </c>
      <c r="H244" s="81">
        <f>2*750</f>
        <v>1500</v>
      </c>
      <c r="I244" s="81">
        <f>24*200</f>
        <v>4800</v>
      </c>
      <c r="J244" s="10">
        <f>K244*L244*M244/1000000*200</f>
        <v>8.16</v>
      </c>
      <c r="K244" s="81">
        <v>40</v>
      </c>
      <c r="L244" s="81">
        <v>34</v>
      </c>
      <c r="M244" s="81">
        <v>30</v>
      </c>
      <c r="N244" s="82">
        <v>45671</v>
      </c>
      <c r="O244" s="82">
        <v>45714</v>
      </c>
      <c r="P244" s="81" t="s">
        <v>437</v>
      </c>
    </row>
    <row r="245" spans="1:16" ht="22.5">
      <c r="B245" s="226" t="s">
        <v>12</v>
      </c>
      <c r="C245" s="227"/>
      <c r="D245" s="227"/>
      <c r="E245" s="228"/>
      <c r="F245" s="64" t="s">
        <v>433</v>
      </c>
      <c r="G245" s="69"/>
      <c r="H245" s="52"/>
      <c r="I245" s="7">
        <f>SUM(I244:I244)</f>
        <v>4800</v>
      </c>
      <c r="J245" s="65">
        <f>SUM(J244:J244)</f>
        <v>8.16</v>
      </c>
      <c r="K245" s="52"/>
      <c r="L245" s="52"/>
      <c r="M245" s="52"/>
      <c r="N245" s="67"/>
      <c r="O245" s="67"/>
      <c r="P245" s="67"/>
    </row>
    <row r="246" spans="1:16" ht="42">
      <c r="B246" s="130" t="s">
        <v>430</v>
      </c>
      <c r="C246" s="130"/>
      <c r="D246" s="130" t="s">
        <v>53</v>
      </c>
      <c r="E246" s="131">
        <v>45667</v>
      </c>
      <c r="F246" s="132" t="s">
        <v>431</v>
      </c>
      <c r="G246" s="133" t="s">
        <v>54</v>
      </c>
      <c r="H246" s="130">
        <f>2*750</f>
        <v>1500</v>
      </c>
      <c r="I246" s="130">
        <f>24*200</f>
        <v>4800</v>
      </c>
      <c r="J246" s="134">
        <f>K246*L246*M246/1000000*200</f>
        <v>8.16</v>
      </c>
      <c r="K246" s="130">
        <v>40</v>
      </c>
      <c r="L246" s="130">
        <v>34</v>
      </c>
      <c r="M246" s="130">
        <v>30</v>
      </c>
      <c r="N246" s="82">
        <v>45673</v>
      </c>
      <c r="O246" s="82">
        <v>45715</v>
      </c>
      <c r="P246" s="81" t="s">
        <v>432</v>
      </c>
    </row>
    <row r="247" spans="1:16" ht="22.5">
      <c r="B247" s="226" t="s">
        <v>12</v>
      </c>
      <c r="C247" s="227"/>
      <c r="D247" s="227"/>
      <c r="E247" s="228"/>
      <c r="F247" s="135" t="s">
        <v>433</v>
      </c>
      <c r="G247" s="136"/>
      <c r="H247" s="137"/>
      <c r="I247" s="138">
        <f>SUM(I246:I246)</f>
        <v>4800</v>
      </c>
      <c r="J247" s="139">
        <f>SUM(J246:J246)</f>
        <v>8.16</v>
      </c>
      <c r="K247" s="137"/>
      <c r="L247" s="137"/>
      <c r="M247" s="137"/>
      <c r="N247" s="67"/>
      <c r="O247" s="67"/>
      <c r="P247" s="67"/>
    </row>
    <row r="248" spans="1:16" ht="42">
      <c r="B248" s="81" t="s">
        <v>430</v>
      </c>
      <c r="C248" s="81"/>
      <c r="D248" s="81" t="s">
        <v>53</v>
      </c>
      <c r="E248" s="83">
        <v>45667</v>
      </c>
      <c r="F248" s="3" t="s">
        <v>434</v>
      </c>
      <c r="G248" s="54" t="s">
        <v>54</v>
      </c>
      <c r="H248" s="81">
        <f>2*750</f>
        <v>1500</v>
      </c>
      <c r="I248" s="81">
        <f>24*150</f>
        <v>3600</v>
      </c>
      <c r="J248" s="10">
        <f>K248*L248*M248/1000000*150</f>
        <v>6.12</v>
      </c>
      <c r="K248" s="81">
        <v>40</v>
      </c>
      <c r="L248" s="81">
        <v>34</v>
      </c>
      <c r="M248" s="81">
        <v>30</v>
      </c>
      <c r="N248" s="82">
        <v>45673</v>
      </c>
      <c r="O248" s="82">
        <v>45715</v>
      </c>
      <c r="P248" s="81" t="s">
        <v>435</v>
      </c>
    </row>
    <row r="249" spans="1:16" ht="22.5">
      <c r="B249" s="226" t="s">
        <v>12</v>
      </c>
      <c r="C249" s="227"/>
      <c r="D249" s="227"/>
      <c r="E249" s="228"/>
      <c r="F249" s="64" t="s">
        <v>388</v>
      </c>
      <c r="G249" s="69"/>
      <c r="H249" s="52"/>
      <c r="I249" s="52">
        <f>SUM(I248:I248)</f>
        <v>3600</v>
      </c>
      <c r="J249" s="65">
        <f>SUM(J248:J248)</f>
        <v>6.12</v>
      </c>
      <c r="K249" s="52"/>
      <c r="L249" s="52"/>
      <c r="M249" s="52"/>
      <c r="N249" s="67"/>
      <c r="O249" s="67"/>
      <c r="P249" s="67"/>
    </row>
    <row r="250" spans="1:16" ht="42">
      <c r="B250" s="81" t="s">
        <v>430</v>
      </c>
      <c r="C250" s="81"/>
      <c r="D250" s="81" t="s">
        <v>53</v>
      </c>
      <c r="E250" s="83">
        <v>45667</v>
      </c>
      <c r="F250" s="3" t="s">
        <v>438</v>
      </c>
      <c r="G250" s="54" t="s">
        <v>54</v>
      </c>
      <c r="H250" s="81">
        <f>2*750</f>
        <v>1500</v>
      </c>
      <c r="I250" s="81">
        <f>24*200</f>
        <v>4800</v>
      </c>
      <c r="J250" s="10">
        <f>K250*L250*M250/1000000*200</f>
        <v>8.16</v>
      </c>
      <c r="K250" s="81">
        <v>40</v>
      </c>
      <c r="L250" s="81">
        <v>34</v>
      </c>
      <c r="M250" s="81">
        <v>30</v>
      </c>
      <c r="N250" s="82">
        <v>45675</v>
      </c>
      <c r="O250" s="82">
        <v>45716</v>
      </c>
      <c r="P250" s="81" t="s">
        <v>439</v>
      </c>
    </row>
    <row r="251" spans="1:16" ht="22.5">
      <c r="B251" s="226" t="s">
        <v>12</v>
      </c>
      <c r="C251" s="227"/>
      <c r="D251" s="227"/>
      <c r="E251" s="228"/>
      <c r="F251" s="64" t="s">
        <v>433</v>
      </c>
      <c r="G251" s="69"/>
      <c r="H251" s="52"/>
      <c r="I251" s="7">
        <f>SUM(I250:I250)</f>
        <v>4800</v>
      </c>
      <c r="J251" s="65">
        <f>SUM(J250:J250)</f>
        <v>8.16</v>
      </c>
      <c r="K251" s="52"/>
      <c r="L251" s="52"/>
      <c r="M251" s="52"/>
      <c r="N251" s="67"/>
      <c r="O251" s="67"/>
      <c r="P251" s="67"/>
    </row>
    <row r="252" spans="1:16" ht="21">
      <c r="A252" s="177"/>
      <c r="B252" s="179" t="s">
        <v>100</v>
      </c>
      <c r="C252" s="179">
        <v>1392620920</v>
      </c>
      <c r="D252" s="179" t="s">
        <v>20</v>
      </c>
      <c r="E252" s="196">
        <v>45667</v>
      </c>
      <c r="F252" s="3" t="s">
        <v>14</v>
      </c>
      <c r="G252" s="219" t="s">
        <v>68</v>
      </c>
      <c r="H252" s="81">
        <v>8</v>
      </c>
      <c r="I252" s="179">
        <v>357</v>
      </c>
      <c r="J252" s="10">
        <v>0.15443999999999999</v>
      </c>
      <c r="K252" s="81">
        <v>110</v>
      </c>
      <c r="L252" s="81">
        <v>27</v>
      </c>
      <c r="M252" s="81">
        <v>26</v>
      </c>
      <c r="N252" s="192">
        <v>45670</v>
      </c>
      <c r="O252" s="192">
        <v>45699</v>
      </c>
      <c r="P252" s="179" t="s">
        <v>136</v>
      </c>
    </row>
    <row r="253" spans="1:16" ht="21">
      <c r="A253" s="177"/>
      <c r="B253" s="180"/>
      <c r="C253" s="180"/>
      <c r="D253" s="180"/>
      <c r="E253" s="197"/>
      <c r="F253" s="3" t="s">
        <v>30</v>
      </c>
      <c r="G253" s="224"/>
      <c r="H253" s="81">
        <v>2</v>
      </c>
      <c r="I253" s="180"/>
      <c r="J253" s="10">
        <v>7.7219999999999997E-2</v>
      </c>
      <c r="K253" s="81">
        <v>110</v>
      </c>
      <c r="L253" s="81">
        <v>27</v>
      </c>
      <c r="M253" s="81">
        <v>26</v>
      </c>
      <c r="N253" s="180"/>
      <c r="O253" s="180"/>
      <c r="P253" s="180"/>
    </row>
    <row r="254" spans="1:16" ht="21">
      <c r="A254" s="177"/>
      <c r="B254" s="180"/>
      <c r="C254" s="180"/>
      <c r="D254" s="180"/>
      <c r="E254" s="197"/>
      <c r="F254" s="3" t="s">
        <v>25</v>
      </c>
      <c r="G254" s="225"/>
      <c r="H254" s="81">
        <v>4</v>
      </c>
      <c r="I254" s="180"/>
      <c r="J254" s="10">
        <v>0.12675</v>
      </c>
      <c r="K254" s="81">
        <v>130</v>
      </c>
      <c r="L254" s="81">
        <v>39</v>
      </c>
      <c r="M254" s="81">
        <v>25</v>
      </c>
      <c r="N254" s="180"/>
      <c r="O254" s="180"/>
      <c r="P254" s="180"/>
    </row>
    <row r="255" spans="1:16" ht="21">
      <c r="A255" s="177"/>
      <c r="B255" s="180"/>
      <c r="C255" s="180"/>
      <c r="D255" s="180"/>
      <c r="E255" s="197"/>
      <c r="F255" s="3" t="s">
        <v>61</v>
      </c>
      <c r="G255" s="219" t="s">
        <v>58</v>
      </c>
      <c r="H255" s="81">
        <v>20</v>
      </c>
      <c r="I255" s="180"/>
      <c r="J255" s="10">
        <v>0.31099199999999999</v>
      </c>
      <c r="K255" s="81">
        <v>93</v>
      </c>
      <c r="L255" s="81">
        <v>44</v>
      </c>
      <c r="M255" s="81">
        <v>38</v>
      </c>
      <c r="N255" s="180"/>
      <c r="O255" s="180"/>
      <c r="P255" s="180"/>
    </row>
    <row r="256" spans="1:16" ht="21">
      <c r="A256" s="177"/>
      <c r="B256" s="180"/>
      <c r="C256" s="180"/>
      <c r="D256" s="180"/>
      <c r="E256" s="197"/>
      <c r="F256" s="3" t="s">
        <v>31</v>
      </c>
      <c r="G256" s="224"/>
      <c r="H256" s="81">
        <v>10</v>
      </c>
      <c r="I256" s="180"/>
      <c r="J256" s="10">
        <v>0.13718</v>
      </c>
      <c r="K256" s="81">
        <v>95</v>
      </c>
      <c r="L256" s="81">
        <v>38</v>
      </c>
      <c r="M256" s="81">
        <v>38</v>
      </c>
      <c r="N256" s="180"/>
      <c r="O256" s="180"/>
      <c r="P256" s="180"/>
    </row>
    <row r="257" spans="1:16" ht="21">
      <c r="A257" s="177"/>
      <c r="B257" s="180"/>
      <c r="C257" s="180"/>
      <c r="D257" s="180"/>
      <c r="E257" s="197"/>
      <c r="F257" s="3" t="s">
        <v>26</v>
      </c>
      <c r="G257" s="224"/>
      <c r="H257" s="81">
        <v>10</v>
      </c>
      <c r="I257" s="180"/>
      <c r="J257" s="10">
        <v>0.13718</v>
      </c>
      <c r="K257" s="81">
        <v>95</v>
      </c>
      <c r="L257" s="81">
        <v>38</v>
      </c>
      <c r="M257" s="81">
        <v>38</v>
      </c>
      <c r="N257" s="180"/>
      <c r="O257" s="180"/>
      <c r="P257" s="180"/>
    </row>
    <row r="258" spans="1:16" ht="21">
      <c r="A258" s="177"/>
      <c r="B258" s="180"/>
      <c r="C258" s="180"/>
      <c r="D258" s="180"/>
      <c r="E258" s="197"/>
      <c r="F258" s="3" t="s">
        <v>22</v>
      </c>
      <c r="G258" s="224"/>
      <c r="H258" s="81">
        <v>20</v>
      </c>
      <c r="I258" s="180"/>
      <c r="J258" s="10">
        <v>0.13718</v>
      </c>
      <c r="K258" s="81">
        <v>95</v>
      </c>
      <c r="L258" s="81">
        <v>38</v>
      </c>
      <c r="M258" s="81">
        <v>38</v>
      </c>
      <c r="N258" s="180"/>
      <c r="O258" s="180"/>
      <c r="P258" s="180"/>
    </row>
    <row r="259" spans="1:16" ht="21">
      <c r="A259" s="177"/>
      <c r="B259" s="180"/>
      <c r="C259" s="180"/>
      <c r="D259" s="180"/>
      <c r="E259" s="197"/>
      <c r="F259" s="3" t="s">
        <v>101</v>
      </c>
      <c r="G259" s="224"/>
      <c r="H259" s="81">
        <v>50</v>
      </c>
      <c r="I259" s="180"/>
      <c r="J259" s="10">
        <v>0.68589999999999995</v>
      </c>
      <c r="K259" s="81">
        <v>95</v>
      </c>
      <c r="L259" s="81">
        <v>38</v>
      </c>
      <c r="M259" s="81">
        <v>38</v>
      </c>
      <c r="N259" s="180"/>
      <c r="O259" s="180"/>
      <c r="P259" s="180"/>
    </row>
    <row r="260" spans="1:16" ht="21">
      <c r="A260" s="177"/>
      <c r="B260" s="180"/>
      <c r="C260" s="180"/>
      <c r="D260" s="180"/>
      <c r="E260" s="197"/>
      <c r="F260" s="3" t="s">
        <v>27</v>
      </c>
      <c r="G260" s="225"/>
      <c r="H260" s="81">
        <v>10</v>
      </c>
      <c r="I260" s="180"/>
      <c r="J260" s="10">
        <v>6.93E-2</v>
      </c>
      <c r="K260" s="81">
        <v>50</v>
      </c>
      <c r="L260" s="81">
        <v>42</v>
      </c>
      <c r="M260" s="81">
        <v>33</v>
      </c>
      <c r="N260" s="180"/>
      <c r="O260" s="180"/>
      <c r="P260" s="180"/>
    </row>
    <row r="261" spans="1:16" ht="21">
      <c r="A261" s="177"/>
      <c r="B261" s="180"/>
      <c r="C261" s="180"/>
      <c r="D261" s="180"/>
      <c r="E261" s="197"/>
      <c r="F261" s="3" t="s">
        <v>28</v>
      </c>
      <c r="G261" s="81" t="s">
        <v>102</v>
      </c>
      <c r="H261" s="81">
        <v>85</v>
      </c>
      <c r="I261" s="180"/>
      <c r="J261" s="10">
        <v>3.0096000000000001E-2</v>
      </c>
      <c r="K261" s="81">
        <v>38</v>
      </c>
      <c r="L261" s="81">
        <v>33</v>
      </c>
      <c r="M261" s="81">
        <v>24</v>
      </c>
      <c r="N261" s="180"/>
      <c r="O261" s="180"/>
      <c r="P261" s="180"/>
    </row>
    <row r="262" spans="1:16" ht="21">
      <c r="A262" s="177"/>
      <c r="B262" s="180"/>
      <c r="C262" s="180"/>
      <c r="D262" s="180"/>
      <c r="E262" s="197"/>
      <c r="F262" s="3" t="s">
        <v>29</v>
      </c>
      <c r="G262" s="54" t="s">
        <v>69</v>
      </c>
      <c r="H262" s="81">
        <v>50</v>
      </c>
      <c r="I262" s="180"/>
      <c r="J262" s="10">
        <v>5.3921999999999998E-2</v>
      </c>
      <c r="K262" s="81">
        <v>43</v>
      </c>
      <c r="L262" s="81">
        <v>38</v>
      </c>
      <c r="M262" s="81">
        <v>33</v>
      </c>
      <c r="N262" s="180"/>
      <c r="O262" s="180"/>
      <c r="P262" s="180"/>
    </row>
    <row r="263" spans="1:16" ht="21">
      <c r="A263" s="177"/>
      <c r="B263" s="180"/>
      <c r="C263" s="180"/>
      <c r="D263" s="180"/>
      <c r="E263" s="197"/>
      <c r="F263" s="3" t="s">
        <v>57</v>
      </c>
      <c r="G263" s="54" t="s">
        <v>103</v>
      </c>
      <c r="H263" s="81">
        <v>14</v>
      </c>
      <c r="I263" s="180"/>
      <c r="J263" s="10">
        <v>0.16819999999999999</v>
      </c>
      <c r="K263" s="81">
        <v>145</v>
      </c>
      <c r="L263" s="81">
        <v>58</v>
      </c>
      <c r="M263" s="81">
        <v>20</v>
      </c>
      <c r="N263" s="180"/>
      <c r="O263" s="180"/>
      <c r="P263" s="180"/>
    </row>
    <row r="264" spans="1:16" ht="37.5">
      <c r="A264" s="177"/>
      <c r="B264" s="181"/>
      <c r="C264" s="181"/>
      <c r="D264" s="181"/>
      <c r="E264" s="198"/>
      <c r="F264" s="3" t="s">
        <v>87</v>
      </c>
      <c r="G264" s="54" t="s">
        <v>58</v>
      </c>
      <c r="H264" s="81">
        <v>10</v>
      </c>
      <c r="I264" s="181"/>
      <c r="J264" s="10">
        <v>0.35963200000000001</v>
      </c>
      <c r="K264" s="81">
        <v>91</v>
      </c>
      <c r="L264" s="81">
        <v>52</v>
      </c>
      <c r="M264" s="81">
        <v>38</v>
      </c>
      <c r="N264" s="181"/>
      <c r="O264" s="181"/>
      <c r="P264" s="181"/>
    </row>
    <row r="265" spans="1:16" ht="22.5">
      <c r="A265" s="177">
        <v>45702</v>
      </c>
      <c r="B265" s="178" t="s">
        <v>12</v>
      </c>
      <c r="C265" s="178"/>
      <c r="D265" s="178"/>
      <c r="E265" s="178"/>
      <c r="F265" s="64" t="s">
        <v>19</v>
      </c>
      <c r="G265" s="69"/>
      <c r="H265" s="52"/>
      <c r="I265" s="9">
        <v>357</v>
      </c>
      <c r="J265" s="65">
        <v>2.4479919999999997</v>
      </c>
      <c r="K265" s="52"/>
      <c r="L265" s="52"/>
      <c r="M265" s="52"/>
      <c r="N265" s="67"/>
      <c r="O265" s="67"/>
      <c r="P265" s="67"/>
    </row>
    <row r="266" spans="1:16" ht="42">
      <c r="A266" s="177"/>
      <c r="B266" s="81" t="s">
        <v>104</v>
      </c>
      <c r="C266" s="129" t="s">
        <v>105</v>
      </c>
      <c r="D266" s="81" t="s">
        <v>18</v>
      </c>
      <c r="E266" s="83">
        <v>45667</v>
      </c>
      <c r="F266" s="3" t="s">
        <v>16</v>
      </c>
      <c r="G266" s="54" t="s">
        <v>70</v>
      </c>
      <c r="H266" s="81"/>
      <c r="I266" s="81">
        <v>88</v>
      </c>
      <c r="J266" s="10">
        <v>0.107184</v>
      </c>
      <c r="K266" s="81">
        <v>44</v>
      </c>
      <c r="L266" s="81">
        <v>29</v>
      </c>
      <c r="M266" s="81">
        <v>21</v>
      </c>
      <c r="N266" s="82">
        <v>45670</v>
      </c>
      <c r="O266" s="82">
        <v>45699</v>
      </c>
      <c r="P266" s="81" t="s">
        <v>136</v>
      </c>
    </row>
    <row r="267" spans="1:16" ht="22.5">
      <c r="A267" s="177">
        <v>45702</v>
      </c>
      <c r="B267" s="178" t="s">
        <v>12</v>
      </c>
      <c r="C267" s="178"/>
      <c r="D267" s="178"/>
      <c r="E267" s="178"/>
      <c r="F267" s="64" t="s">
        <v>25</v>
      </c>
      <c r="G267" s="52"/>
      <c r="H267" s="52"/>
      <c r="I267" s="52">
        <v>88</v>
      </c>
      <c r="J267" s="65">
        <v>0.107184</v>
      </c>
      <c r="K267" s="52"/>
      <c r="L267" s="52"/>
      <c r="M267" s="52"/>
      <c r="N267" s="67" t="s">
        <v>210</v>
      </c>
      <c r="O267" s="67"/>
      <c r="P267" s="67"/>
    </row>
    <row r="268" spans="1:16" ht="37.5">
      <c r="A268" s="177"/>
      <c r="B268" s="81" t="s">
        <v>106</v>
      </c>
      <c r="C268" s="129" t="s">
        <v>107</v>
      </c>
      <c r="D268" s="81" t="s">
        <v>18</v>
      </c>
      <c r="E268" s="83">
        <v>45667</v>
      </c>
      <c r="F268" s="3" t="s">
        <v>16</v>
      </c>
      <c r="G268" s="54" t="s">
        <v>70</v>
      </c>
      <c r="H268" s="81">
        <v>1000</v>
      </c>
      <c r="I268" s="81">
        <v>52</v>
      </c>
      <c r="J268" s="10">
        <v>0.12474</v>
      </c>
      <c r="K268" s="81">
        <v>45</v>
      </c>
      <c r="L268" s="81">
        <v>33</v>
      </c>
      <c r="M268" s="81">
        <v>21</v>
      </c>
      <c r="N268" s="82">
        <v>45670</v>
      </c>
      <c r="O268" s="82">
        <v>45699</v>
      </c>
      <c r="P268" s="81" t="s">
        <v>136</v>
      </c>
    </row>
    <row r="269" spans="1:16" ht="22.5">
      <c r="A269" s="177">
        <v>45702</v>
      </c>
      <c r="B269" s="178" t="s">
        <v>12</v>
      </c>
      <c r="C269" s="178"/>
      <c r="D269" s="178"/>
      <c r="E269" s="178"/>
      <c r="F269" s="64" t="s">
        <v>25</v>
      </c>
      <c r="G269" s="52"/>
      <c r="H269" s="52"/>
      <c r="I269" s="52">
        <v>52</v>
      </c>
      <c r="J269" s="65">
        <v>0.12474</v>
      </c>
      <c r="K269" s="52"/>
      <c r="L269" s="52"/>
      <c r="M269" s="52"/>
      <c r="N269" s="67"/>
      <c r="O269" s="67"/>
      <c r="P269" s="67"/>
    </row>
    <row r="270" spans="1:16" ht="21">
      <c r="A270" s="177"/>
      <c r="B270" s="220" t="s">
        <v>108</v>
      </c>
      <c r="C270" s="189" t="s">
        <v>440</v>
      </c>
      <c r="D270" s="220" t="s">
        <v>109</v>
      </c>
      <c r="E270" s="221">
        <v>45668</v>
      </c>
      <c r="F270" s="62" t="s">
        <v>110</v>
      </c>
      <c r="G270" s="189" t="s">
        <v>111</v>
      </c>
      <c r="H270" s="60">
        <v>385</v>
      </c>
      <c r="I270" s="220">
        <v>1451</v>
      </c>
      <c r="J270" s="63">
        <v>3.5475000000000003</v>
      </c>
      <c r="K270" s="60">
        <v>86</v>
      </c>
      <c r="L270" s="60">
        <v>25</v>
      </c>
      <c r="M270" s="60">
        <v>30</v>
      </c>
      <c r="N270" s="200">
        <v>45671</v>
      </c>
      <c r="O270" s="200">
        <v>45714</v>
      </c>
      <c r="P270" s="220" t="s">
        <v>441</v>
      </c>
    </row>
    <row r="271" spans="1:16" ht="21">
      <c r="A271" s="177"/>
      <c r="B271" s="201"/>
      <c r="C271" s="190"/>
      <c r="D271" s="201"/>
      <c r="E271" s="222"/>
      <c r="F271" s="62" t="s">
        <v>112</v>
      </c>
      <c r="G271" s="191"/>
      <c r="H271" s="60">
        <v>36</v>
      </c>
      <c r="I271" s="201"/>
      <c r="J271" s="63">
        <v>0.29759999999999998</v>
      </c>
      <c r="K271" s="60">
        <v>62</v>
      </c>
      <c r="L271" s="60">
        <v>40</v>
      </c>
      <c r="M271" s="60">
        <v>20</v>
      </c>
      <c r="N271" s="201"/>
      <c r="O271" s="201"/>
      <c r="P271" s="201"/>
    </row>
    <row r="272" spans="1:16" ht="21">
      <c r="A272" s="177"/>
      <c r="B272" s="201"/>
      <c r="C272" s="190"/>
      <c r="D272" s="201"/>
      <c r="E272" s="222"/>
      <c r="F272" s="62" t="s">
        <v>113</v>
      </c>
      <c r="G272" s="53" t="s">
        <v>114</v>
      </c>
      <c r="H272" s="60">
        <v>26</v>
      </c>
      <c r="I272" s="201"/>
      <c r="J272" s="63">
        <v>9.2663999999999996E-2</v>
      </c>
      <c r="K272" s="60">
        <v>54</v>
      </c>
      <c r="L272" s="60">
        <v>52</v>
      </c>
      <c r="M272" s="60">
        <v>33</v>
      </c>
      <c r="N272" s="201"/>
      <c r="O272" s="201"/>
      <c r="P272" s="201"/>
    </row>
    <row r="273" spans="1:16" ht="21">
      <c r="A273" s="177"/>
      <c r="B273" s="201"/>
      <c r="C273" s="190"/>
      <c r="D273" s="201"/>
      <c r="E273" s="222"/>
      <c r="F273" s="62" t="s">
        <v>115</v>
      </c>
      <c r="G273" s="53" t="s">
        <v>116</v>
      </c>
      <c r="H273" s="60">
        <v>121</v>
      </c>
      <c r="I273" s="201"/>
      <c r="J273" s="63">
        <v>3.456E-2</v>
      </c>
      <c r="K273" s="60">
        <v>30</v>
      </c>
      <c r="L273" s="60">
        <v>48</v>
      </c>
      <c r="M273" s="60">
        <v>24</v>
      </c>
      <c r="N273" s="201"/>
      <c r="O273" s="201"/>
      <c r="P273" s="201"/>
    </row>
    <row r="274" spans="1:16" ht="37.5">
      <c r="A274" s="177"/>
      <c r="B274" s="201"/>
      <c r="C274" s="190"/>
      <c r="D274" s="201"/>
      <c r="E274" s="222"/>
      <c r="F274" s="62" t="s">
        <v>117</v>
      </c>
      <c r="G274" s="53" t="s">
        <v>111</v>
      </c>
      <c r="H274" s="60">
        <v>24</v>
      </c>
      <c r="I274" s="201"/>
      <c r="J274" s="63">
        <v>7.4880000000000002E-2</v>
      </c>
      <c r="K274" s="60">
        <v>32</v>
      </c>
      <c r="L274" s="60">
        <v>39</v>
      </c>
      <c r="M274" s="60">
        <v>15</v>
      </c>
      <c r="N274" s="201"/>
      <c r="O274" s="201"/>
      <c r="P274" s="201"/>
    </row>
    <row r="275" spans="1:16" ht="21">
      <c r="A275" s="177"/>
      <c r="B275" s="202"/>
      <c r="C275" s="191"/>
      <c r="D275" s="202"/>
      <c r="E275" s="223"/>
      <c r="F275" s="62" t="s">
        <v>118</v>
      </c>
      <c r="G275" s="53" t="s">
        <v>114</v>
      </c>
      <c r="H275" s="60">
        <v>150</v>
      </c>
      <c r="I275" s="202"/>
      <c r="J275" s="63">
        <v>1.512</v>
      </c>
      <c r="K275" s="60">
        <v>56</v>
      </c>
      <c r="L275" s="60">
        <v>36</v>
      </c>
      <c r="M275" s="60">
        <v>30</v>
      </c>
      <c r="N275" s="202"/>
      <c r="O275" s="202"/>
      <c r="P275" s="202"/>
    </row>
    <row r="276" spans="1:16" ht="22.5">
      <c r="A276" s="177">
        <v>45698</v>
      </c>
      <c r="B276" s="178" t="s">
        <v>12</v>
      </c>
      <c r="C276" s="178"/>
      <c r="D276" s="178"/>
      <c r="E276" s="178"/>
      <c r="F276" s="64" t="s">
        <v>119</v>
      </c>
      <c r="G276" s="52"/>
      <c r="H276" s="52"/>
      <c r="I276" s="9">
        <v>1451</v>
      </c>
      <c r="J276" s="65">
        <v>5.5592040000000011</v>
      </c>
      <c r="K276" s="52"/>
      <c r="L276" s="52"/>
      <c r="M276" s="52"/>
      <c r="N276" s="128"/>
      <c r="O276" s="128"/>
      <c r="P276" s="55"/>
    </row>
    <row r="277" spans="1:16" ht="21">
      <c r="A277" s="177"/>
      <c r="B277" s="220" t="s">
        <v>120</v>
      </c>
      <c r="C277" s="189" t="s">
        <v>442</v>
      </c>
      <c r="D277" s="220" t="s">
        <v>62</v>
      </c>
      <c r="E277" s="221">
        <v>45668</v>
      </c>
      <c r="F277" s="62" t="s">
        <v>60</v>
      </c>
      <c r="G277" s="189" t="s">
        <v>77</v>
      </c>
      <c r="H277" s="60">
        <v>300</v>
      </c>
      <c r="I277" s="220">
        <v>680</v>
      </c>
      <c r="J277" s="63">
        <v>0.23760000000000003</v>
      </c>
      <c r="K277" s="60">
        <v>50</v>
      </c>
      <c r="L277" s="60">
        <v>33</v>
      </c>
      <c r="M277" s="60">
        <v>24</v>
      </c>
      <c r="N277" s="200">
        <v>45671</v>
      </c>
      <c r="O277" s="200">
        <v>45714</v>
      </c>
      <c r="P277" s="220" t="s">
        <v>137</v>
      </c>
    </row>
    <row r="278" spans="1:16" ht="21">
      <c r="A278" s="177"/>
      <c r="B278" s="201"/>
      <c r="C278" s="190"/>
      <c r="D278" s="201"/>
      <c r="E278" s="222"/>
      <c r="F278" s="62" t="s">
        <v>65</v>
      </c>
      <c r="G278" s="201"/>
      <c r="H278" s="60">
        <v>80</v>
      </c>
      <c r="I278" s="201"/>
      <c r="J278" s="63">
        <v>0.189</v>
      </c>
      <c r="K278" s="60">
        <v>70</v>
      </c>
      <c r="L278" s="60">
        <v>45</v>
      </c>
      <c r="M278" s="60">
        <v>30</v>
      </c>
      <c r="N278" s="201"/>
      <c r="O278" s="201"/>
      <c r="P278" s="201"/>
    </row>
    <row r="279" spans="1:16" ht="21">
      <c r="A279" s="177"/>
      <c r="B279" s="202"/>
      <c r="C279" s="191"/>
      <c r="D279" s="202"/>
      <c r="E279" s="223"/>
      <c r="F279" s="62" t="s">
        <v>121</v>
      </c>
      <c r="G279" s="202"/>
      <c r="H279" s="60">
        <v>5100</v>
      </c>
      <c r="I279" s="202"/>
      <c r="J279" s="63">
        <v>2.7820800000000001</v>
      </c>
      <c r="K279" s="60">
        <v>46</v>
      </c>
      <c r="L279" s="60">
        <v>40</v>
      </c>
      <c r="M279" s="60">
        <v>28</v>
      </c>
      <c r="N279" s="202"/>
      <c r="O279" s="202"/>
      <c r="P279" s="202"/>
    </row>
    <row r="280" spans="1:16" ht="22.5">
      <c r="A280" s="177">
        <v>45694</v>
      </c>
      <c r="B280" s="178" t="s">
        <v>12</v>
      </c>
      <c r="C280" s="178"/>
      <c r="D280" s="178"/>
      <c r="E280" s="178"/>
      <c r="F280" s="64" t="s">
        <v>113</v>
      </c>
      <c r="G280" s="52"/>
      <c r="H280" s="52"/>
      <c r="I280" s="52">
        <v>680</v>
      </c>
      <c r="J280" s="65">
        <v>3.2086800000000002</v>
      </c>
      <c r="K280" s="52"/>
      <c r="L280" s="52"/>
      <c r="M280" s="52"/>
      <c r="N280" s="55"/>
      <c r="O280" s="55"/>
      <c r="P280" s="55"/>
    </row>
    <row r="281" spans="1:16" ht="42">
      <c r="A281" s="177"/>
      <c r="B281" s="81" t="s">
        <v>122</v>
      </c>
      <c r="C281" s="81" t="s">
        <v>123</v>
      </c>
      <c r="D281" s="81" t="s">
        <v>18</v>
      </c>
      <c r="E281" s="83">
        <v>45668</v>
      </c>
      <c r="F281" s="3" t="s">
        <v>55</v>
      </c>
      <c r="G281" s="54" t="s">
        <v>124</v>
      </c>
      <c r="H281" s="81"/>
      <c r="I281" s="81">
        <v>162</v>
      </c>
      <c r="J281" s="10">
        <v>0.26928000000000002</v>
      </c>
      <c r="K281" s="81">
        <v>51</v>
      </c>
      <c r="L281" s="81">
        <v>22</v>
      </c>
      <c r="M281" s="81">
        <v>20</v>
      </c>
      <c r="N281" s="82">
        <v>45671</v>
      </c>
      <c r="O281" s="82">
        <v>45714</v>
      </c>
      <c r="P281" s="81" t="s">
        <v>137</v>
      </c>
    </row>
    <row r="282" spans="1:16" ht="22.5">
      <c r="A282" s="177">
        <v>45694</v>
      </c>
      <c r="B282" s="178" t="s">
        <v>12</v>
      </c>
      <c r="C282" s="178"/>
      <c r="D282" s="178"/>
      <c r="E282" s="178"/>
      <c r="F282" s="64" t="s">
        <v>23</v>
      </c>
      <c r="G282" s="8"/>
      <c r="H282" s="52"/>
      <c r="I282" s="7">
        <v>162</v>
      </c>
      <c r="J282" s="65">
        <v>0.26928000000000002</v>
      </c>
      <c r="K282" s="52"/>
      <c r="L282" s="52"/>
      <c r="M282" s="52"/>
      <c r="N282" s="67"/>
      <c r="O282" s="67"/>
      <c r="P282" s="67"/>
    </row>
    <row r="283" spans="1:16" ht="21">
      <c r="A283" s="177"/>
      <c r="B283" s="81" t="s">
        <v>125</v>
      </c>
      <c r="C283" s="129" t="s">
        <v>126</v>
      </c>
      <c r="D283" s="81" t="s">
        <v>18</v>
      </c>
      <c r="E283" s="83">
        <v>45668</v>
      </c>
      <c r="F283" s="3" t="s">
        <v>21</v>
      </c>
      <c r="G283" s="54" t="s">
        <v>443</v>
      </c>
      <c r="H283" s="81"/>
      <c r="I283" s="81">
        <v>19</v>
      </c>
      <c r="J283" s="10">
        <v>2.8559999999999999E-2</v>
      </c>
      <c r="K283" s="81">
        <v>35</v>
      </c>
      <c r="L283" s="81">
        <v>24</v>
      </c>
      <c r="M283" s="81">
        <v>34</v>
      </c>
      <c r="N283" s="82">
        <v>45672</v>
      </c>
      <c r="O283" s="82">
        <v>45700</v>
      </c>
      <c r="P283" s="81" t="s">
        <v>532</v>
      </c>
    </row>
    <row r="284" spans="1:16" ht="22.5">
      <c r="A284" s="177">
        <v>45706</v>
      </c>
      <c r="B284" s="178" t="s">
        <v>12</v>
      </c>
      <c r="C284" s="178"/>
      <c r="D284" s="178"/>
      <c r="E284" s="178"/>
      <c r="F284" s="64" t="s">
        <v>21</v>
      </c>
      <c r="G284" s="52"/>
      <c r="H284" s="52"/>
      <c r="I284" s="52">
        <v>19</v>
      </c>
      <c r="J284" s="65">
        <v>2.8559999999999999E-2</v>
      </c>
      <c r="K284" s="52"/>
      <c r="L284" s="52"/>
      <c r="M284" s="52"/>
      <c r="N284" s="67"/>
      <c r="O284" s="67"/>
      <c r="P284" s="67"/>
    </row>
    <row r="285" spans="1:16" ht="42">
      <c r="B285" s="90" t="s">
        <v>127</v>
      </c>
      <c r="C285" s="165" t="s">
        <v>533</v>
      </c>
      <c r="D285" s="90" t="s">
        <v>74</v>
      </c>
      <c r="E285" s="91">
        <v>45670</v>
      </c>
      <c r="F285" s="157" t="s">
        <v>21</v>
      </c>
      <c r="G285" s="166" t="s">
        <v>534</v>
      </c>
      <c r="H285" s="90">
        <f>11+10</f>
        <v>21</v>
      </c>
      <c r="I285" s="90">
        <v>500</v>
      </c>
      <c r="J285" s="158">
        <f>K285*L285*M285/1000000</f>
        <v>1.4069119999999999</v>
      </c>
      <c r="K285" s="90">
        <v>104</v>
      </c>
      <c r="L285" s="90">
        <v>89</v>
      </c>
      <c r="M285" s="90">
        <v>152</v>
      </c>
      <c r="N285" s="82">
        <v>45677</v>
      </c>
      <c r="O285" s="82">
        <v>45720</v>
      </c>
      <c r="P285" s="81" t="s">
        <v>535</v>
      </c>
    </row>
    <row r="286" spans="1:16" ht="22.5">
      <c r="B286" s="178" t="s">
        <v>12</v>
      </c>
      <c r="C286" s="178"/>
      <c r="D286" s="178"/>
      <c r="E286" s="178"/>
      <c r="F286" s="64" t="s">
        <v>21</v>
      </c>
      <c r="G286" s="52"/>
      <c r="H286" s="52"/>
      <c r="I286" s="52">
        <f>SUM(I285:I285)</f>
        <v>500</v>
      </c>
      <c r="J286" s="65">
        <f>SUM(J285:J285)</f>
        <v>1.4069119999999999</v>
      </c>
      <c r="K286" s="52"/>
      <c r="L286" s="52"/>
      <c r="M286" s="52"/>
      <c r="N286" s="67"/>
      <c r="O286" s="67"/>
      <c r="P286" s="67"/>
    </row>
    <row r="287" spans="1:16" ht="37.5">
      <c r="B287" s="60" t="s">
        <v>128</v>
      </c>
      <c r="C287" s="53" t="s">
        <v>129</v>
      </c>
      <c r="D287" s="60" t="s">
        <v>75</v>
      </c>
      <c r="E287" s="107">
        <v>45671</v>
      </c>
      <c r="F287" s="62" t="s">
        <v>130</v>
      </c>
      <c r="G287" s="53" t="s">
        <v>76</v>
      </c>
      <c r="H287" s="60">
        <v>12585</v>
      </c>
      <c r="I287" s="60">
        <v>1050</v>
      </c>
      <c r="J287" s="63">
        <v>3.2826749999999998</v>
      </c>
      <c r="K287" s="60">
        <v>33</v>
      </c>
      <c r="L287" s="60">
        <v>25</v>
      </c>
      <c r="M287" s="60">
        <v>173</v>
      </c>
      <c r="N287" s="60" t="s">
        <v>82</v>
      </c>
      <c r="O287" s="60" t="s">
        <v>82</v>
      </c>
      <c r="P287" s="60"/>
    </row>
    <row r="288" spans="1:16" ht="22.5">
      <c r="B288" s="178" t="s">
        <v>12</v>
      </c>
      <c r="C288" s="178"/>
      <c r="D288" s="178"/>
      <c r="E288" s="178"/>
      <c r="F288" s="64" t="s">
        <v>56</v>
      </c>
      <c r="G288" s="7"/>
      <c r="H288" s="52"/>
      <c r="I288" s="7">
        <v>1050</v>
      </c>
      <c r="J288" s="65">
        <v>3.2826749999999998</v>
      </c>
      <c r="K288" s="52"/>
      <c r="L288" s="52"/>
      <c r="M288" s="52"/>
      <c r="N288" s="55"/>
      <c r="O288" s="55"/>
      <c r="P288" s="55"/>
    </row>
    <row r="289" spans="2:16" ht="42">
      <c r="B289" s="179" t="s">
        <v>131</v>
      </c>
      <c r="C289" s="81"/>
      <c r="D289" s="179" t="s">
        <v>53</v>
      </c>
      <c r="E289" s="196">
        <v>45671</v>
      </c>
      <c r="F289" s="3" t="s">
        <v>132</v>
      </c>
      <c r="G289" s="167" t="s">
        <v>54</v>
      </c>
      <c r="H289" s="90">
        <f>2*185</f>
        <v>370</v>
      </c>
      <c r="I289" s="90">
        <f>24*186</f>
        <v>4464</v>
      </c>
      <c r="J289" s="158">
        <f>K289*L289*M289/1000000*185</f>
        <v>7.5480000000000009</v>
      </c>
      <c r="K289" s="90">
        <v>34</v>
      </c>
      <c r="L289" s="90">
        <v>40</v>
      </c>
      <c r="M289" s="90">
        <v>30</v>
      </c>
      <c r="N289" s="82">
        <v>45680</v>
      </c>
      <c r="O289" s="82">
        <v>45716</v>
      </c>
      <c r="P289" s="81" t="s">
        <v>536</v>
      </c>
    </row>
    <row r="290" spans="2:16" ht="21">
      <c r="B290" s="181"/>
      <c r="C290" s="81"/>
      <c r="D290" s="181"/>
      <c r="E290" s="198"/>
      <c r="F290" s="3" t="s">
        <v>133</v>
      </c>
      <c r="G290" s="166" t="s">
        <v>537</v>
      </c>
      <c r="H290" s="90">
        <v>12</v>
      </c>
      <c r="I290" s="90">
        <v>400</v>
      </c>
      <c r="J290" s="158">
        <f>K290*L290*M290/1000000</f>
        <v>0.67200000000000004</v>
      </c>
      <c r="K290" s="90">
        <v>64</v>
      </c>
      <c r="L290" s="90">
        <v>105</v>
      </c>
      <c r="M290" s="90">
        <v>100</v>
      </c>
      <c r="N290" s="81"/>
      <c r="O290" s="81"/>
      <c r="P290" s="81"/>
    </row>
    <row r="291" spans="2:16" ht="22.5">
      <c r="B291" s="178" t="s">
        <v>12</v>
      </c>
      <c r="C291" s="178"/>
      <c r="D291" s="178"/>
      <c r="E291" s="178"/>
      <c r="F291" s="64" t="s">
        <v>133</v>
      </c>
      <c r="G291" s="52"/>
      <c r="H291" s="52"/>
      <c r="I291" s="52">
        <f>SUM(I289:I290)</f>
        <v>4864</v>
      </c>
      <c r="J291" s="65">
        <f>SUM(J289:J290)</f>
        <v>8.2200000000000006</v>
      </c>
      <c r="K291" s="52"/>
      <c r="L291" s="52"/>
      <c r="M291" s="52"/>
      <c r="N291" s="67"/>
      <c r="O291" s="67"/>
      <c r="P291" s="67"/>
    </row>
    <row r="292" spans="2:16" ht="21">
      <c r="B292" s="220" t="s">
        <v>134</v>
      </c>
      <c r="C292" s="220">
        <v>13924006350</v>
      </c>
      <c r="D292" s="220" t="s">
        <v>64</v>
      </c>
      <c r="E292" s="221">
        <v>45672</v>
      </c>
      <c r="F292" s="62" t="s">
        <v>14</v>
      </c>
      <c r="G292" s="189" t="s">
        <v>135</v>
      </c>
      <c r="H292" s="60">
        <v>2</v>
      </c>
      <c r="I292" s="220">
        <v>1478</v>
      </c>
      <c r="J292" s="63">
        <f>K292*L292*M292/1000000*2</f>
        <v>0.32198399999999999</v>
      </c>
      <c r="K292" s="60">
        <v>78</v>
      </c>
      <c r="L292" s="60">
        <v>48</v>
      </c>
      <c r="M292" s="60">
        <v>43</v>
      </c>
      <c r="N292" s="200">
        <v>45675</v>
      </c>
      <c r="O292" s="200">
        <v>45703</v>
      </c>
      <c r="P292" s="189" t="s">
        <v>538</v>
      </c>
    </row>
    <row r="293" spans="2:16" ht="21">
      <c r="B293" s="201"/>
      <c r="C293" s="201"/>
      <c r="D293" s="201"/>
      <c r="E293" s="222"/>
      <c r="F293" s="62" t="s">
        <v>30</v>
      </c>
      <c r="G293" s="190"/>
      <c r="H293" s="60">
        <v>1</v>
      </c>
      <c r="I293" s="201"/>
      <c r="J293" s="63">
        <f t="shared" ref="J293:J299" si="1">K293*L293*M293/1000000</f>
        <v>2.494008</v>
      </c>
      <c r="K293" s="60">
        <v>99</v>
      </c>
      <c r="L293" s="60">
        <v>134</v>
      </c>
      <c r="M293" s="60">
        <v>188</v>
      </c>
      <c r="N293" s="201"/>
      <c r="O293" s="201"/>
      <c r="P293" s="190"/>
    </row>
    <row r="294" spans="2:16" ht="21">
      <c r="B294" s="201"/>
      <c r="C294" s="201"/>
      <c r="D294" s="201"/>
      <c r="E294" s="222"/>
      <c r="F294" s="62" t="s">
        <v>25</v>
      </c>
      <c r="G294" s="190"/>
      <c r="H294" s="60">
        <v>1</v>
      </c>
      <c r="I294" s="201"/>
      <c r="J294" s="63">
        <f t="shared" si="1"/>
        <v>2.4490620000000001</v>
      </c>
      <c r="K294" s="60">
        <v>186</v>
      </c>
      <c r="L294" s="60">
        <v>99</v>
      </c>
      <c r="M294" s="60">
        <v>133</v>
      </c>
      <c r="N294" s="201"/>
      <c r="O294" s="201"/>
      <c r="P294" s="190"/>
    </row>
    <row r="295" spans="2:16" ht="21">
      <c r="B295" s="201"/>
      <c r="C295" s="201"/>
      <c r="D295" s="201"/>
      <c r="E295" s="222"/>
      <c r="F295" s="62" t="s">
        <v>13</v>
      </c>
      <c r="G295" s="190"/>
      <c r="H295" s="60">
        <v>1</v>
      </c>
      <c r="I295" s="201"/>
      <c r="J295" s="63">
        <f t="shared" si="1"/>
        <v>0.10374</v>
      </c>
      <c r="K295" s="60">
        <v>76</v>
      </c>
      <c r="L295" s="60">
        <v>91</v>
      </c>
      <c r="M295" s="60">
        <v>15</v>
      </c>
      <c r="N295" s="201"/>
      <c r="O295" s="201"/>
      <c r="P295" s="190"/>
    </row>
    <row r="296" spans="2:16" ht="21">
      <c r="B296" s="201"/>
      <c r="C296" s="201"/>
      <c r="D296" s="201"/>
      <c r="E296" s="222"/>
      <c r="F296" s="62" t="s">
        <v>17</v>
      </c>
      <c r="G296" s="190"/>
      <c r="H296" s="60">
        <v>1</v>
      </c>
      <c r="I296" s="201"/>
      <c r="J296" s="63">
        <f t="shared" si="1"/>
        <v>1.81044</v>
      </c>
      <c r="K296" s="60">
        <v>90</v>
      </c>
      <c r="L296" s="60">
        <v>107</v>
      </c>
      <c r="M296" s="60">
        <v>188</v>
      </c>
      <c r="N296" s="201"/>
      <c r="O296" s="201"/>
      <c r="P296" s="190"/>
    </row>
    <row r="297" spans="2:16" ht="21">
      <c r="B297" s="201"/>
      <c r="C297" s="201"/>
      <c r="D297" s="201"/>
      <c r="E297" s="222"/>
      <c r="F297" s="62" t="s">
        <v>31</v>
      </c>
      <c r="G297" s="190"/>
      <c r="H297" s="60">
        <v>1</v>
      </c>
      <c r="I297" s="201"/>
      <c r="J297" s="63">
        <f t="shared" si="1"/>
        <v>1.7482500000000001</v>
      </c>
      <c r="K297" s="60">
        <v>90</v>
      </c>
      <c r="L297" s="60">
        <v>111</v>
      </c>
      <c r="M297" s="60">
        <v>175</v>
      </c>
      <c r="N297" s="201"/>
      <c r="O297" s="201"/>
      <c r="P297" s="190"/>
    </row>
    <row r="298" spans="2:16" ht="21">
      <c r="B298" s="201"/>
      <c r="C298" s="201"/>
      <c r="D298" s="201"/>
      <c r="E298" s="222"/>
      <c r="F298" s="62" t="s">
        <v>26</v>
      </c>
      <c r="G298" s="190"/>
      <c r="H298" s="60">
        <v>1</v>
      </c>
      <c r="I298" s="201"/>
      <c r="J298" s="63">
        <f t="shared" si="1"/>
        <v>1.2261599999999999</v>
      </c>
      <c r="K298" s="60">
        <v>80</v>
      </c>
      <c r="L298" s="60">
        <v>131</v>
      </c>
      <c r="M298" s="60">
        <v>117</v>
      </c>
      <c r="N298" s="201"/>
      <c r="O298" s="201"/>
      <c r="P298" s="190"/>
    </row>
    <row r="299" spans="2:16" ht="21">
      <c r="B299" s="202"/>
      <c r="C299" s="202"/>
      <c r="D299" s="202"/>
      <c r="E299" s="223"/>
      <c r="F299" s="62" t="s">
        <v>22</v>
      </c>
      <c r="G299" s="191"/>
      <c r="H299" s="60">
        <v>1</v>
      </c>
      <c r="I299" s="202"/>
      <c r="J299" s="63">
        <f t="shared" si="1"/>
        <v>2.0717599999999998</v>
      </c>
      <c r="K299" s="60">
        <v>116</v>
      </c>
      <c r="L299" s="60">
        <v>95</v>
      </c>
      <c r="M299" s="60">
        <v>188</v>
      </c>
      <c r="N299" s="202"/>
      <c r="O299" s="202"/>
      <c r="P299" s="191"/>
    </row>
    <row r="300" spans="2:16" ht="22.5">
      <c r="B300" s="178" t="s">
        <v>12</v>
      </c>
      <c r="C300" s="178"/>
      <c r="D300" s="178"/>
      <c r="E300" s="178"/>
      <c r="F300" s="64" t="s">
        <v>22</v>
      </c>
      <c r="G300" s="69"/>
      <c r="H300" s="52"/>
      <c r="I300" s="52">
        <f>SUM(I292:I299)</f>
        <v>1478</v>
      </c>
      <c r="J300" s="65">
        <f>SUM(J292:J299)</f>
        <v>12.225403999999999</v>
      </c>
      <c r="K300" s="52"/>
      <c r="L300" s="52"/>
      <c r="M300" s="52"/>
      <c r="N300" s="128"/>
      <c r="O300" s="128"/>
      <c r="P300" s="128"/>
    </row>
    <row r="301" spans="2:16" ht="37.5">
      <c r="B301" s="110" t="s">
        <v>178</v>
      </c>
      <c r="C301" s="81" t="s">
        <v>179</v>
      </c>
      <c r="D301" s="81" t="s">
        <v>180</v>
      </c>
      <c r="E301" s="83">
        <v>45674</v>
      </c>
      <c r="F301" s="3" t="s">
        <v>21</v>
      </c>
      <c r="G301" s="54" t="s">
        <v>181</v>
      </c>
      <c r="H301" s="81">
        <v>6</v>
      </c>
      <c r="I301" s="81">
        <v>760</v>
      </c>
      <c r="J301" s="10">
        <v>0.31750400000000001</v>
      </c>
      <c r="K301" s="81">
        <v>88</v>
      </c>
      <c r="L301" s="81">
        <v>88</v>
      </c>
      <c r="M301" s="81">
        <v>41</v>
      </c>
      <c r="N301" s="82">
        <v>45681</v>
      </c>
      <c r="O301" s="82">
        <v>45714</v>
      </c>
      <c r="P301" s="81" t="s">
        <v>539</v>
      </c>
    </row>
    <row r="302" spans="2:16" ht="22.5">
      <c r="B302" s="178" t="s">
        <v>12</v>
      </c>
      <c r="C302" s="178"/>
      <c r="D302" s="178"/>
      <c r="E302" s="178"/>
      <c r="F302" s="64" t="s">
        <v>21</v>
      </c>
      <c r="G302" s="8"/>
      <c r="H302" s="52"/>
      <c r="I302" s="7">
        <v>760</v>
      </c>
      <c r="J302" s="65">
        <v>0.31750400000000001</v>
      </c>
      <c r="K302" s="52"/>
      <c r="L302" s="52"/>
      <c r="M302" s="52"/>
      <c r="N302" s="67"/>
      <c r="O302" s="67"/>
      <c r="P302" s="67"/>
    </row>
    <row r="303" spans="2:16" ht="21">
      <c r="B303" s="179" t="s">
        <v>182</v>
      </c>
      <c r="C303" s="199" t="s">
        <v>183</v>
      </c>
      <c r="D303" s="179" t="s">
        <v>184</v>
      </c>
      <c r="E303" s="196">
        <v>45674</v>
      </c>
      <c r="F303" s="3" t="s">
        <v>21</v>
      </c>
      <c r="G303" s="219" t="s">
        <v>185</v>
      </c>
      <c r="H303" s="81"/>
      <c r="I303" s="179">
        <v>80</v>
      </c>
      <c r="J303" s="10">
        <v>0.12953200000000001</v>
      </c>
      <c r="K303" s="81">
        <v>53</v>
      </c>
      <c r="L303" s="81">
        <v>52</v>
      </c>
      <c r="M303" s="81">
        <v>47</v>
      </c>
      <c r="N303" s="81"/>
      <c r="O303" s="81"/>
      <c r="P303" s="81"/>
    </row>
    <row r="304" spans="2:16" ht="21">
      <c r="B304" s="180"/>
      <c r="C304" s="180"/>
      <c r="D304" s="180"/>
      <c r="E304" s="197"/>
      <c r="F304" s="3" t="s">
        <v>15</v>
      </c>
      <c r="G304" s="180"/>
      <c r="H304" s="81"/>
      <c r="I304" s="180"/>
      <c r="J304" s="10">
        <v>9.3149999999999997E-2</v>
      </c>
      <c r="K304" s="81">
        <v>45</v>
      </c>
      <c r="L304" s="81">
        <v>46</v>
      </c>
      <c r="M304" s="81">
        <v>45</v>
      </c>
      <c r="N304" s="81"/>
      <c r="O304" s="81"/>
      <c r="P304" s="81"/>
    </row>
    <row r="305" spans="1:16" ht="21">
      <c r="B305" s="180"/>
      <c r="C305" s="180"/>
      <c r="D305" s="180"/>
      <c r="E305" s="197"/>
      <c r="F305" s="3" t="s">
        <v>30</v>
      </c>
      <c r="G305" s="180"/>
      <c r="H305" s="81"/>
      <c r="I305" s="180"/>
      <c r="J305" s="10">
        <v>9.2663999999999996E-2</v>
      </c>
      <c r="K305" s="81">
        <v>54</v>
      </c>
      <c r="L305" s="81">
        <v>39</v>
      </c>
      <c r="M305" s="81">
        <v>44</v>
      </c>
      <c r="N305" s="81"/>
      <c r="O305" s="81"/>
      <c r="P305" s="81"/>
    </row>
    <row r="306" spans="1:16" ht="21">
      <c r="B306" s="180"/>
      <c r="C306" s="180"/>
      <c r="D306" s="180"/>
      <c r="E306" s="197"/>
      <c r="F306" s="3" t="s">
        <v>25</v>
      </c>
      <c r="G306" s="180"/>
      <c r="H306" s="81"/>
      <c r="I306" s="180"/>
      <c r="J306" s="10">
        <v>9.2663999999999996E-2</v>
      </c>
      <c r="K306" s="81">
        <v>54</v>
      </c>
      <c r="L306" s="81">
        <v>39</v>
      </c>
      <c r="M306" s="81">
        <v>44</v>
      </c>
      <c r="N306" s="81"/>
      <c r="O306" s="81"/>
      <c r="P306" s="81"/>
    </row>
    <row r="307" spans="1:16" ht="21">
      <c r="B307" s="181"/>
      <c r="C307" s="181"/>
      <c r="D307" s="181"/>
      <c r="E307" s="198"/>
      <c r="F307" s="3" t="s">
        <v>13</v>
      </c>
      <c r="G307" s="181"/>
      <c r="H307" s="81"/>
      <c r="I307" s="181"/>
      <c r="J307" s="10">
        <v>2.4570000000000002E-2</v>
      </c>
      <c r="K307" s="81">
        <v>39</v>
      </c>
      <c r="L307" s="81">
        <v>30</v>
      </c>
      <c r="M307" s="81">
        <v>21</v>
      </c>
      <c r="N307" s="81"/>
      <c r="O307" s="81"/>
      <c r="P307" s="81"/>
    </row>
    <row r="308" spans="1:16" ht="22.5">
      <c r="B308" s="178" t="s">
        <v>12</v>
      </c>
      <c r="C308" s="178"/>
      <c r="D308" s="178"/>
      <c r="E308" s="178"/>
      <c r="F308" s="64" t="s">
        <v>13</v>
      </c>
      <c r="G308" s="9"/>
      <c r="H308" s="52"/>
      <c r="I308" s="9">
        <v>80</v>
      </c>
      <c r="J308" s="65">
        <v>0.43257999999999996</v>
      </c>
      <c r="K308" s="52"/>
      <c r="L308" s="52"/>
      <c r="M308" s="52"/>
      <c r="N308" s="67"/>
      <c r="O308" s="67"/>
      <c r="P308" s="67"/>
    </row>
    <row r="309" spans="1:16" ht="75">
      <c r="B309" s="60" t="s">
        <v>186</v>
      </c>
      <c r="C309" s="112" t="s">
        <v>187</v>
      </c>
      <c r="D309" s="60" t="s">
        <v>188</v>
      </c>
      <c r="E309" s="107">
        <v>45675</v>
      </c>
      <c r="F309" s="62" t="s">
        <v>21</v>
      </c>
      <c r="G309" s="53" t="s">
        <v>189</v>
      </c>
      <c r="H309" s="60">
        <v>1</v>
      </c>
      <c r="I309" s="60">
        <v>150</v>
      </c>
      <c r="J309" s="63">
        <f>K309*L309*M309/1000000</f>
        <v>1.1894400000000001</v>
      </c>
      <c r="K309" s="60">
        <v>72</v>
      </c>
      <c r="L309" s="60">
        <v>118</v>
      </c>
      <c r="M309" s="60">
        <v>140</v>
      </c>
      <c r="N309" s="168">
        <v>45678</v>
      </c>
      <c r="O309" s="168">
        <v>45716</v>
      </c>
      <c r="P309" s="60" t="s">
        <v>540</v>
      </c>
    </row>
    <row r="310" spans="1:16" ht="22.5">
      <c r="B310" s="226" t="s">
        <v>12</v>
      </c>
      <c r="C310" s="227"/>
      <c r="D310" s="227"/>
      <c r="E310" s="228"/>
      <c r="F310" s="64" t="s">
        <v>21</v>
      </c>
      <c r="G310" s="52"/>
      <c r="H310" s="52"/>
      <c r="I310" s="52">
        <f>SUM(I309:I309)</f>
        <v>150</v>
      </c>
      <c r="J310" s="65">
        <f>SUM(J309:J309)</f>
        <v>1.1894400000000001</v>
      </c>
      <c r="K310" s="52"/>
      <c r="L310" s="52"/>
      <c r="M310" s="52"/>
      <c r="N310" s="55"/>
      <c r="O310" s="55"/>
      <c r="P310" s="55"/>
    </row>
    <row r="311" spans="1:16" ht="21">
      <c r="A311" s="177"/>
      <c r="B311" s="179" t="s">
        <v>190</v>
      </c>
      <c r="C311" s="179" t="s">
        <v>191</v>
      </c>
      <c r="D311" s="179" t="s">
        <v>18</v>
      </c>
      <c r="E311" s="196">
        <v>45675</v>
      </c>
      <c r="F311" s="3" t="s">
        <v>14</v>
      </c>
      <c r="G311" s="179" t="s">
        <v>192</v>
      </c>
      <c r="H311" s="81">
        <f>247*2</f>
        <v>494</v>
      </c>
      <c r="I311" s="179">
        <v>1907</v>
      </c>
      <c r="J311" s="10">
        <f>K311*L311*M311/1000000*2</f>
        <v>5.5795999999999998E-2</v>
      </c>
      <c r="K311" s="81">
        <v>37</v>
      </c>
      <c r="L311" s="81">
        <v>29</v>
      </c>
      <c r="M311" s="81">
        <v>26</v>
      </c>
      <c r="N311" s="192">
        <v>45680</v>
      </c>
      <c r="O311" s="192">
        <v>45712</v>
      </c>
      <c r="P311" s="179" t="s">
        <v>541</v>
      </c>
    </row>
    <row r="312" spans="1:16" ht="21">
      <c r="A312" s="177"/>
      <c r="B312" s="180"/>
      <c r="C312" s="180"/>
      <c r="D312" s="180"/>
      <c r="E312" s="197"/>
      <c r="F312" s="3" t="s">
        <v>193</v>
      </c>
      <c r="G312" s="180"/>
      <c r="H312" s="81">
        <f>247*5</f>
        <v>1235</v>
      </c>
      <c r="I312" s="180"/>
      <c r="J312" s="10">
        <f>K312*L312*M312/1000000*5</f>
        <v>0.30887999999999999</v>
      </c>
      <c r="K312" s="81">
        <v>39</v>
      </c>
      <c r="L312" s="81">
        <v>44</v>
      </c>
      <c r="M312" s="81">
        <v>36</v>
      </c>
      <c r="N312" s="180"/>
      <c r="O312" s="180"/>
      <c r="P312" s="180"/>
    </row>
    <row r="313" spans="1:16" ht="21">
      <c r="A313" s="177"/>
      <c r="B313" s="180"/>
      <c r="C313" s="180"/>
      <c r="D313" s="180"/>
      <c r="E313" s="197"/>
      <c r="F313" s="3" t="s">
        <v>85</v>
      </c>
      <c r="G313" s="180"/>
      <c r="H313" s="81">
        <f>248*4</f>
        <v>992</v>
      </c>
      <c r="I313" s="180"/>
      <c r="J313" s="10">
        <f>K313*L313*M313/1000000*4</f>
        <v>6.0720000000000003E-2</v>
      </c>
      <c r="K313" s="81">
        <v>33</v>
      </c>
      <c r="L313" s="81">
        <v>23</v>
      </c>
      <c r="M313" s="81">
        <v>20</v>
      </c>
      <c r="N313" s="180"/>
      <c r="O313" s="180"/>
      <c r="P313" s="180"/>
    </row>
    <row r="314" spans="1:16" ht="21">
      <c r="A314" s="177"/>
      <c r="B314" s="180"/>
      <c r="C314" s="180"/>
      <c r="D314" s="180"/>
      <c r="E314" s="197"/>
      <c r="F314" s="3" t="s">
        <v>194</v>
      </c>
      <c r="G314" s="180"/>
      <c r="H314" s="81">
        <f>247*25</f>
        <v>6175</v>
      </c>
      <c r="I314" s="180"/>
      <c r="J314" s="10">
        <f>K314*L314*M314/1000000*25</f>
        <v>0.39899999999999997</v>
      </c>
      <c r="K314" s="81">
        <v>35</v>
      </c>
      <c r="L314" s="81">
        <v>24</v>
      </c>
      <c r="M314" s="81">
        <v>19</v>
      </c>
      <c r="N314" s="180"/>
      <c r="O314" s="180"/>
      <c r="P314" s="180"/>
    </row>
    <row r="315" spans="1:16" ht="21">
      <c r="A315" s="177"/>
      <c r="B315" s="180"/>
      <c r="C315" s="180"/>
      <c r="D315" s="180"/>
      <c r="E315" s="197"/>
      <c r="F315" s="3" t="s">
        <v>195</v>
      </c>
      <c r="G315" s="180"/>
      <c r="H315" s="81">
        <f>247*10</f>
        <v>2470</v>
      </c>
      <c r="I315" s="180"/>
      <c r="J315" s="10">
        <f>K315*L315*M315/1000000*10</f>
        <v>0.60060000000000002</v>
      </c>
      <c r="K315" s="81">
        <v>44</v>
      </c>
      <c r="L315" s="81">
        <v>39</v>
      </c>
      <c r="M315" s="81">
        <v>35</v>
      </c>
      <c r="N315" s="180"/>
      <c r="O315" s="180"/>
      <c r="P315" s="180"/>
    </row>
    <row r="316" spans="1:16" ht="21">
      <c r="A316" s="177"/>
      <c r="B316" s="180"/>
      <c r="C316" s="180"/>
      <c r="D316" s="180"/>
      <c r="E316" s="197"/>
      <c r="F316" s="3" t="s">
        <v>196</v>
      </c>
      <c r="G316" s="180"/>
      <c r="H316" s="81">
        <f>248*5</f>
        <v>1240</v>
      </c>
      <c r="I316" s="180"/>
      <c r="J316" s="10">
        <f>K316*L316*M316/1000000*5</f>
        <v>0.16355999999999998</v>
      </c>
      <c r="K316" s="81">
        <v>47</v>
      </c>
      <c r="L316" s="81">
        <v>29</v>
      </c>
      <c r="M316" s="81">
        <v>24</v>
      </c>
      <c r="N316" s="180"/>
      <c r="O316" s="180"/>
      <c r="P316" s="180"/>
    </row>
    <row r="317" spans="1:16" ht="21">
      <c r="A317" s="177"/>
      <c r="B317" s="181"/>
      <c r="C317" s="181"/>
      <c r="D317" s="181"/>
      <c r="E317" s="198"/>
      <c r="F317" s="3" t="s">
        <v>197</v>
      </c>
      <c r="G317" s="181"/>
      <c r="H317" s="81">
        <f>248*15</f>
        <v>3720</v>
      </c>
      <c r="I317" s="181"/>
      <c r="J317" s="10">
        <f>K317*L317*M317/1000000*15</f>
        <v>0.76690499999999995</v>
      </c>
      <c r="K317" s="81">
        <v>43</v>
      </c>
      <c r="L317" s="81">
        <v>41</v>
      </c>
      <c r="M317" s="81">
        <v>29</v>
      </c>
      <c r="N317" s="181"/>
      <c r="O317" s="181"/>
      <c r="P317" s="181"/>
    </row>
    <row r="318" spans="1:16" ht="22.5">
      <c r="A318" s="177">
        <v>45708</v>
      </c>
      <c r="B318" s="178" t="s">
        <v>12</v>
      </c>
      <c r="C318" s="178"/>
      <c r="D318" s="178"/>
      <c r="E318" s="178"/>
      <c r="F318" s="64" t="s">
        <v>198</v>
      </c>
      <c r="G318" s="69"/>
      <c r="H318" s="52"/>
      <c r="I318" s="52">
        <f>SUM(I311:I317)</f>
        <v>1907</v>
      </c>
      <c r="J318" s="65">
        <f>SUM(J311:J317)</f>
        <v>2.355461</v>
      </c>
      <c r="K318" s="52"/>
      <c r="L318" s="52"/>
      <c r="M318" s="52"/>
      <c r="N318" s="67"/>
      <c r="O318" s="67"/>
      <c r="P318" s="67"/>
    </row>
    <row r="319" spans="1:16" ht="21">
      <c r="B319" s="179" t="s">
        <v>199</v>
      </c>
      <c r="C319" s="179" t="s">
        <v>200</v>
      </c>
      <c r="D319" s="179" t="s">
        <v>73</v>
      </c>
      <c r="E319" s="196">
        <v>45676</v>
      </c>
      <c r="F319" s="3" t="s">
        <v>98</v>
      </c>
      <c r="G319" s="179" t="s">
        <v>71</v>
      </c>
      <c r="H319" s="81">
        <f>35*28</f>
        <v>980</v>
      </c>
      <c r="I319" s="179">
        <f>25*52</f>
        <v>1300</v>
      </c>
      <c r="J319" s="10">
        <f>K319*L319*M319/1000000*28</f>
        <v>4.4806159999999995</v>
      </c>
      <c r="K319" s="81">
        <v>89</v>
      </c>
      <c r="L319" s="81">
        <v>62</v>
      </c>
      <c r="M319" s="81">
        <v>29</v>
      </c>
      <c r="N319" s="192">
        <v>45679</v>
      </c>
      <c r="O319" s="192">
        <v>45716</v>
      </c>
      <c r="P319" s="179" t="s">
        <v>542</v>
      </c>
    </row>
    <row r="320" spans="1:16" ht="21">
      <c r="B320" s="181"/>
      <c r="C320" s="181"/>
      <c r="D320" s="181"/>
      <c r="E320" s="198"/>
      <c r="F320" s="3" t="s">
        <v>99</v>
      </c>
      <c r="G320" s="181"/>
      <c r="H320" s="81">
        <f>35*24</f>
        <v>840</v>
      </c>
      <c r="I320" s="181"/>
      <c r="J320" s="10">
        <f>K320*L320*M320/1000000*24</f>
        <v>2.3353920000000001</v>
      </c>
      <c r="K320" s="81">
        <v>53</v>
      </c>
      <c r="L320" s="81">
        <v>51</v>
      </c>
      <c r="M320" s="81">
        <v>36</v>
      </c>
      <c r="N320" s="181"/>
      <c r="O320" s="181"/>
      <c r="P320" s="181"/>
    </row>
    <row r="321" spans="2:16" ht="22.5">
      <c r="B321" s="178" t="s">
        <v>12</v>
      </c>
      <c r="C321" s="178"/>
      <c r="D321" s="178"/>
      <c r="E321" s="178"/>
      <c r="F321" s="64" t="s">
        <v>201</v>
      </c>
      <c r="G321" s="70"/>
      <c r="H321" s="52"/>
      <c r="I321" s="9">
        <f>SUM(I319:I320)</f>
        <v>1300</v>
      </c>
      <c r="J321" s="65">
        <f>SUM(J319:J320)</f>
        <v>6.8160080000000001</v>
      </c>
      <c r="K321" s="52"/>
      <c r="L321" s="52"/>
      <c r="M321" s="52"/>
      <c r="N321" s="67"/>
      <c r="O321" s="67"/>
      <c r="P321" s="67"/>
    </row>
    <row r="322" spans="2:16" ht="21">
      <c r="B322" s="193" t="s">
        <v>202</v>
      </c>
      <c r="C322" s="193"/>
      <c r="D322" s="193" t="s">
        <v>73</v>
      </c>
      <c r="E322" s="209">
        <v>45677</v>
      </c>
      <c r="F322" s="157" t="s">
        <v>203</v>
      </c>
      <c r="G322" s="193" t="s">
        <v>71</v>
      </c>
      <c r="H322" s="90">
        <f>50*20+60*32+40</f>
        <v>2960</v>
      </c>
      <c r="I322" s="193">
        <f>25*169</f>
        <v>4225</v>
      </c>
      <c r="J322" s="158">
        <f>K322*L322*M322/1000000*53</f>
        <v>6.3599999999999994</v>
      </c>
      <c r="K322" s="90">
        <v>50</v>
      </c>
      <c r="L322" s="90">
        <v>60</v>
      </c>
      <c r="M322" s="90">
        <v>40</v>
      </c>
      <c r="N322" s="218">
        <v>45680</v>
      </c>
      <c r="O322" s="218">
        <v>45716</v>
      </c>
      <c r="P322" s="193" t="s">
        <v>543</v>
      </c>
    </row>
    <row r="323" spans="2:16" ht="21">
      <c r="B323" s="194"/>
      <c r="C323" s="194"/>
      <c r="D323" s="194"/>
      <c r="E323" s="210"/>
      <c r="F323" s="157" t="s">
        <v>204</v>
      </c>
      <c r="G323" s="194"/>
      <c r="H323" s="90">
        <f>40*16</f>
        <v>640</v>
      </c>
      <c r="I323" s="194"/>
      <c r="J323" s="158">
        <f>K323*L323*M323/1000000*16</f>
        <v>1.66656</v>
      </c>
      <c r="K323" s="90">
        <v>62</v>
      </c>
      <c r="L323" s="90">
        <v>60</v>
      </c>
      <c r="M323" s="90">
        <v>28</v>
      </c>
      <c r="N323" s="194"/>
      <c r="O323" s="194"/>
      <c r="P323" s="194"/>
    </row>
    <row r="324" spans="2:16" ht="21">
      <c r="B324" s="195"/>
      <c r="C324" s="195"/>
      <c r="D324" s="195"/>
      <c r="E324" s="211"/>
      <c r="F324" s="157" t="s">
        <v>544</v>
      </c>
      <c r="G324" s="195"/>
      <c r="H324" s="90">
        <f>40*270</f>
        <v>10800</v>
      </c>
      <c r="I324" s="195"/>
      <c r="J324" s="158">
        <f>K324*L324*M324/1000000*100</f>
        <v>11.899999999999999</v>
      </c>
      <c r="K324" s="90">
        <v>50</v>
      </c>
      <c r="L324" s="90">
        <v>34</v>
      </c>
      <c r="M324" s="90">
        <v>70</v>
      </c>
      <c r="N324" s="195"/>
      <c r="O324" s="195"/>
      <c r="P324" s="195"/>
    </row>
    <row r="325" spans="2:16" ht="22.5">
      <c r="B325" s="178" t="s">
        <v>12</v>
      </c>
      <c r="C325" s="178"/>
      <c r="D325" s="178"/>
      <c r="E325" s="178"/>
      <c r="F325" s="153" t="s">
        <v>545</v>
      </c>
      <c r="G325" s="156"/>
      <c r="H325" s="154"/>
      <c r="I325" s="169">
        <f>SUM(I322:I324)</f>
        <v>4225</v>
      </c>
      <c r="J325" s="170">
        <f>SUM(J322:J324)</f>
        <v>19.926559999999998</v>
      </c>
      <c r="K325" s="154"/>
      <c r="L325" s="154"/>
      <c r="M325" s="154"/>
      <c r="N325" s="92"/>
      <c r="O325" s="92"/>
      <c r="P325" s="92"/>
    </row>
    <row r="326" spans="2:16" ht="84">
      <c r="B326" s="90" t="s">
        <v>202</v>
      </c>
      <c r="C326" s="90"/>
      <c r="D326" s="90" t="s">
        <v>73</v>
      </c>
      <c r="E326" s="91">
        <v>45677</v>
      </c>
      <c r="F326" s="157" t="s">
        <v>546</v>
      </c>
      <c r="G326" s="90" t="s">
        <v>71</v>
      </c>
      <c r="H326" s="90">
        <f>40*170</f>
        <v>6800</v>
      </c>
      <c r="I326" s="90">
        <f>25*170</f>
        <v>4250</v>
      </c>
      <c r="J326" s="158">
        <f>K326*L326*M326/1000000*170</f>
        <v>20.23</v>
      </c>
      <c r="K326" s="90">
        <v>50</v>
      </c>
      <c r="L326" s="90">
        <v>34</v>
      </c>
      <c r="M326" s="90">
        <v>70</v>
      </c>
      <c r="N326" s="171">
        <v>45680</v>
      </c>
      <c r="O326" s="171">
        <v>45716</v>
      </c>
      <c r="P326" s="90" t="s">
        <v>547</v>
      </c>
    </row>
    <row r="327" spans="2:16" ht="22.5">
      <c r="B327" s="178" t="s">
        <v>12</v>
      </c>
      <c r="C327" s="178"/>
      <c r="D327" s="178"/>
      <c r="E327" s="178"/>
      <c r="F327" s="153" t="s">
        <v>548</v>
      </c>
      <c r="G327" s="154"/>
      <c r="H327" s="154"/>
      <c r="I327" s="154">
        <f>SUM(I326:I326)</f>
        <v>4250</v>
      </c>
      <c r="J327" s="155">
        <f>SUM(J326:J326)</f>
        <v>20.23</v>
      </c>
      <c r="K327" s="154"/>
      <c r="L327" s="154"/>
      <c r="M327" s="154"/>
      <c r="N327" s="92"/>
      <c r="O327" s="92"/>
      <c r="P327" s="92"/>
    </row>
    <row r="328" spans="2:16" ht="21">
      <c r="B328" s="179" t="s">
        <v>205</v>
      </c>
      <c r="C328" s="199" t="s">
        <v>206</v>
      </c>
      <c r="D328" s="179" t="s">
        <v>207</v>
      </c>
      <c r="E328" s="196">
        <v>45678</v>
      </c>
      <c r="F328" s="3" t="s">
        <v>21</v>
      </c>
      <c r="G328" s="179" t="s">
        <v>32</v>
      </c>
      <c r="H328" s="81">
        <v>1</v>
      </c>
      <c r="I328" s="179">
        <v>37</v>
      </c>
      <c r="J328" s="10">
        <f t="shared" ref="J328:J334" si="2">K328*L328*M328/1000000</f>
        <v>8.9599999999999999E-2</v>
      </c>
      <c r="K328" s="81">
        <v>70</v>
      </c>
      <c r="L328" s="81">
        <v>32</v>
      </c>
      <c r="M328" s="81">
        <v>40</v>
      </c>
      <c r="N328" s="192">
        <v>45681</v>
      </c>
      <c r="O328" s="192">
        <v>45714</v>
      </c>
      <c r="P328" s="179" t="s">
        <v>549</v>
      </c>
    </row>
    <row r="329" spans="2:16" ht="21">
      <c r="B329" s="180"/>
      <c r="C329" s="180"/>
      <c r="D329" s="180"/>
      <c r="E329" s="197"/>
      <c r="F329" s="3" t="s">
        <v>15</v>
      </c>
      <c r="G329" s="180"/>
      <c r="H329" s="81">
        <v>10</v>
      </c>
      <c r="I329" s="180"/>
      <c r="J329" s="10">
        <f t="shared" si="2"/>
        <v>0.18360000000000001</v>
      </c>
      <c r="K329" s="81">
        <v>36</v>
      </c>
      <c r="L329" s="81">
        <v>60</v>
      </c>
      <c r="M329" s="81">
        <v>85</v>
      </c>
      <c r="N329" s="180"/>
      <c r="O329" s="180"/>
      <c r="P329" s="180"/>
    </row>
    <row r="330" spans="2:16" ht="21">
      <c r="B330" s="180"/>
      <c r="C330" s="180"/>
      <c r="D330" s="180"/>
      <c r="E330" s="197"/>
      <c r="F330" s="3" t="s">
        <v>30</v>
      </c>
      <c r="G330" s="180"/>
      <c r="H330" s="81">
        <v>10</v>
      </c>
      <c r="I330" s="180"/>
      <c r="J330" s="10">
        <f t="shared" si="2"/>
        <v>0.18240999999999999</v>
      </c>
      <c r="K330" s="81">
        <v>85</v>
      </c>
      <c r="L330" s="81">
        <v>58</v>
      </c>
      <c r="M330" s="81">
        <v>37</v>
      </c>
      <c r="N330" s="180"/>
      <c r="O330" s="180"/>
      <c r="P330" s="180"/>
    </row>
    <row r="331" spans="2:16" ht="21">
      <c r="B331" s="181"/>
      <c r="C331" s="181"/>
      <c r="D331" s="181"/>
      <c r="E331" s="198"/>
      <c r="F331" s="3" t="s">
        <v>25</v>
      </c>
      <c r="G331" s="181"/>
      <c r="H331" s="81">
        <v>2</v>
      </c>
      <c r="I331" s="181"/>
      <c r="J331" s="10">
        <f t="shared" si="2"/>
        <v>4.9919999999999999E-2</v>
      </c>
      <c r="K331" s="81">
        <v>96</v>
      </c>
      <c r="L331" s="81">
        <v>26</v>
      </c>
      <c r="M331" s="81">
        <v>20</v>
      </c>
      <c r="N331" s="180"/>
      <c r="O331" s="180"/>
      <c r="P331" s="180"/>
    </row>
    <row r="332" spans="2:16" ht="21">
      <c r="B332" s="179" t="s">
        <v>208</v>
      </c>
      <c r="C332" s="54" t="s">
        <v>209</v>
      </c>
      <c r="D332" s="179" t="s">
        <v>207</v>
      </c>
      <c r="E332" s="196">
        <v>45678</v>
      </c>
      <c r="F332" s="3" t="s">
        <v>13</v>
      </c>
      <c r="G332" s="179" t="s">
        <v>32</v>
      </c>
      <c r="H332" s="81">
        <v>3</v>
      </c>
      <c r="I332" s="179">
        <v>20</v>
      </c>
      <c r="J332" s="10">
        <f t="shared" si="2"/>
        <v>4.6199999999999998E-2</v>
      </c>
      <c r="K332" s="81">
        <v>33</v>
      </c>
      <c r="L332" s="81">
        <v>50</v>
      </c>
      <c r="M332" s="81">
        <v>28</v>
      </c>
      <c r="N332" s="180"/>
      <c r="O332" s="180"/>
      <c r="P332" s="180"/>
    </row>
    <row r="333" spans="2:16" ht="21">
      <c r="B333" s="180"/>
      <c r="C333" s="81">
        <v>2660</v>
      </c>
      <c r="D333" s="180"/>
      <c r="E333" s="197"/>
      <c r="F333" s="3" t="s">
        <v>17</v>
      </c>
      <c r="G333" s="180"/>
      <c r="H333" s="81">
        <v>10</v>
      </c>
      <c r="I333" s="180"/>
      <c r="J333" s="10">
        <f t="shared" si="2"/>
        <v>4.2335999999999999E-2</v>
      </c>
      <c r="K333" s="81">
        <v>28</v>
      </c>
      <c r="L333" s="81">
        <v>54</v>
      </c>
      <c r="M333" s="81">
        <v>28</v>
      </c>
      <c r="N333" s="180"/>
      <c r="O333" s="180"/>
      <c r="P333" s="180"/>
    </row>
    <row r="334" spans="2:16" ht="21">
      <c r="B334" s="181"/>
      <c r="C334" s="81">
        <v>2461</v>
      </c>
      <c r="D334" s="181"/>
      <c r="E334" s="198"/>
      <c r="F334" s="3" t="s">
        <v>31</v>
      </c>
      <c r="G334" s="181"/>
      <c r="H334" s="81">
        <v>130</v>
      </c>
      <c r="I334" s="181"/>
      <c r="J334" s="10">
        <f t="shared" si="2"/>
        <v>0.1176</v>
      </c>
      <c r="K334" s="81">
        <v>30</v>
      </c>
      <c r="L334" s="81">
        <v>70</v>
      </c>
      <c r="M334" s="81">
        <v>56</v>
      </c>
      <c r="N334" s="181"/>
      <c r="O334" s="181"/>
      <c r="P334" s="181"/>
    </row>
    <row r="335" spans="2:16" ht="22.5">
      <c r="B335" s="178" t="s">
        <v>12</v>
      </c>
      <c r="C335" s="178"/>
      <c r="D335" s="178"/>
      <c r="E335" s="178"/>
      <c r="F335" s="64" t="s">
        <v>31</v>
      </c>
      <c r="G335" s="52"/>
      <c r="H335" s="52"/>
      <c r="I335" s="9">
        <f>SUM(I328:I334)</f>
        <v>57</v>
      </c>
      <c r="J335" s="65">
        <f>SUM(J328:J334)</f>
        <v>0.71166600000000002</v>
      </c>
      <c r="K335" s="52"/>
      <c r="L335" s="52"/>
      <c r="M335" s="52"/>
      <c r="N335" s="67"/>
      <c r="O335" s="67"/>
      <c r="P335" s="67"/>
    </row>
    <row r="336" spans="2:16" ht="42">
      <c r="B336" s="94" t="s">
        <v>474</v>
      </c>
      <c r="C336" s="152" t="s">
        <v>475</v>
      </c>
      <c r="D336" s="94" t="s">
        <v>476</v>
      </c>
      <c r="E336" s="98">
        <v>45702</v>
      </c>
      <c r="F336" s="93" t="s">
        <v>477</v>
      </c>
      <c r="G336" s="53" t="s">
        <v>478</v>
      </c>
      <c r="H336" s="94">
        <v>166</v>
      </c>
      <c r="I336" s="94">
        <v>22</v>
      </c>
      <c r="J336" s="95">
        <v>0.11761200000000001</v>
      </c>
      <c r="K336" s="94">
        <v>44</v>
      </c>
      <c r="L336" s="94">
        <v>33</v>
      </c>
      <c r="M336" s="94">
        <v>27</v>
      </c>
      <c r="N336" s="172">
        <v>45706</v>
      </c>
      <c r="O336" s="172">
        <v>45735</v>
      </c>
      <c r="P336" s="94" t="s">
        <v>550</v>
      </c>
    </row>
    <row r="337" spans="2:16" ht="22.5">
      <c r="B337" s="178" t="s">
        <v>12</v>
      </c>
      <c r="C337" s="178"/>
      <c r="D337" s="178"/>
      <c r="E337" s="178"/>
      <c r="F337" s="153" t="s">
        <v>30</v>
      </c>
      <c r="G337" s="69"/>
      <c r="H337" s="154"/>
      <c r="I337" s="154">
        <v>22</v>
      </c>
      <c r="J337" s="155">
        <v>0.11761200000000001</v>
      </c>
      <c r="K337" s="154"/>
      <c r="L337" s="154"/>
      <c r="M337" s="154"/>
      <c r="N337" s="97"/>
      <c r="O337" s="97"/>
      <c r="P337" s="97"/>
    </row>
    <row r="338" spans="2:16" ht="21">
      <c r="B338" s="182" t="s">
        <v>479</v>
      </c>
      <c r="C338" s="182" t="s">
        <v>480</v>
      </c>
      <c r="D338" s="182" t="s">
        <v>74</v>
      </c>
      <c r="E338" s="185">
        <v>45702</v>
      </c>
      <c r="F338" s="93" t="s">
        <v>21</v>
      </c>
      <c r="G338" s="182" t="s">
        <v>481</v>
      </c>
      <c r="H338" s="94">
        <v>65</v>
      </c>
      <c r="I338" s="182">
        <v>2065</v>
      </c>
      <c r="J338" s="95">
        <v>2.5313129999999999</v>
      </c>
      <c r="K338" s="94">
        <v>113</v>
      </c>
      <c r="L338" s="94">
        <v>131</v>
      </c>
      <c r="M338" s="94">
        <v>171</v>
      </c>
      <c r="N338" s="188">
        <v>45707</v>
      </c>
      <c r="O338" s="188">
        <v>45737</v>
      </c>
      <c r="P338" s="182" t="s">
        <v>551</v>
      </c>
    </row>
    <row r="339" spans="2:16" ht="21">
      <c r="B339" s="183"/>
      <c r="C339" s="183"/>
      <c r="D339" s="183"/>
      <c r="E339" s="186"/>
      <c r="F339" s="93" t="s">
        <v>15</v>
      </c>
      <c r="G339" s="184"/>
      <c r="H339" s="94">
        <v>65</v>
      </c>
      <c r="I339" s="183"/>
      <c r="J339" s="95">
        <v>2.8498800000000002</v>
      </c>
      <c r="K339" s="94">
        <v>127</v>
      </c>
      <c r="L339" s="94">
        <v>204</v>
      </c>
      <c r="M339" s="94">
        <v>110</v>
      </c>
      <c r="N339" s="183"/>
      <c r="O339" s="183"/>
      <c r="P339" s="183"/>
    </row>
    <row r="340" spans="2:16" ht="42">
      <c r="B340" s="184"/>
      <c r="C340" s="184"/>
      <c r="D340" s="184"/>
      <c r="E340" s="187"/>
      <c r="F340" s="93" t="s">
        <v>482</v>
      </c>
      <c r="G340" s="53" t="s">
        <v>577</v>
      </c>
      <c r="H340" s="94">
        <v>180</v>
      </c>
      <c r="I340" s="184"/>
      <c r="J340" s="95">
        <v>4.4021999999999997</v>
      </c>
      <c r="K340" s="94">
        <v>115</v>
      </c>
      <c r="L340" s="94">
        <v>116</v>
      </c>
      <c r="M340" s="94">
        <v>165</v>
      </c>
      <c r="N340" s="184"/>
      <c r="O340" s="184"/>
      <c r="P340" s="184"/>
    </row>
    <row r="341" spans="2:16" ht="22.5">
      <c r="B341" s="178" t="s">
        <v>12</v>
      </c>
      <c r="C341" s="178"/>
      <c r="D341" s="178"/>
      <c r="E341" s="178"/>
      <c r="F341" s="153" t="s">
        <v>25</v>
      </c>
      <c r="G341" s="154"/>
      <c r="H341" s="154"/>
      <c r="I341" s="156">
        <v>2065</v>
      </c>
      <c r="J341" s="155">
        <v>9.7833930000000002</v>
      </c>
      <c r="K341" s="154"/>
      <c r="L341" s="154"/>
      <c r="M341" s="154"/>
      <c r="N341" s="96"/>
      <c r="O341" s="96"/>
      <c r="P341" s="97"/>
    </row>
    <row r="342" spans="2:16" ht="42">
      <c r="B342" s="90" t="s">
        <v>483</v>
      </c>
      <c r="C342" s="90" t="s">
        <v>484</v>
      </c>
      <c r="D342" s="90" t="s">
        <v>485</v>
      </c>
      <c r="E342" s="91">
        <v>45703</v>
      </c>
      <c r="F342" s="157" t="s">
        <v>14</v>
      </c>
      <c r="G342" s="90" t="s">
        <v>71</v>
      </c>
      <c r="H342" s="90">
        <v>80</v>
      </c>
      <c r="I342" s="90">
        <v>55</v>
      </c>
      <c r="J342" s="158">
        <v>0.25480000000000003</v>
      </c>
      <c r="K342" s="90">
        <v>70</v>
      </c>
      <c r="L342" s="90">
        <v>52</v>
      </c>
      <c r="M342" s="90">
        <v>35</v>
      </c>
      <c r="N342" s="171">
        <v>45709</v>
      </c>
      <c r="O342" s="171">
        <v>45739</v>
      </c>
      <c r="P342" s="90" t="s">
        <v>552</v>
      </c>
    </row>
    <row r="343" spans="2:16" ht="22.5">
      <c r="B343" s="178" t="s">
        <v>12</v>
      </c>
      <c r="C343" s="178"/>
      <c r="D343" s="178"/>
      <c r="E343" s="178"/>
      <c r="F343" s="153" t="s">
        <v>15</v>
      </c>
      <c r="G343" s="154"/>
      <c r="H343" s="154"/>
      <c r="I343" s="154">
        <v>55</v>
      </c>
      <c r="J343" s="155">
        <v>0.25480000000000003</v>
      </c>
      <c r="K343" s="154"/>
      <c r="L343" s="154"/>
      <c r="M343" s="154"/>
      <c r="N343" s="92"/>
      <c r="O343" s="92"/>
      <c r="P343" s="92"/>
    </row>
    <row r="344" spans="2:16" ht="42">
      <c r="B344" s="159" t="s">
        <v>486</v>
      </c>
      <c r="C344" s="54" t="s">
        <v>487</v>
      </c>
      <c r="D344" s="159" t="s">
        <v>488</v>
      </c>
      <c r="E344" s="91">
        <v>45701</v>
      </c>
      <c r="F344" s="157" t="s">
        <v>21</v>
      </c>
      <c r="G344" s="160" t="s">
        <v>489</v>
      </c>
      <c r="H344" s="90"/>
      <c r="I344" s="90">
        <v>400</v>
      </c>
      <c r="J344" s="158">
        <v>1.089855</v>
      </c>
      <c r="K344" s="90">
        <v>117</v>
      </c>
      <c r="L344" s="90">
        <v>115</v>
      </c>
      <c r="M344" s="90">
        <v>81</v>
      </c>
      <c r="N344" s="90"/>
      <c r="O344" s="90"/>
      <c r="P344" s="54" t="s">
        <v>490</v>
      </c>
    </row>
    <row r="345" spans="2:16" ht="22.5">
      <c r="B345" s="178" t="s">
        <v>12</v>
      </c>
      <c r="C345" s="178"/>
      <c r="D345" s="178"/>
      <c r="E345" s="178"/>
      <c r="F345" s="153" t="s">
        <v>21</v>
      </c>
      <c r="G345" s="161"/>
      <c r="H345" s="154"/>
      <c r="I345" s="154">
        <v>400</v>
      </c>
      <c r="J345" s="155">
        <v>1.089855</v>
      </c>
      <c r="K345" s="154"/>
      <c r="L345" s="154"/>
      <c r="M345" s="154"/>
      <c r="N345" s="92"/>
      <c r="O345" s="92"/>
      <c r="P345" s="66" t="s">
        <v>491</v>
      </c>
    </row>
    <row r="346" spans="2:16" ht="42">
      <c r="B346" s="90" t="s">
        <v>513</v>
      </c>
      <c r="C346" s="90" t="s">
        <v>514</v>
      </c>
      <c r="D346" s="90" t="s">
        <v>73</v>
      </c>
      <c r="E346" s="91">
        <v>45706</v>
      </c>
      <c r="F346" s="157" t="s">
        <v>515</v>
      </c>
      <c r="G346" s="90" t="s">
        <v>71</v>
      </c>
      <c r="H346" s="90">
        <v>5660</v>
      </c>
      <c r="I346" s="90">
        <v>3400</v>
      </c>
      <c r="J346" s="158">
        <v>16.456440000000001</v>
      </c>
      <c r="K346" s="90">
        <v>70</v>
      </c>
      <c r="L346" s="90">
        <v>52</v>
      </c>
      <c r="M346" s="90">
        <v>33</v>
      </c>
      <c r="N346" s="90" t="s">
        <v>88</v>
      </c>
      <c r="O346" s="90" t="s">
        <v>88</v>
      </c>
      <c r="P346" s="90" t="s">
        <v>24</v>
      </c>
    </row>
    <row r="347" spans="2:16" ht="22.5">
      <c r="B347" s="178" t="s">
        <v>12</v>
      </c>
      <c r="C347" s="178"/>
      <c r="D347" s="178"/>
      <c r="E347" s="178"/>
      <c r="F347" s="153" t="s">
        <v>516</v>
      </c>
      <c r="G347" s="163"/>
      <c r="H347" s="154"/>
      <c r="I347" s="163">
        <v>3400</v>
      </c>
      <c r="J347" s="155">
        <v>16.456440000000001</v>
      </c>
      <c r="K347" s="154"/>
      <c r="L347" s="154"/>
      <c r="M347" s="154"/>
      <c r="N347" s="92"/>
      <c r="O347" s="92"/>
      <c r="P347" s="92"/>
    </row>
    <row r="348" spans="2:16" ht="21">
      <c r="B348" s="90" t="s">
        <v>517</v>
      </c>
      <c r="C348" s="90">
        <v>18680185099</v>
      </c>
      <c r="D348" s="90" t="s">
        <v>518</v>
      </c>
      <c r="E348" s="91">
        <v>45706</v>
      </c>
      <c r="F348" s="157" t="s">
        <v>519</v>
      </c>
      <c r="G348" s="54" t="s">
        <v>520</v>
      </c>
      <c r="H348" s="90">
        <v>3400</v>
      </c>
      <c r="I348" s="90">
        <v>1000</v>
      </c>
      <c r="J348" s="158">
        <v>2.4089999999999998</v>
      </c>
      <c r="K348" s="90">
        <v>50</v>
      </c>
      <c r="L348" s="90">
        <v>33</v>
      </c>
      <c r="M348" s="90">
        <v>73</v>
      </c>
      <c r="N348" s="54"/>
      <c r="O348" s="54"/>
      <c r="P348" s="90"/>
    </row>
    <row r="349" spans="2:16" ht="22.5">
      <c r="B349" s="178" t="s">
        <v>12</v>
      </c>
      <c r="C349" s="178"/>
      <c r="D349" s="178"/>
      <c r="E349" s="178"/>
      <c r="F349" s="153" t="s">
        <v>19</v>
      </c>
      <c r="G349" s="69"/>
      <c r="H349" s="154"/>
      <c r="I349" s="154">
        <v>1000</v>
      </c>
      <c r="J349" s="155">
        <v>2.4089999999999998</v>
      </c>
      <c r="K349" s="154"/>
      <c r="L349" s="154"/>
      <c r="M349" s="154"/>
      <c r="N349" s="92"/>
      <c r="O349" s="92"/>
      <c r="P349" s="92"/>
    </row>
    <row r="350" spans="2:16" ht="21">
      <c r="B350" s="94" t="s">
        <v>553</v>
      </c>
      <c r="C350" s="94">
        <v>2001400521</v>
      </c>
      <c r="D350" s="94" t="s">
        <v>554</v>
      </c>
      <c r="E350" s="98">
        <v>45689</v>
      </c>
      <c r="F350" s="93" t="s">
        <v>555</v>
      </c>
      <c r="G350" s="94" t="s">
        <v>556</v>
      </c>
      <c r="H350" s="94"/>
      <c r="I350" s="94">
        <v>598</v>
      </c>
      <c r="J350" s="95">
        <f>K350*L350*M350/1000000*25</f>
        <v>3.0605250000000002</v>
      </c>
      <c r="K350" s="94">
        <v>73</v>
      </c>
      <c r="L350" s="94">
        <v>43</v>
      </c>
      <c r="M350" s="94">
        <v>39</v>
      </c>
      <c r="N350" s="94" t="s">
        <v>82</v>
      </c>
      <c r="O350" s="94" t="s">
        <v>82</v>
      </c>
      <c r="P350" s="94"/>
    </row>
    <row r="351" spans="2:16" ht="22.5">
      <c r="B351" s="178" t="s">
        <v>12</v>
      </c>
      <c r="C351" s="178"/>
      <c r="D351" s="178"/>
      <c r="E351" s="178"/>
      <c r="F351" s="153" t="s">
        <v>557</v>
      </c>
      <c r="G351" s="154"/>
      <c r="H351" s="154"/>
      <c r="I351" s="154">
        <f>SUM(I350:I350)</f>
        <v>598</v>
      </c>
      <c r="J351" s="155">
        <f>SUM(J350:J350)</f>
        <v>3.0605250000000002</v>
      </c>
      <c r="K351" s="154"/>
      <c r="L351" s="154"/>
      <c r="M351" s="154"/>
      <c r="N351" s="97"/>
      <c r="O351" s="97"/>
      <c r="P351" s="97"/>
    </row>
    <row r="352" spans="2:16" ht="21">
      <c r="B352" s="90" t="s">
        <v>558</v>
      </c>
      <c r="C352" s="90">
        <v>18122785217</v>
      </c>
      <c r="D352" s="90" t="s">
        <v>53</v>
      </c>
      <c r="E352" s="91">
        <v>45710</v>
      </c>
      <c r="F352" s="157" t="s">
        <v>559</v>
      </c>
      <c r="G352" s="90" t="s">
        <v>54</v>
      </c>
      <c r="H352" s="90"/>
      <c r="I352" s="90">
        <f>24*400</f>
        <v>9600</v>
      </c>
      <c r="J352" s="158">
        <f>K352*L352*M352/1000000*400</f>
        <v>16.32</v>
      </c>
      <c r="K352" s="90">
        <v>40</v>
      </c>
      <c r="L352" s="90">
        <v>34</v>
      </c>
      <c r="M352" s="90">
        <v>30</v>
      </c>
      <c r="N352" s="90" t="s">
        <v>52</v>
      </c>
      <c r="O352" s="90" t="s">
        <v>52</v>
      </c>
      <c r="P352" s="90"/>
    </row>
    <row r="353" spans="2:16" ht="22.5">
      <c r="B353" s="178" t="s">
        <v>12</v>
      </c>
      <c r="C353" s="178"/>
      <c r="D353" s="178"/>
      <c r="E353" s="178"/>
      <c r="F353" s="153" t="s">
        <v>560</v>
      </c>
      <c r="G353" s="154"/>
      <c r="H353" s="154"/>
      <c r="I353" s="154">
        <f>SUM(I352:I352)</f>
        <v>9600</v>
      </c>
      <c r="J353" s="155">
        <f>SUM(J352:J352)</f>
        <v>16.32</v>
      </c>
      <c r="K353" s="154"/>
      <c r="L353" s="154"/>
      <c r="M353" s="154"/>
      <c r="N353" s="92"/>
      <c r="O353" s="92"/>
      <c r="P353" s="92"/>
    </row>
    <row r="354" spans="2:16" ht="42">
      <c r="B354" s="90" t="s">
        <v>561</v>
      </c>
      <c r="C354" s="90" t="s">
        <v>562</v>
      </c>
      <c r="D354" s="90" t="s">
        <v>73</v>
      </c>
      <c r="E354" s="91">
        <v>45712</v>
      </c>
      <c r="F354" s="157" t="s">
        <v>563</v>
      </c>
      <c r="G354" s="90" t="s">
        <v>71</v>
      </c>
      <c r="H354" s="90">
        <v>902</v>
      </c>
      <c r="I354" s="90">
        <v>750</v>
      </c>
      <c r="J354" s="158">
        <v>2.7225000000000001</v>
      </c>
      <c r="K354" s="90">
        <v>55</v>
      </c>
      <c r="L354" s="90">
        <v>50</v>
      </c>
      <c r="M354" s="90">
        <v>33</v>
      </c>
      <c r="N354" s="90" t="s">
        <v>88</v>
      </c>
      <c r="O354" s="90" t="s">
        <v>88</v>
      </c>
      <c r="P354" s="90" t="s">
        <v>24</v>
      </c>
    </row>
    <row r="355" spans="2:16" ht="22.5">
      <c r="B355" s="178" t="s">
        <v>12</v>
      </c>
      <c r="C355" s="178"/>
      <c r="D355" s="178"/>
      <c r="E355" s="178"/>
      <c r="F355" s="153" t="s">
        <v>564</v>
      </c>
      <c r="G355" s="154"/>
      <c r="H355" s="154"/>
      <c r="I355" s="154">
        <v>750</v>
      </c>
      <c r="J355" s="155">
        <v>2.7225000000000001</v>
      </c>
      <c r="K355" s="154"/>
      <c r="L355" s="154"/>
      <c r="M355" s="154"/>
      <c r="N355" s="92"/>
      <c r="O355" s="92"/>
      <c r="P355" s="92"/>
    </row>
    <row r="356" spans="2:16" ht="21">
      <c r="B356" s="90" t="s">
        <v>565</v>
      </c>
      <c r="C356" s="90" t="s">
        <v>566</v>
      </c>
      <c r="D356" s="90" t="s">
        <v>567</v>
      </c>
      <c r="E356" s="91">
        <v>45712</v>
      </c>
      <c r="F356" s="173" t="s">
        <v>568</v>
      </c>
      <c r="G356" s="164" t="s">
        <v>67</v>
      </c>
      <c r="H356" s="164">
        <v>100</v>
      </c>
      <c r="I356" s="164">
        <v>225</v>
      </c>
      <c r="J356" s="174">
        <v>1.0647</v>
      </c>
      <c r="K356" s="164">
        <v>65</v>
      </c>
      <c r="L356" s="164">
        <v>52</v>
      </c>
      <c r="M356" s="164">
        <v>35</v>
      </c>
      <c r="N356" s="90"/>
      <c r="O356" s="90"/>
      <c r="P356" s="90" t="s">
        <v>24</v>
      </c>
    </row>
    <row r="357" spans="2:16" ht="22.5">
      <c r="B357" s="178" t="s">
        <v>12</v>
      </c>
      <c r="C357" s="178"/>
      <c r="D357" s="178"/>
      <c r="E357" s="178"/>
      <c r="F357" s="153" t="s">
        <v>22</v>
      </c>
      <c r="G357" s="154"/>
      <c r="H357" s="154"/>
      <c r="I357" s="154">
        <v>225</v>
      </c>
      <c r="J357" s="155">
        <v>1.0647</v>
      </c>
      <c r="K357" s="154"/>
      <c r="L357" s="154"/>
      <c r="M357" s="154"/>
      <c r="N357" s="92"/>
      <c r="O357" s="92"/>
      <c r="P357" s="92"/>
    </row>
    <row r="358" spans="2:16" ht="42">
      <c r="B358" s="81" t="s">
        <v>578</v>
      </c>
      <c r="C358" s="54" t="s">
        <v>579</v>
      </c>
      <c r="D358" s="81" t="s">
        <v>580</v>
      </c>
      <c r="E358" s="83">
        <v>45713</v>
      </c>
      <c r="F358" s="3" t="s">
        <v>477</v>
      </c>
      <c r="G358" s="81" t="s">
        <v>71</v>
      </c>
      <c r="H358" s="81"/>
      <c r="I358" s="81">
        <v>100</v>
      </c>
      <c r="J358" s="10">
        <v>0.48843000000000003</v>
      </c>
      <c r="K358" s="81">
        <v>67</v>
      </c>
      <c r="L358" s="81">
        <v>90</v>
      </c>
      <c r="M358" s="81">
        <v>27</v>
      </c>
      <c r="N358" s="81" t="s">
        <v>88</v>
      </c>
      <c r="O358" s="81" t="s">
        <v>88</v>
      </c>
      <c r="P358" s="81" t="s">
        <v>24</v>
      </c>
    </row>
    <row r="359" spans="2:16" ht="22.5">
      <c r="B359" s="178" t="s">
        <v>12</v>
      </c>
      <c r="C359" s="178"/>
      <c r="D359" s="178"/>
      <c r="E359" s="178"/>
      <c r="F359" s="64" t="s">
        <v>30</v>
      </c>
      <c r="G359" s="52"/>
      <c r="H359" s="52"/>
      <c r="I359" s="52">
        <v>100</v>
      </c>
      <c r="J359" s="65">
        <v>0.48843000000000003</v>
      </c>
      <c r="K359" s="52"/>
      <c r="L359" s="52"/>
      <c r="M359" s="52"/>
      <c r="N359" s="67"/>
      <c r="O359" s="67"/>
      <c r="P359" s="67"/>
    </row>
    <row r="360" spans="2:16" ht="42">
      <c r="B360" s="81" t="s">
        <v>581</v>
      </c>
      <c r="C360" s="54" t="s">
        <v>582</v>
      </c>
      <c r="D360" s="81" t="s">
        <v>73</v>
      </c>
      <c r="E360" s="83">
        <v>45713</v>
      </c>
      <c r="F360" s="3" t="s">
        <v>515</v>
      </c>
      <c r="G360" s="81" t="s">
        <v>71</v>
      </c>
      <c r="H360" s="81">
        <v>5480</v>
      </c>
      <c r="I360" s="81">
        <v>2900</v>
      </c>
      <c r="J360" s="10">
        <v>13.53834</v>
      </c>
      <c r="K360" s="81">
        <v>61</v>
      </c>
      <c r="L360" s="81">
        <v>60</v>
      </c>
      <c r="M360" s="81">
        <v>27</v>
      </c>
      <c r="N360" s="81" t="s">
        <v>88</v>
      </c>
      <c r="O360" s="81" t="s">
        <v>88</v>
      </c>
      <c r="P360" s="81" t="s">
        <v>24</v>
      </c>
    </row>
    <row r="361" spans="2:16" ht="22.5">
      <c r="B361" s="178" t="s">
        <v>12</v>
      </c>
      <c r="C361" s="178"/>
      <c r="D361" s="178"/>
      <c r="E361" s="178"/>
      <c r="F361" s="64" t="s">
        <v>516</v>
      </c>
      <c r="G361" s="52"/>
      <c r="H361" s="52"/>
      <c r="I361" s="52">
        <v>2900</v>
      </c>
      <c r="J361" s="65">
        <v>13.53834</v>
      </c>
      <c r="K361" s="52"/>
      <c r="L361" s="52"/>
      <c r="M361" s="52"/>
      <c r="N361" s="67"/>
      <c r="O361" s="67"/>
      <c r="P361" s="67"/>
    </row>
    <row r="362" spans="2:16" ht="21">
      <c r="B362" s="81" t="s">
        <v>583</v>
      </c>
      <c r="C362" s="81"/>
      <c r="D362" s="81" t="s">
        <v>584</v>
      </c>
      <c r="E362" s="83">
        <v>45713</v>
      </c>
      <c r="F362" s="3" t="s">
        <v>386</v>
      </c>
      <c r="G362" s="81" t="s">
        <v>54</v>
      </c>
      <c r="H362" s="81">
        <v>300</v>
      </c>
      <c r="I362" s="81">
        <v>3750</v>
      </c>
      <c r="J362" s="10">
        <v>6.12</v>
      </c>
      <c r="K362" s="81">
        <v>40</v>
      </c>
      <c r="L362" s="81">
        <v>34</v>
      </c>
      <c r="M362" s="81">
        <v>30</v>
      </c>
      <c r="N362" s="81" t="s">
        <v>52</v>
      </c>
      <c r="O362" s="81" t="s">
        <v>52</v>
      </c>
      <c r="P362" s="81"/>
    </row>
    <row r="363" spans="2:16" ht="22.5">
      <c r="B363" s="178" t="s">
        <v>12</v>
      </c>
      <c r="C363" s="178"/>
      <c r="D363" s="178"/>
      <c r="E363" s="178"/>
      <c r="F363" s="64" t="s">
        <v>388</v>
      </c>
      <c r="G363" s="52"/>
      <c r="H363" s="52"/>
      <c r="I363" s="52">
        <v>3750</v>
      </c>
      <c r="J363" s="65">
        <v>6.12</v>
      </c>
      <c r="K363" s="52"/>
      <c r="L363" s="52"/>
      <c r="M363" s="52"/>
      <c r="N363" s="67"/>
      <c r="O363" s="67"/>
      <c r="P363" s="67"/>
    </row>
  </sheetData>
  <mergeCells count="276">
    <mergeCell ref="B359:E359"/>
    <mergeCell ref="B361:E361"/>
    <mergeCell ref="B363:E363"/>
    <mergeCell ref="B162:B163"/>
    <mergeCell ref="D162:D163"/>
    <mergeCell ref="E162:E163"/>
    <mergeCell ref="B165:B170"/>
    <mergeCell ref="C165:C170"/>
    <mergeCell ref="D165:D170"/>
    <mergeCell ref="E165:E170"/>
    <mergeCell ref="B308:E308"/>
    <mergeCell ref="B310:E310"/>
    <mergeCell ref="B280:E280"/>
    <mergeCell ref="B282:E282"/>
    <mergeCell ref="B288:E288"/>
    <mergeCell ref="B289:B290"/>
    <mergeCell ref="D289:D290"/>
    <mergeCell ref="E289:E290"/>
    <mergeCell ref="B269:E269"/>
    <mergeCell ref="B345:E345"/>
    <mergeCell ref="B347:E347"/>
    <mergeCell ref="B349:E349"/>
    <mergeCell ref="B351:E351"/>
    <mergeCell ref="B353:E353"/>
    <mergeCell ref="G87:G89"/>
    <mergeCell ref="B60:B61"/>
    <mergeCell ref="C60:C61"/>
    <mergeCell ref="D60:D61"/>
    <mergeCell ref="E60:E61"/>
    <mergeCell ref="G60:G61"/>
    <mergeCell ref="H60:H61"/>
    <mergeCell ref="D87:D89"/>
    <mergeCell ref="B343:E343"/>
    <mergeCell ref="B136:B142"/>
    <mergeCell ref="C136:C142"/>
    <mergeCell ref="D136:D142"/>
    <mergeCell ref="E136:E142"/>
    <mergeCell ref="G136:G142"/>
    <mergeCell ref="H136:H142"/>
    <mergeCell ref="B341:E341"/>
    <mergeCell ref="B232:E232"/>
    <mergeCell ref="B233:B237"/>
    <mergeCell ref="C233:C237"/>
    <mergeCell ref="D233:D237"/>
    <mergeCell ref="E233:E237"/>
    <mergeCell ref="B247:E247"/>
    <mergeCell ref="B249:E249"/>
    <mergeCell ref="B251:E251"/>
    <mergeCell ref="O42:O44"/>
    <mergeCell ref="R1:X1"/>
    <mergeCell ref="Y1:AE1"/>
    <mergeCell ref="K3:M3"/>
    <mergeCell ref="B23:B24"/>
    <mergeCell ref="D23:D24"/>
    <mergeCell ref="E23:E24"/>
    <mergeCell ref="G23:G24"/>
    <mergeCell ref="H23:H24"/>
    <mergeCell ref="O23:O24"/>
    <mergeCell ref="Y2:AE2"/>
    <mergeCell ref="A5:B5"/>
    <mergeCell ref="R2:X2"/>
    <mergeCell ref="B42:B44"/>
    <mergeCell ref="D42:D44"/>
    <mergeCell ref="E42:E44"/>
    <mergeCell ref="G42:G44"/>
    <mergeCell ref="H42:H44"/>
    <mergeCell ref="O52:O53"/>
    <mergeCell ref="B55:B56"/>
    <mergeCell ref="C55:C56"/>
    <mergeCell ref="D55:D56"/>
    <mergeCell ref="E55:E56"/>
    <mergeCell ref="G55:G56"/>
    <mergeCell ref="B52:B53"/>
    <mergeCell ref="C52:C53"/>
    <mergeCell ref="D52:D53"/>
    <mergeCell ref="E52:E53"/>
    <mergeCell ref="G52:G53"/>
    <mergeCell ref="I52:I53"/>
    <mergeCell ref="H55:H56"/>
    <mergeCell ref="O55:O56"/>
    <mergeCell ref="J52:J53"/>
    <mergeCell ref="K52:K53"/>
    <mergeCell ref="L52:L53"/>
    <mergeCell ref="M52:M53"/>
    <mergeCell ref="O60:O61"/>
    <mergeCell ref="O87:O89"/>
    <mergeCell ref="B88:B89"/>
    <mergeCell ref="C88:C89"/>
    <mergeCell ref="E88:E89"/>
    <mergeCell ref="N88:N89"/>
    <mergeCell ref="L87:L89"/>
    <mergeCell ref="M87:M89"/>
    <mergeCell ref="N212:N215"/>
    <mergeCell ref="O212:O215"/>
    <mergeCell ref="B111:B114"/>
    <mergeCell ref="C111:C114"/>
    <mergeCell ref="D111:D114"/>
    <mergeCell ref="E111:E114"/>
    <mergeCell ref="G111:G114"/>
    <mergeCell ref="H87:H89"/>
    <mergeCell ref="I87:I89"/>
    <mergeCell ref="J87:J89"/>
    <mergeCell ref="K87:K89"/>
    <mergeCell ref="B75:B85"/>
    <mergeCell ref="C75:C85"/>
    <mergeCell ref="D75:D85"/>
    <mergeCell ref="E75:E85"/>
    <mergeCell ref="G75:G85"/>
    <mergeCell ref="P212:P215"/>
    <mergeCell ref="B216:E216"/>
    <mergeCell ref="B218:E218"/>
    <mergeCell ref="B220:E220"/>
    <mergeCell ref="B211:E211"/>
    <mergeCell ref="B212:B215"/>
    <mergeCell ref="C212:C215"/>
    <mergeCell ref="D212:D215"/>
    <mergeCell ref="E212:E215"/>
    <mergeCell ref="I212:I215"/>
    <mergeCell ref="P223:P227"/>
    <mergeCell ref="B228:E228"/>
    <mergeCell ref="B230:E230"/>
    <mergeCell ref="B222:E222"/>
    <mergeCell ref="B223:B227"/>
    <mergeCell ref="C223:C227"/>
    <mergeCell ref="D223:D227"/>
    <mergeCell ref="E223:E227"/>
    <mergeCell ref="G223:G226"/>
    <mergeCell ref="I223:I227"/>
    <mergeCell ref="N223:N227"/>
    <mergeCell ref="O223:O227"/>
    <mergeCell ref="P241:P242"/>
    <mergeCell ref="B243:E243"/>
    <mergeCell ref="B245:E245"/>
    <mergeCell ref="O233:O237"/>
    <mergeCell ref="P233:P237"/>
    <mergeCell ref="G235:G236"/>
    <mergeCell ref="B238:E238"/>
    <mergeCell ref="B240:E240"/>
    <mergeCell ref="B241:B242"/>
    <mergeCell ref="C241:C242"/>
    <mergeCell ref="D241:D242"/>
    <mergeCell ref="E241:E242"/>
    <mergeCell ref="G241:G242"/>
    <mergeCell ref="I241:I242"/>
    <mergeCell ref="N241:N242"/>
    <mergeCell ref="O241:O242"/>
    <mergeCell ref="N233:N237"/>
    <mergeCell ref="P252:P264"/>
    <mergeCell ref="G255:G260"/>
    <mergeCell ref="B265:E265"/>
    <mergeCell ref="B267:E267"/>
    <mergeCell ref="B252:B264"/>
    <mergeCell ref="C252:C264"/>
    <mergeCell ref="D252:D264"/>
    <mergeCell ref="E252:E264"/>
    <mergeCell ref="G252:G254"/>
    <mergeCell ref="I252:I264"/>
    <mergeCell ref="N252:N264"/>
    <mergeCell ref="O252:O264"/>
    <mergeCell ref="P270:P275"/>
    <mergeCell ref="B276:E276"/>
    <mergeCell ref="B277:B279"/>
    <mergeCell ref="C277:C279"/>
    <mergeCell ref="D277:D279"/>
    <mergeCell ref="E277:E279"/>
    <mergeCell ref="G277:G279"/>
    <mergeCell ref="D270:D275"/>
    <mergeCell ref="E270:E275"/>
    <mergeCell ref="G270:G271"/>
    <mergeCell ref="B270:B275"/>
    <mergeCell ref="C270:C275"/>
    <mergeCell ref="I277:I279"/>
    <mergeCell ref="N277:N279"/>
    <mergeCell ref="O277:O279"/>
    <mergeCell ref="P277:P279"/>
    <mergeCell ref="I270:I275"/>
    <mergeCell ref="N270:N275"/>
    <mergeCell ref="O270:O275"/>
    <mergeCell ref="G303:G307"/>
    <mergeCell ref="I303:I307"/>
    <mergeCell ref="B291:E291"/>
    <mergeCell ref="B292:B299"/>
    <mergeCell ref="C292:C299"/>
    <mergeCell ref="D292:D299"/>
    <mergeCell ref="E292:E299"/>
    <mergeCell ref="G292:G299"/>
    <mergeCell ref="I292:I299"/>
    <mergeCell ref="B302:E302"/>
    <mergeCell ref="B303:B307"/>
    <mergeCell ref="C303:C307"/>
    <mergeCell ref="D303:D307"/>
    <mergeCell ref="E303:E307"/>
    <mergeCell ref="O322:O324"/>
    <mergeCell ref="B325:E325"/>
    <mergeCell ref="B322:B324"/>
    <mergeCell ref="C322:C324"/>
    <mergeCell ref="D322:D324"/>
    <mergeCell ref="E322:E324"/>
    <mergeCell ref="G322:G324"/>
    <mergeCell ref="I322:I324"/>
    <mergeCell ref="N322:N324"/>
    <mergeCell ref="O319:O320"/>
    <mergeCell ref="B321:E321"/>
    <mergeCell ref="G311:G317"/>
    <mergeCell ref="I311:I317"/>
    <mergeCell ref="B318:E318"/>
    <mergeCell ref="B319:B320"/>
    <mergeCell ref="C319:C320"/>
    <mergeCell ref="D319:D320"/>
    <mergeCell ref="E319:E320"/>
    <mergeCell ref="G319:G320"/>
    <mergeCell ref="I319:I320"/>
    <mergeCell ref="B311:B317"/>
    <mergeCell ref="C311:C317"/>
    <mergeCell ref="D311:D317"/>
    <mergeCell ref="E311:E317"/>
    <mergeCell ref="B118:B119"/>
    <mergeCell ref="D118:D119"/>
    <mergeCell ref="E118:E119"/>
    <mergeCell ref="G118:G119"/>
    <mergeCell ref="H118:H119"/>
    <mergeCell ref="O118:O119"/>
    <mergeCell ref="A208:B208"/>
    <mergeCell ref="B284:E284"/>
    <mergeCell ref="B286:E286"/>
    <mergeCell ref="B131:B134"/>
    <mergeCell ref="C131:C134"/>
    <mergeCell ref="D131:D134"/>
    <mergeCell ref="E131:E134"/>
    <mergeCell ref="G131:G134"/>
    <mergeCell ref="H131:H134"/>
    <mergeCell ref="N131:N134"/>
    <mergeCell ref="O136:O142"/>
    <mergeCell ref="G162:G163"/>
    <mergeCell ref="O162:O163"/>
    <mergeCell ref="G165:G170"/>
    <mergeCell ref="H165:H170"/>
    <mergeCell ref="O165:O170"/>
    <mergeCell ref="P292:P299"/>
    <mergeCell ref="N311:N317"/>
    <mergeCell ref="O311:O317"/>
    <mergeCell ref="P311:P317"/>
    <mergeCell ref="P319:P320"/>
    <mergeCell ref="P322:P324"/>
    <mergeCell ref="B327:E327"/>
    <mergeCell ref="I332:I334"/>
    <mergeCell ref="B335:E335"/>
    <mergeCell ref="B332:B334"/>
    <mergeCell ref="D332:D334"/>
    <mergeCell ref="E332:E334"/>
    <mergeCell ref="B328:B331"/>
    <mergeCell ref="C328:C331"/>
    <mergeCell ref="D328:D331"/>
    <mergeCell ref="E328:E331"/>
    <mergeCell ref="G328:G331"/>
    <mergeCell ref="I328:I331"/>
    <mergeCell ref="N328:N334"/>
    <mergeCell ref="O328:O334"/>
    <mergeCell ref="N292:N299"/>
    <mergeCell ref="O292:O299"/>
    <mergeCell ref="B300:E300"/>
    <mergeCell ref="N319:N320"/>
    <mergeCell ref="B355:E355"/>
    <mergeCell ref="B357:E357"/>
    <mergeCell ref="P328:P334"/>
    <mergeCell ref="G332:G334"/>
    <mergeCell ref="B338:B340"/>
    <mergeCell ref="C338:C340"/>
    <mergeCell ref="D338:D340"/>
    <mergeCell ref="E338:E340"/>
    <mergeCell ref="G338:G339"/>
    <mergeCell ref="I338:I340"/>
    <mergeCell ref="N338:N340"/>
    <mergeCell ref="O338:O340"/>
    <mergeCell ref="P338:P340"/>
    <mergeCell ref="B337:E3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7917-D791-4495-9A54-BABAA7D87813}">
  <dimension ref="A5:P42"/>
  <sheetViews>
    <sheetView zoomScale="60" zoomScaleNormal="60" workbookViewId="0">
      <selection activeCell="B30" sqref="B30"/>
    </sheetView>
  </sheetViews>
  <sheetFormatPr defaultRowHeight="16.5"/>
  <cols>
    <col min="1" max="1" width="12.77734375" customWidth="1"/>
    <col min="2" max="2" width="14.77734375" customWidth="1"/>
    <col min="3" max="3" width="26.44140625" customWidth="1"/>
    <col min="4" max="4" width="27.21875" customWidth="1"/>
    <col min="5" max="5" width="17.21875" customWidth="1"/>
    <col min="7" max="7" width="31.44140625" customWidth="1"/>
    <col min="10" max="10" width="15.6640625" customWidth="1"/>
    <col min="14" max="15" width="14.21875" customWidth="1"/>
    <col min="16" max="16" width="14.77734375" customWidth="1"/>
  </cols>
  <sheetData>
    <row r="5" spans="1:16" ht="63">
      <c r="A5" s="30"/>
      <c r="B5" s="81" t="s">
        <v>78</v>
      </c>
      <c r="C5" s="54" t="s">
        <v>79</v>
      </c>
      <c r="D5" s="81" t="s">
        <v>66</v>
      </c>
      <c r="E5" s="83">
        <v>45601</v>
      </c>
      <c r="F5" s="3" t="s">
        <v>21</v>
      </c>
      <c r="G5" s="81" t="s">
        <v>67</v>
      </c>
      <c r="H5" s="81"/>
      <c r="I5" s="81">
        <v>18</v>
      </c>
      <c r="J5" s="10">
        <v>0.12144000000000001</v>
      </c>
      <c r="K5" s="81">
        <v>30</v>
      </c>
      <c r="L5" s="81">
        <v>88</v>
      </c>
      <c r="M5" s="81">
        <v>46</v>
      </c>
      <c r="N5" s="61">
        <v>45608</v>
      </c>
      <c r="O5" s="82">
        <v>45635</v>
      </c>
      <c r="P5" s="81" t="s">
        <v>81</v>
      </c>
    </row>
    <row r="6" spans="1:16" ht="22.5">
      <c r="A6" s="30"/>
      <c r="B6" s="178" t="s">
        <v>12</v>
      </c>
      <c r="C6" s="178"/>
      <c r="D6" s="178"/>
      <c r="E6" s="178"/>
      <c r="F6" s="64" t="s">
        <v>21</v>
      </c>
      <c r="G6" s="52"/>
      <c r="H6" s="52"/>
      <c r="I6" s="52">
        <v>18</v>
      </c>
      <c r="J6" s="65">
        <v>0.12144000000000001</v>
      </c>
      <c r="K6" s="52"/>
      <c r="L6" s="52"/>
      <c r="M6" s="52"/>
      <c r="N6" s="66"/>
      <c r="O6" s="66" t="s">
        <v>80</v>
      </c>
      <c r="P6" s="81"/>
    </row>
    <row r="8" spans="1:16" ht="42">
      <c r="A8" s="30"/>
      <c r="B8" s="71" t="s">
        <v>83</v>
      </c>
      <c r="C8" s="71">
        <v>61369059481</v>
      </c>
      <c r="D8" s="71" t="s">
        <v>66</v>
      </c>
      <c r="E8" s="72">
        <v>46712</v>
      </c>
      <c r="F8" s="73" t="s">
        <v>16</v>
      </c>
      <c r="G8" s="54" t="s">
        <v>67</v>
      </c>
      <c r="H8" s="71"/>
      <c r="I8" s="71">
        <v>101</v>
      </c>
      <c r="J8" s="74">
        <v>0.5665</v>
      </c>
      <c r="K8" s="71">
        <v>103</v>
      </c>
      <c r="L8" s="71">
        <v>55</v>
      </c>
      <c r="M8" s="71">
        <v>25</v>
      </c>
      <c r="N8" s="71"/>
      <c r="O8" s="71"/>
      <c r="P8" s="54" t="s">
        <v>84</v>
      </c>
    </row>
    <row r="9" spans="1:16" ht="22.5">
      <c r="A9" s="30"/>
      <c r="B9" s="178" t="s">
        <v>12</v>
      </c>
      <c r="C9" s="178"/>
      <c r="D9" s="178"/>
      <c r="E9" s="178"/>
      <c r="F9" s="76" t="s">
        <v>25</v>
      </c>
      <c r="G9" s="68"/>
      <c r="H9" s="68"/>
      <c r="I9" s="68">
        <v>101</v>
      </c>
      <c r="J9" s="77">
        <v>0.5665</v>
      </c>
      <c r="K9" s="68"/>
      <c r="L9" s="68"/>
      <c r="M9" s="68"/>
      <c r="N9" s="75"/>
      <c r="O9" s="75"/>
      <c r="P9" s="75"/>
    </row>
    <row r="11" spans="1:16" ht="42">
      <c r="A11" s="30"/>
      <c r="B11" s="71" t="s">
        <v>95</v>
      </c>
      <c r="C11" s="54" t="s">
        <v>96</v>
      </c>
      <c r="D11" s="71" t="s">
        <v>66</v>
      </c>
      <c r="E11" s="72">
        <v>45645</v>
      </c>
      <c r="F11" s="73" t="s">
        <v>14</v>
      </c>
      <c r="G11" s="71" t="s">
        <v>67</v>
      </c>
      <c r="H11" s="71">
        <v>50</v>
      </c>
      <c r="I11" s="71">
        <v>30</v>
      </c>
      <c r="J11" s="74">
        <v>0.25087999999999999</v>
      </c>
      <c r="K11" s="71">
        <v>80</v>
      </c>
      <c r="L11" s="71">
        <v>56</v>
      </c>
      <c r="M11" s="71">
        <v>28</v>
      </c>
      <c r="N11" s="71" t="s">
        <v>88</v>
      </c>
      <c r="O11" s="71" t="s">
        <v>88</v>
      </c>
      <c r="P11" s="71" t="s">
        <v>24</v>
      </c>
    </row>
    <row r="12" spans="1:16" ht="22.5">
      <c r="A12" s="30"/>
      <c r="B12" s="178" t="s">
        <v>12</v>
      </c>
      <c r="C12" s="178"/>
      <c r="D12" s="178"/>
      <c r="E12" s="178"/>
      <c r="F12" s="76" t="s">
        <v>15</v>
      </c>
      <c r="G12" s="68"/>
      <c r="H12" s="68"/>
      <c r="I12" s="68">
        <v>30</v>
      </c>
      <c r="J12" s="77">
        <v>0.25087999999999999</v>
      </c>
      <c r="K12" s="68"/>
      <c r="L12" s="68"/>
      <c r="M12" s="68"/>
      <c r="N12" s="75"/>
      <c r="O12" s="75"/>
      <c r="P12" s="75"/>
    </row>
    <row r="22" spans="2:5" ht="16.5" customHeight="1">
      <c r="B22" s="84" t="s">
        <v>86</v>
      </c>
      <c r="C22" s="84">
        <v>13926202920</v>
      </c>
      <c r="D22" s="84" t="s">
        <v>20</v>
      </c>
      <c r="E22" s="85">
        <v>45631</v>
      </c>
    </row>
    <row r="23" spans="2:5" ht="16.5" customHeight="1">
      <c r="B23" s="78" t="s">
        <v>89</v>
      </c>
      <c r="C23" s="78" t="s">
        <v>90</v>
      </c>
      <c r="D23" s="78" t="s">
        <v>20</v>
      </c>
      <c r="E23" s="88"/>
    </row>
    <row r="24" spans="2:5" ht="16.5" customHeight="1">
      <c r="B24" s="79" t="s">
        <v>93</v>
      </c>
      <c r="C24" s="80" t="s">
        <v>94</v>
      </c>
      <c r="D24" s="79" t="s">
        <v>20</v>
      </c>
      <c r="E24" s="88"/>
    </row>
    <row r="25" spans="2:5" ht="16.5" customHeight="1">
      <c r="B25" s="79" t="s">
        <v>91</v>
      </c>
      <c r="C25" s="80" t="s">
        <v>92</v>
      </c>
      <c r="D25" s="79" t="s">
        <v>20</v>
      </c>
      <c r="E25" s="88"/>
    </row>
    <row r="26" spans="2:5" ht="16.5" customHeight="1">
      <c r="B26" s="86"/>
      <c r="C26" s="86"/>
      <c r="D26" s="86"/>
      <c r="E26" s="88"/>
    </row>
    <row r="27" spans="2:5" ht="16.5" customHeight="1">
      <c r="B27" s="86"/>
      <c r="C27" s="86"/>
      <c r="D27" s="86"/>
      <c r="E27" s="88"/>
    </row>
    <row r="28" spans="2:5" ht="16.5" customHeight="1">
      <c r="B28" s="86"/>
      <c r="C28" s="86"/>
      <c r="D28" s="86"/>
      <c r="E28" s="88"/>
    </row>
    <row r="29" spans="2:5" ht="16.5" customHeight="1">
      <c r="B29" s="86"/>
      <c r="C29" s="86"/>
      <c r="D29" s="86"/>
      <c r="E29" s="88"/>
    </row>
    <row r="30" spans="2:5" ht="16.5" customHeight="1">
      <c r="B30" s="86"/>
      <c r="C30" s="86"/>
      <c r="D30" s="86"/>
      <c r="E30" s="88"/>
    </row>
    <row r="31" spans="2:5" ht="16.5" customHeight="1">
      <c r="B31" s="86"/>
      <c r="C31" s="86"/>
      <c r="D31" s="86"/>
      <c r="E31" s="88"/>
    </row>
    <row r="32" spans="2:5" ht="16.5" customHeight="1">
      <c r="B32" s="86"/>
      <c r="C32" s="86"/>
      <c r="D32" s="86"/>
      <c r="E32" s="88"/>
    </row>
    <row r="33" spans="2:5" ht="16.5" customHeight="1">
      <c r="B33" s="86"/>
      <c r="C33" s="86"/>
      <c r="D33" s="86"/>
      <c r="E33" s="88"/>
    </row>
    <row r="34" spans="2:5" ht="16.5" customHeight="1">
      <c r="B34" s="86"/>
      <c r="C34" s="86"/>
      <c r="D34" s="86"/>
      <c r="E34" s="88"/>
    </row>
    <row r="35" spans="2:5" ht="16.5" customHeight="1">
      <c r="B35" s="86"/>
      <c r="C35" s="86"/>
      <c r="D35" s="86"/>
      <c r="E35" s="88"/>
    </row>
    <row r="36" spans="2:5" ht="16.5" customHeight="1">
      <c r="B36" s="86"/>
      <c r="C36" s="86"/>
      <c r="D36" s="86"/>
      <c r="E36" s="88"/>
    </row>
    <row r="37" spans="2:5" ht="16.5" customHeight="1">
      <c r="B37" s="86"/>
      <c r="C37" s="86"/>
      <c r="D37" s="86"/>
      <c r="E37" s="88"/>
    </row>
    <row r="38" spans="2:5" ht="16.5" customHeight="1">
      <c r="B38" s="86"/>
      <c r="C38" s="86"/>
      <c r="D38" s="86"/>
      <c r="E38" s="88"/>
    </row>
    <row r="39" spans="2:5" ht="16.5" customHeight="1">
      <c r="B39" s="86"/>
      <c r="C39" s="86"/>
      <c r="D39" s="86"/>
      <c r="E39" s="88"/>
    </row>
    <row r="40" spans="2:5" ht="16.5" customHeight="1">
      <c r="B40" s="86"/>
      <c r="C40" s="86"/>
      <c r="D40" s="86"/>
      <c r="E40" s="88"/>
    </row>
    <row r="41" spans="2:5" ht="16.5" customHeight="1">
      <c r="B41" s="86"/>
      <c r="C41" s="86"/>
      <c r="D41" s="86"/>
      <c r="E41" s="88"/>
    </row>
    <row r="42" spans="2:5" ht="16.5" customHeight="1">
      <c r="B42" s="87"/>
      <c r="C42" s="87"/>
      <c r="D42" s="87"/>
      <c r="E42" s="89"/>
    </row>
  </sheetData>
  <mergeCells count="3">
    <mergeCell ref="B6:E6"/>
    <mergeCell ref="B12:E12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250115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Kalim</dc:creator>
  <cp:lastModifiedBy>PATRICK JONATHAN</cp:lastModifiedBy>
  <cp:lastPrinted>2024-08-15T13:11:24Z</cp:lastPrinted>
  <dcterms:created xsi:type="dcterms:W3CDTF">2020-08-28T09:08:00Z</dcterms:created>
  <dcterms:modified xsi:type="dcterms:W3CDTF">2025-02-26T18:39:41Z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