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hsuitg-my.sharepoint.com/personal/worth_ohsu_edu/Documents/Worth Lab - Research/Pubs and Abstracts/240320 NatCom KMC Submission/Submission 1/Cancer Cell Submission/Supplemental Datasets/"/>
    </mc:Choice>
  </mc:AlternateContent>
  <xr:revisionPtr revIDLastSave="0" documentId="8_{434B81F2-C954-0E42-908E-50ABA7D7791D}" xr6:coauthVersionLast="47" xr6:coauthVersionMax="47" xr10:uidLastSave="{00000000-0000-0000-0000-000000000000}"/>
  <bookViews>
    <workbookView xWindow="1400" yWindow="780" windowWidth="32760" windowHeight="19420" xr2:uid="{B8500107-B1A3-EF41-B057-A917FA0A75B9}"/>
  </bookViews>
  <sheets>
    <sheet name="CODA_w-nec+KPC_Final" sheetId="1" r:id="rId1"/>
  </sheets>
  <externalReferences>
    <externalReference r:id="rId2"/>
    <externalReference r:id="rId3"/>
  </externalReferences>
  <definedNames>
    <definedName name="Table1" localSheetId="0">#REF!</definedName>
    <definedName name="Table1">[1]!Table222[#Data]</definedName>
    <definedName name="Table134546">[1]!Table222[#Data]</definedName>
    <definedName name="Table2" localSheetId="0">#REF!</definedName>
    <definedName name="Table2">[1]!Table222[#Data]</definedName>
    <definedName name="Table214324">[1]!Table222[#Data]</definedName>
    <definedName name="Table234">[1]!Table222[#Data]</definedName>
    <definedName name="Table235346">[1]!Table222[#Data]</definedName>
    <definedName name="Table23535">[1]!Table222[#Data]</definedName>
    <definedName name="Table2356">[1]!Table222[#Data]</definedName>
    <definedName name="Table3">[1]!Table222[#Data]</definedName>
    <definedName name="Table3541">[1]!Table222[#Data]</definedName>
    <definedName name="Table42451238">[1]!Table222[#Data]</definedName>
    <definedName name="Table562">#REF!</definedName>
    <definedName name="Table648943216">[1]!Table222[#Data]</definedName>
    <definedName name="Table6541321">[1]!Table222[#Data]</definedName>
    <definedName name="Table654865">[1]!Table222[#Data]</definedName>
    <definedName name="TableNew" localSheetId="0">#REF!</definedName>
    <definedName name="TableNew">[1]!Table222[#Data]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" i="1" l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V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V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V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V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V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V35" i="1"/>
  <c r="V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V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V32" i="1"/>
  <c r="V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V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V29" i="1"/>
  <c r="AM28" i="1"/>
  <c r="AL28" i="1"/>
  <c r="AL27" i="1" s="1"/>
  <c r="AK28" i="1"/>
  <c r="AK27" i="1" s="1"/>
  <c r="AJ28" i="1"/>
  <c r="AI28" i="1"/>
  <c r="AH28" i="1"/>
  <c r="AH27" i="1" s="1"/>
  <c r="AG28" i="1"/>
  <c r="AF28" i="1"/>
  <c r="AE28" i="1"/>
  <c r="AD28" i="1"/>
  <c r="AC28" i="1"/>
  <c r="AB28" i="1"/>
  <c r="AA28" i="1"/>
  <c r="AA27" i="1" s="1"/>
  <c r="V28" i="1"/>
  <c r="AM27" i="1"/>
  <c r="AE27" i="1"/>
  <c r="AC27" i="1"/>
  <c r="V27" i="1"/>
  <c r="V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V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V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V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V22" i="1"/>
  <c r="V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N20" i="1" s="1"/>
  <c r="AA20" i="1"/>
  <c r="V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V19" i="1"/>
  <c r="AM18" i="1"/>
  <c r="AL18" i="1"/>
  <c r="AL17" i="1" s="1"/>
  <c r="AK18" i="1"/>
  <c r="AJ18" i="1"/>
  <c r="AJ17" i="1" s="1"/>
  <c r="AI18" i="1"/>
  <c r="AH18" i="1"/>
  <c r="AH17" i="1" s="1"/>
  <c r="AG18" i="1"/>
  <c r="AG17" i="1" s="1"/>
  <c r="AF18" i="1"/>
  <c r="AF17" i="1" s="1"/>
  <c r="AE18" i="1"/>
  <c r="AD18" i="1"/>
  <c r="AC18" i="1"/>
  <c r="AB18" i="1"/>
  <c r="AA18" i="1"/>
  <c r="V18" i="1"/>
  <c r="V17" i="1"/>
  <c r="V16" i="1"/>
  <c r="V15" i="1"/>
  <c r="V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V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N12" i="1" s="1"/>
  <c r="AA12" i="1"/>
  <c r="V12" i="1"/>
  <c r="V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V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V9" i="1"/>
  <c r="AM8" i="1"/>
  <c r="AL8" i="1"/>
  <c r="AK8" i="1"/>
  <c r="AK7" i="1" s="1"/>
  <c r="AJ8" i="1"/>
  <c r="AI8" i="1"/>
  <c r="AI7" i="1" s="1"/>
  <c r="AH8" i="1"/>
  <c r="AG8" i="1"/>
  <c r="AF8" i="1"/>
  <c r="AE8" i="1"/>
  <c r="AD8" i="1"/>
  <c r="AC8" i="1"/>
  <c r="AB8" i="1"/>
  <c r="AA8" i="1"/>
  <c r="V8" i="1"/>
  <c r="AB7" i="1"/>
  <c r="V7" i="1"/>
  <c r="V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V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V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V3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V2" i="1"/>
  <c r="AN2" i="1" l="1"/>
  <c r="AN8" i="1"/>
  <c r="AN4" i="1"/>
  <c r="AN5" i="1"/>
  <c r="AD17" i="1"/>
  <c r="AN19" i="1"/>
  <c r="AN30" i="1"/>
  <c r="AN37" i="1"/>
  <c r="AN38" i="1"/>
  <c r="AG27" i="1"/>
  <c r="AN32" i="1"/>
  <c r="AJ27" i="1"/>
  <c r="AF27" i="1"/>
  <c r="AN39" i="1"/>
  <c r="AN33" i="1"/>
  <c r="AN13" i="1"/>
  <c r="AN40" i="1"/>
  <c r="AH7" i="1"/>
  <c r="AN23" i="1"/>
  <c r="AN28" i="1"/>
  <c r="AN35" i="1"/>
  <c r="AI27" i="1"/>
  <c r="AC7" i="1"/>
  <c r="AI17" i="1"/>
  <c r="AM17" i="1"/>
  <c r="AK17" i="1"/>
  <c r="AN24" i="1"/>
  <c r="AL7" i="1"/>
  <c r="AN10" i="1"/>
  <c r="AD27" i="1"/>
  <c r="AN29" i="1"/>
  <c r="AN36" i="1"/>
  <c r="AM7" i="1"/>
  <c r="AN22" i="1"/>
  <c r="AN3" i="1"/>
  <c r="AN9" i="1"/>
  <c r="AF7" i="1"/>
  <c r="AN18" i="1"/>
  <c r="AG7" i="1"/>
  <c r="AE17" i="1"/>
  <c r="AN25" i="1"/>
  <c r="AJ7" i="1"/>
  <c r="AA17" i="1"/>
  <c r="AA41" i="1" s="1"/>
  <c r="AA7" i="1"/>
  <c r="AA14" i="1" s="1"/>
  <c r="AB17" i="1"/>
  <c r="AC17" i="1"/>
  <c r="AB27" i="1"/>
  <c r="AN27" i="1" s="1"/>
  <c r="AD7" i="1"/>
  <c r="AN7" i="1" s="1"/>
  <c r="AE7" i="1"/>
  <c r="AN17" i="1" l="1"/>
</calcChain>
</file>

<file path=xl/sharedStrings.xml><?xml version="1.0" encoding="utf-8"?>
<sst xmlns="http://schemas.openxmlformats.org/spreadsheetml/2006/main" count="870" uniqueCount="398">
  <si>
    <t>CODA File Name</t>
  </si>
  <si>
    <t>Tag_ID</t>
  </si>
  <si>
    <t>Tag_ID-Pub</t>
  </si>
  <si>
    <t>Tissue</t>
  </si>
  <si>
    <t>Scan Number</t>
  </si>
  <si>
    <t>Genotype_extra</t>
  </si>
  <si>
    <t>Genotype</t>
  </si>
  <si>
    <t>Study_Cohort</t>
  </si>
  <si>
    <t>Islet</t>
  </si>
  <si>
    <t>Ductal Epithelium</t>
  </si>
  <si>
    <t>Vasculature</t>
  </si>
  <si>
    <t>Adipose</t>
  </si>
  <si>
    <t>Acini</t>
  </si>
  <si>
    <t>Stroma/ECM</t>
  </si>
  <si>
    <t>PanIN</t>
  </si>
  <si>
    <t>PDAc</t>
  </si>
  <si>
    <t>Immune Hotspot</t>
  </si>
  <si>
    <t>Duodenum</t>
  </si>
  <si>
    <t>Lymph Node</t>
  </si>
  <si>
    <t>Necrosis</t>
  </si>
  <si>
    <t>Original File Name</t>
  </si>
  <si>
    <t>total</t>
  </si>
  <si>
    <t>Sent_#</t>
  </si>
  <si>
    <t>Duct</t>
  </si>
  <si>
    <t>Collagen</t>
  </si>
  <si>
    <t>IAE_CODA_800J-panc_13956_TM-half.czi</t>
  </si>
  <si>
    <t>800J</t>
  </si>
  <si>
    <t>Pancreas</t>
  </si>
  <si>
    <t>13956</t>
  </si>
  <si>
    <r>
      <t>KMC</t>
    </r>
    <r>
      <rPr>
        <vertAlign val="superscript"/>
        <sz val="11"/>
        <color theme="1"/>
        <rFont val="Arial"/>
        <family val="2"/>
      </rPr>
      <t>ER</t>
    </r>
  </si>
  <si>
    <r>
      <t>KMC</t>
    </r>
    <r>
      <rPr>
        <vertAlign val="superscript"/>
        <sz val="11"/>
        <color theme="1"/>
        <rFont val="Arial"/>
        <family val="2"/>
      </rPr>
      <t>ERT2</t>
    </r>
  </si>
  <si>
    <t>6mo cohort</t>
  </si>
  <si>
    <t>2021_10_06_6mo-KMC_800J-panc_H&amp;E__13956_TM-half.czi</t>
  </si>
  <si>
    <t>Endpoint (autochthonous)</t>
  </si>
  <si>
    <t>IAE_CODA_098T-panc_13972_TM-half.czi</t>
  </si>
  <si>
    <t>098T</t>
  </si>
  <si>
    <t>13972</t>
  </si>
  <si>
    <t>9.5-10.5mo cohort</t>
  </si>
  <si>
    <t>2021_10_06_10mo-KMC_098T-panc_H&amp;E__13972_TM-half.czi</t>
  </si>
  <si>
    <r>
      <t>KM/+C</t>
    </r>
    <r>
      <rPr>
        <vertAlign val="superscript"/>
        <sz val="11"/>
        <rFont val="Arial"/>
        <family val="2"/>
      </rPr>
      <t>ERT2</t>
    </r>
  </si>
  <si>
    <t>IAE_CODA_104L-panc_13977_TM-half.czi</t>
  </si>
  <si>
    <t>104L</t>
  </si>
  <si>
    <t>13977</t>
  </si>
  <si>
    <t>2021_10_06_10mo-KMC_104L-panc_H&amp;E__13977_TM-half.czi</t>
  </si>
  <si>
    <r>
      <t>KC</t>
    </r>
    <r>
      <rPr>
        <vertAlign val="superscript"/>
        <sz val="11"/>
        <color theme="1"/>
        <rFont val="Arial"/>
        <family val="2"/>
      </rPr>
      <t>ERT2</t>
    </r>
  </si>
  <si>
    <t>IAE_CODA_105L-panc_13979_TM-half.czi</t>
  </si>
  <si>
    <t>105L</t>
  </si>
  <si>
    <t>13979</t>
  </si>
  <si>
    <t>2021_10_06_10mo-KMC_105L-panc_H&amp;E__13979_TM-half.czi</t>
  </si>
  <si>
    <r>
      <t>MC</t>
    </r>
    <r>
      <rPr>
        <vertAlign val="superscript"/>
        <sz val="11"/>
        <color theme="1"/>
        <rFont val="Arial"/>
        <family val="2"/>
      </rPr>
      <t>ERT2</t>
    </r>
  </si>
  <si>
    <t>IAE_CODA_876D-panc_14000_TM-half.czi</t>
  </si>
  <si>
    <t>876D</t>
  </si>
  <si>
    <t>14000_TM-half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</si>
  <si>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(171J)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</si>
  <si>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(171J)</t>
    </r>
  </si>
  <si>
    <t>Endpoint (allograft)</t>
  </si>
  <si>
    <t>2021_10_06_KMC-ortho-171J_876D-panc_H&amp;E__14000_TM-half.czi</t>
  </si>
  <si>
    <t>IAE_CODA_880D-panc_14005_TM-half.czi</t>
  </si>
  <si>
    <t>880D</t>
  </si>
  <si>
    <t>14005_TM-half</t>
  </si>
  <si>
    <t>2021_10_06_KMC-ortho-171J_880D-panc_H&amp;E__14005_TM-half.czi</t>
  </si>
  <si>
    <t>Control (avg)</t>
  </si>
  <si>
    <t>IAE_CODA_885D-panc_14011_TM-half.czi</t>
  </si>
  <si>
    <t>885D</t>
  </si>
  <si>
    <t>14011_TM-half</t>
  </si>
  <si>
    <t>2021_10_06_KMC-ortho-171J_885D-panc_H&amp;E__14011_TM-half.czi</t>
  </si>
  <si>
    <t>No cre</t>
  </si>
  <si>
    <t>IAE_CODA_920R-panc_0248.czi</t>
  </si>
  <si>
    <t>920R</t>
  </si>
  <si>
    <t>0248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</si>
  <si>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(255J)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</si>
  <si>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(255J)</t>
    </r>
  </si>
  <si>
    <t>2023_04_03_KMC-ortho-255J_920R-panc_H&amp;E__0248.czi</t>
  </si>
  <si>
    <t>No cre + Tam</t>
  </si>
  <si>
    <t>IAE_CODA_925R-panc_0249.czi</t>
  </si>
  <si>
    <t>925R</t>
  </si>
  <si>
    <t>0249</t>
  </si>
  <si>
    <t>2023_04_03_KMC-ortho-255J_925R-panc_H&amp;E__0249.czi</t>
  </si>
  <si>
    <r>
      <t>Ptf1a</t>
    </r>
    <r>
      <rPr>
        <vertAlign val="superscript"/>
        <sz val="11"/>
        <color theme="2" tint="-0.749992370372631"/>
        <rFont val="Arial"/>
        <family val="2"/>
      </rPr>
      <t>ERT2</t>
    </r>
    <r>
      <rPr>
        <sz val="11"/>
        <color theme="2" tint="-0.749992370372631"/>
        <rFont val="Arial"/>
        <family val="2"/>
      </rPr>
      <t>/+ only</t>
    </r>
  </si>
  <si>
    <t>IAE_CODA_930R-panc_0250.czi</t>
  </si>
  <si>
    <t>930R</t>
  </si>
  <si>
    <t>0250</t>
  </si>
  <si>
    <t>2023_04_03_KMC-ortho-255J_930R-panc_H&amp;E__0250.czi</t>
  </si>
  <si>
    <t>IAE_CODA_935R-panc_0251.czi</t>
  </si>
  <si>
    <t>935R</t>
  </si>
  <si>
    <t>0251</t>
  </si>
  <si>
    <t>2023_04_03_KMC-ortho-255J_935R-panc_H&amp;E__0251.czi</t>
  </si>
  <si>
    <t>6mo Cohort</t>
  </si>
  <si>
    <t>IAE_CODA_803D-panc_4192.czi</t>
  </si>
  <si>
    <t>803D</t>
  </si>
  <si>
    <t>4192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</si>
  <si>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(301J)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</si>
  <si>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(301J)</t>
    </r>
  </si>
  <si>
    <t>2023_01_07_KMC-Ortho-301J_803D-Panc_H&amp;E__4192.czi</t>
  </si>
  <si>
    <t>IAE_CODA_811D-panc_4195.czi</t>
  </si>
  <si>
    <t>811D</t>
  </si>
  <si>
    <t>4195</t>
  </si>
  <si>
    <t>2023_01_07_KMC-Ortho-301J_811D-Panc_H&amp;E__4195.czi</t>
  </si>
  <si>
    <t>Total</t>
  </si>
  <si>
    <t>IAE_CODA_893D-panc_4196.czi</t>
  </si>
  <si>
    <t>893D</t>
  </si>
  <si>
    <t>4196</t>
  </si>
  <si>
    <t>2023_01_07_KMC-Ortho-301J_893D-Panc_H&amp;E__4196.czi</t>
  </si>
  <si>
    <t>IAE_CODA_894D-panc_6364.czi</t>
  </si>
  <si>
    <t>894D</t>
  </si>
  <si>
    <t>6364</t>
  </si>
  <si>
    <t>2022_05_26_KMC-Ortho-301J_894D-panc_H&amp;E__6364.czi</t>
  </si>
  <si>
    <t>IAE_CODA_899D-panc_4197.czi</t>
  </si>
  <si>
    <t>899D</t>
  </si>
  <si>
    <t>4197</t>
  </si>
  <si>
    <t>2023_01_07_KMC-Ortho-301J_899D-Panc_H&amp;E__4197.czi</t>
  </si>
  <si>
    <t>KPC (no drug avg)</t>
  </si>
  <si>
    <t>IAE_CODA_878D-panc_14004_TM-half.czi</t>
  </si>
  <si>
    <t>878D</t>
  </si>
  <si>
    <t>14004_TM-half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</si>
  <si>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(303J)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</si>
  <si>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(303J)</t>
    </r>
  </si>
  <si>
    <t>2021_10_06_KMC-ortho-303J_878D-panc_H&amp;E__14004_TM-half.czi</t>
  </si>
  <si>
    <t>Endpoint (untreated)</t>
  </si>
  <si>
    <t>KPC</t>
  </si>
  <si>
    <t>IAE_CODA_812D-panc_6367.czi</t>
  </si>
  <si>
    <t>812D</t>
  </si>
  <si>
    <t>6367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</si>
  <si>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(314J)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</si>
  <si>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(314J)</t>
    </r>
  </si>
  <si>
    <t>2022_05_26_KMC-Ortho-314J_812D-panc_H&amp;E__6367.czi</t>
  </si>
  <si>
    <t>Endpoint (vehicle)</t>
  </si>
  <si>
    <t>IAE_CODA_815D-panc_6371.czi</t>
  </si>
  <si>
    <t>815D</t>
  </si>
  <si>
    <t>6371</t>
  </si>
  <si>
    <t>2022_05_26_KMC-Ortho-314J_815D-panc_H&amp;E__6371.czi</t>
  </si>
  <si>
    <t>Endpoint (DT061)</t>
  </si>
  <si>
    <t>IAE_CODA_825D-panc_6381.czi</t>
  </si>
  <si>
    <t>825D</t>
  </si>
  <si>
    <t>6381</t>
  </si>
  <si>
    <t>2022_05_26_KMC-Ortho-314J_825D-panc_H&amp;E__6381.czi</t>
  </si>
  <si>
    <t>IAE_CODA_888D-panc_0152.czi</t>
  </si>
  <si>
    <t>888D</t>
  </si>
  <si>
    <t>0152</t>
  </si>
  <si>
    <t>2022_05_24_KMC-Ortho-314J_888D-panc_H&amp;E__0152.czi</t>
  </si>
  <si>
    <t>IAE_CODA_890D-panc_0149.czi</t>
  </si>
  <si>
    <t>890D</t>
  </si>
  <si>
    <t>0149</t>
  </si>
  <si>
    <t>2022_05_24_KMC-Ortho-314J_890D-panc_H&amp;E__0149.czi</t>
  </si>
  <si>
    <t>IAE_CODA_883D-panc_14009_TM-half.czi</t>
  </si>
  <si>
    <t>883D</t>
  </si>
  <si>
    <t>14009_TM-half</t>
  </si>
  <si>
    <r>
      <t>KMC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(376J)</t>
    </r>
  </si>
  <si>
    <r>
      <t>KMC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 xml:space="preserve"> (376J)</t>
    </r>
  </si>
  <si>
    <t>2021_10_06_KMC+caer-ortho-376J_883D-panc_H&amp;E__14009_TM-half.czi</t>
  </si>
  <si>
    <t>IAE_CODA_889D-panc_14017_TM-half.czi</t>
  </si>
  <si>
    <t>889D</t>
  </si>
  <si>
    <t>14017_TM-half</t>
  </si>
  <si>
    <t>2021_10_06_KMC+caer-ortho-376J_889D-panc_H&amp;E__14017_TM-half.czi</t>
  </si>
  <si>
    <t>IAE_CODA_079T-panc_4185.czi</t>
  </si>
  <si>
    <t>079T</t>
  </si>
  <si>
    <t>4185</t>
  </si>
  <si>
    <r>
      <t>KC</t>
    </r>
    <r>
      <rPr>
        <vertAlign val="superscript"/>
        <sz val="11"/>
        <color theme="1"/>
        <rFont val="Arial"/>
        <family val="2"/>
      </rPr>
      <t>ER</t>
    </r>
  </si>
  <si>
    <t>2023_01_07_KC_079T-Panc_H&amp;E__4185.czi</t>
  </si>
  <si>
    <t>IAE_CODA_595J-panc_13926_TM-half.czi</t>
  </si>
  <si>
    <t>595J</t>
  </si>
  <si>
    <t>13926</t>
  </si>
  <si>
    <t>2021_10_05_KC_595J-panc_H&amp;E__13926_TM-half.czi</t>
  </si>
  <si>
    <t>IAE_CODA_701J-panc_4173.czi</t>
  </si>
  <si>
    <t>701J</t>
  </si>
  <si>
    <t>4173</t>
  </si>
  <si>
    <t>2023_01_07_KC_701J-Panc_Reprocessed_H&amp;E__4173.czi</t>
  </si>
  <si>
    <t>IAE_CODA_761J-panc_4174.czi</t>
  </si>
  <si>
    <t>761J</t>
  </si>
  <si>
    <t>4174</t>
  </si>
  <si>
    <r>
      <t>KC</t>
    </r>
    <r>
      <rPr>
        <vertAlign val="superscript"/>
        <sz val="11"/>
        <rFont val="Arial"/>
        <family val="2"/>
      </rPr>
      <t>ER</t>
    </r>
  </si>
  <si>
    <t>2023_01_07_KC_761J-Panc_Reprocessed_H&amp;E__4174.czi</t>
  </si>
  <si>
    <t>IAE_CODA_893J-panc_4179.czi</t>
  </si>
  <si>
    <t>893J</t>
  </si>
  <si>
    <t>4179</t>
  </si>
  <si>
    <t>2023_01_07_KC_893J-Panc_Reprocessed_H&amp;E__4179.czi</t>
  </si>
  <si>
    <t>IAE_CODA_894J-panc_4180.czi</t>
  </si>
  <si>
    <t>894J</t>
  </si>
  <si>
    <t>4180</t>
  </si>
  <si>
    <t>2023_01_07_KC_894J-Panc_Reprocessed_H&amp;E__4180.czi</t>
  </si>
  <si>
    <t>IAE_CODA_895J-panc_4181.czi</t>
  </si>
  <si>
    <t>895J</t>
  </si>
  <si>
    <t>4181</t>
  </si>
  <si>
    <t>2023_01_07_KC_895J-Panc_Reprocessed_H&amp;E__4181.czi</t>
  </si>
  <si>
    <t>IAE_CODA_009T-panc_0169.czi</t>
  </si>
  <si>
    <t>009T</t>
  </si>
  <si>
    <t>0169</t>
  </si>
  <si>
    <r>
      <t>KM/+C</t>
    </r>
    <r>
      <rPr>
        <vertAlign val="superscript"/>
        <sz val="11"/>
        <color theme="1"/>
        <rFont val="Arial"/>
        <family val="2"/>
      </rPr>
      <t>ER</t>
    </r>
    <r>
      <rPr>
        <sz val="11"/>
        <color theme="1"/>
        <rFont val="Arial"/>
        <family val="2"/>
      </rPr>
      <t xml:space="preserve"> (het)</t>
    </r>
  </si>
  <si>
    <t>2022_05_24_KM+C_009T-panc_H&amp;E__0169.czi</t>
  </si>
  <si>
    <t>IAE_CODA_068T-panc_4165.czi</t>
  </si>
  <si>
    <t>068T</t>
  </si>
  <si>
    <t>4165</t>
  </si>
  <si>
    <r>
      <t>KM/+C</t>
    </r>
    <r>
      <rPr>
        <vertAlign val="superscript"/>
        <sz val="11"/>
        <rFont val="Arial"/>
        <family val="2"/>
      </rPr>
      <t>ER</t>
    </r>
    <r>
      <rPr>
        <sz val="11"/>
        <rFont val="Arial"/>
        <family val="2"/>
      </rPr>
      <t xml:space="preserve"> (het)</t>
    </r>
  </si>
  <si>
    <t>2023_01_07_KM+C_068T-Panc_Reprocessed_H&amp;E__4165.czi</t>
  </si>
  <si>
    <t>IAE_CODA_210J-panc_13888_TM-half.czi</t>
  </si>
  <si>
    <t>210J (819G)</t>
  </si>
  <si>
    <t>210J</t>
  </si>
  <si>
    <t>13888</t>
  </si>
  <si>
    <t>2021_10_05_KM+C_210J-panc_H&amp;E__13888_TM-half.czi</t>
  </si>
  <si>
    <t>IAE_CODA_212J-panc_13890.czi</t>
  </si>
  <si>
    <t>212J</t>
  </si>
  <si>
    <t>13890</t>
  </si>
  <si>
    <t>2021_10_05_KM+C_212J-panc_H&amp;E__13890.czi</t>
  </si>
  <si>
    <t>IAE_CODA_222J-panc_7385.czi</t>
  </si>
  <si>
    <t>222J</t>
  </si>
  <si>
    <t>7385</t>
  </si>
  <si>
    <t>2020_02_27_KM+C_222J-panc_H&amp;E__7385.czi</t>
  </si>
  <si>
    <t>IAE_CODA_271J-panc_4171.czi</t>
  </si>
  <si>
    <t>271J</t>
  </si>
  <si>
    <t>4171</t>
  </si>
  <si>
    <t>2023_01_07_No-cre+Tam_271J-Panc_Reprocessed_H&amp;E__4171.czi</t>
  </si>
  <si>
    <t>IAE_CODA_304J-panc_7389.czi</t>
  </si>
  <si>
    <t>304J</t>
  </si>
  <si>
    <t>7389</t>
  </si>
  <si>
    <t>2020_02_27_KM+C_304J-panc_H&amp;E__7389.czi</t>
  </si>
  <si>
    <t>IAE_CODA_349J-panc_13915_TM-half.czi</t>
  </si>
  <si>
    <t>349J</t>
  </si>
  <si>
    <t>349J-P</t>
  </si>
  <si>
    <t>13915</t>
  </si>
  <si>
    <t>2021_10_05_KM+C_349J-panc_H&amp;E__13915_TM-half.czi</t>
  </si>
  <si>
    <t>IAE_CODA_349J-panc-tumor_13917_TM-half.czi</t>
  </si>
  <si>
    <t>349J_2</t>
  </si>
  <si>
    <t>349J-T</t>
  </si>
  <si>
    <t>Pancreas-tumor</t>
  </si>
  <si>
    <t>13917</t>
  </si>
  <si>
    <t>2021_10_05_KM+C_349J-panc-tumor_H&amp;E__13917_TM-half.czi</t>
  </si>
  <si>
    <t>IAE_CODA_352J-panc_13919_TM.czi</t>
  </si>
  <si>
    <t>352J</t>
  </si>
  <si>
    <t>13919</t>
  </si>
  <si>
    <t>2021_10_05_KM+C_352J-panc_H&amp;E__13919_TM.czi</t>
  </si>
  <si>
    <t>IAE_CODA_369J-panc_13923_TM-half.czi</t>
  </si>
  <si>
    <t>369J</t>
  </si>
  <si>
    <t>13923</t>
  </si>
  <si>
    <t>2021_10_05_KM+C_369J-panc_H&amp;E__13923_TM-half.czi</t>
  </si>
  <si>
    <t>IAE_CODA_011T-panc_6344.czi</t>
  </si>
  <si>
    <t>011T</t>
  </si>
  <si>
    <t>6344</t>
  </si>
  <si>
    <t>2022_05_26_KMC_011T-panc_H&amp;E__6344.czi</t>
  </si>
  <si>
    <t>Control</t>
  </si>
  <si>
    <t>IAE_CODA_017T-panc_6345.czi</t>
  </si>
  <si>
    <t>017T</t>
  </si>
  <si>
    <t>6345</t>
  </si>
  <si>
    <t>2022_05_26_KMC_017T-panc_H&amp;E__6345.czi</t>
  </si>
  <si>
    <t>IAE_CODA_036T-panc_0168.czi</t>
  </si>
  <si>
    <t>036T</t>
  </si>
  <si>
    <t>0168</t>
  </si>
  <si>
    <t>2022_05_24_KMC_036T-panc_H&amp;E__0168.czi</t>
  </si>
  <si>
    <t>IAE_CODA_040T-panc_13875_TM.czi</t>
  </si>
  <si>
    <t>040T</t>
  </si>
  <si>
    <t>13875</t>
  </si>
  <si>
    <t>2021_10_05_KMC_040T-panc_H&amp;E__13875_TM.czi</t>
  </si>
  <si>
    <t>IAE_CODA_078J-tumor_13881_TM-half.czi</t>
  </si>
  <si>
    <t>078J</t>
  </si>
  <si>
    <t>Tumor</t>
  </si>
  <si>
    <t>13881</t>
  </si>
  <si>
    <t>2021_10_05_KMC_078J-tumor_H&amp;E__13881_TM-half.czi</t>
  </si>
  <si>
    <t>IAE_CODA_106L-panc_6354.czi</t>
  </si>
  <si>
    <t>106L</t>
  </si>
  <si>
    <t>6354</t>
  </si>
  <si>
    <t>2022_05_26_KMC_106L-panc_H&amp;E__6354.czi</t>
  </si>
  <si>
    <r>
      <t>KMC</t>
    </r>
    <r>
      <rPr>
        <vertAlign val="superscript"/>
        <sz val="11"/>
        <rFont val="Arial"/>
        <family val="2"/>
      </rPr>
      <t>ERT2</t>
    </r>
  </si>
  <si>
    <t>IAE_CODA_136J-panc_1255.czi</t>
  </si>
  <si>
    <t>136J</t>
  </si>
  <si>
    <t>1255</t>
  </si>
  <si>
    <t>2020_02_26_KMC_136J-panc_H&amp;E__1255.czi</t>
  </si>
  <si>
    <t>IAE_CODA_167J-panc_1256.czi</t>
  </si>
  <si>
    <t>167J</t>
  </si>
  <si>
    <t>1256</t>
  </si>
  <si>
    <t>2020_02_26_KMC_167J-panc_H&amp;E__1256.czi</t>
  </si>
  <si>
    <t>IAE_CODA_171J-panc_7384.czi</t>
  </si>
  <si>
    <t>171J</t>
  </si>
  <si>
    <t>7384</t>
  </si>
  <si>
    <t>2020_02_27_KMC_171J-panc_H&amp;E__7384.czi</t>
  </si>
  <si>
    <t>IAE_CODA_206J-panc_4187.czi</t>
  </si>
  <si>
    <t>206J</t>
  </si>
  <si>
    <t>4187</t>
  </si>
  <si>
    <t>2023_01_07_KMC_206J-Panc_H&amp;E__4187.czi</t>
  </si>
  <si>
    <t>IAE_CODA_255J-panc_13896_TM-half.czi</t>
  </si>
  <si>
    <t>255J</t>
  </si>
  <si>
    <t>13896</t>
  </si>
  <si>
    <t>2021_10_05_KMC_255J-panc_H&amp;E__13896_TM-half.czi</t>
  </si>
  <si>
    <t>IAE_CODA_301J-panc_7387.czi</t>
  </si>
  <si>
    <t>301J</t>
  </si>
  <si>
    <t>7387</t>
  </si>
  <si>
    <t>2020_02_27_KMC_301J-panc_H&amp;E__7387.czi</t>
  </si>
  <si>
    <t>IAE_CODA_303J-panc_7388.czi</t>
  </si>
  <si>
    <t>303J</t>
  </si>
  <si>
    <t>7388</t>
  </si>
  <si>
    <t>2020_02_27_KMC_303J-panc_H&amp;E__7388.czi</t>
  </si>
  <si>
    <t>IAE_CODA_314J-panc_4188.czi</t>
  </si>
  <si>
    <t>314J</t>
  </si>
  <si>
    <t>4188</t>
  </si>
  <si>
    <t>2023_01_07_KMC_314J-Panc_H&amp;E__4188.czi</t>
  </si>
  <si>
    <t>IAE_CODA_808J-panc_6355.czi</t>
  </si>
  <si>
    <t>808J (140L)</t>
  </si>
  <si>
    <t>808J</t>
  </si>
  <si>
    <t>6355</t>
  </si>
  <si>
    <t>2022_05_26_KMC_808J-panc_H&amp;E__6355.czi</t>
  </si>
  <si>
    <t>IAE_CODA_904D-panc_4182.czi</t>
  </si>
  <si>
    <t>904D</t>
  </si>
  <si>
    <t>4182</t>
  </si>
  <si>
    <t>2023_01_07_KMC_904D-Panc_Reprocessed_H&amp;E__4182.czi</t>
  </si>
  <si>
    <t>IAE_CODA_982D-LS_4184.czi</t>
  </si>
  <si>
    <t>982D</t>
  </si>
  <si>
    <t>Liver-Spleen</t>
  </si>
  <si>
    <t>4184</t>
  </si>
  <si>
    <r>
      <t>KMC</t>
    </r>
    <r>
      <rPr>
        <vertAlign val="superscript"/>
        <sz val="12"/>
        <color theme="1"/>
        <rFont val="Aptos Narrow"/>
        <family val="2"/>
        <scheme val="minor"/>
      </rPr>
      <t>ER</t>
    </r>
  </si>
  <si>
    <t>2023_01_07_KMC_982D-LS_Reprocessed_H&amp;E__4184.czi</t>
  </si>
  <si>
    <t>IAE_CODA_327J-panc_13910.czi</t>
  </si>
  <si>
    <t>327J</t>
  </si>
  <si>
    <t>13910</t>
  </si>
  <si>
    <r>
      <t>MC</t>
    </r>
    <r>
      <rPr>
        <vertAlign val="superscript"/>
        <sz val="11"/>
        <color theme="1"/>
        <rFont val="Arial"/>
        <family val="2"/>
      </rPr>
      <t>ER</t>
    </r>
  </si>
  <si>
    <t>2021_10_05_MC_327J-panc_H&amp;E__13910.czi</t>
  </si>
  <si>
    <t>IAE_CODA_789J-panc_4175.czi</t>
  </si>
  <si>
    <t>789J</t>
  </si>
  <si>
    <t>4175</t>
  </si>
  <si>
    <r>
      <t>MC</t>
    </r>
    <r>
      <rPr>
        <vertAlign val="superscript"/>
        <sz val="11"/>
        <rFont val="Arial"/>
        <family val="2"/>
      </rPr>
      <t>ER</t>
    </r>
  </si>
  <si>
    <t>2023_01_07_MC_789J-Panc_Reprocessed_H&amp;E__4175.czi</t>
  </si>
  <si>
    <t>IAE_CODA_886J-panc_4177.czi</t>
  </si>
  <si>
    <t>886J</t>
  </si>
  <si>
    <t>4177</t>
  </si>
  <si>
    <t>2023_01_07_MC_886J-Panc_Reprocessed_H&amp;E__4177.czi</t>
  </si>
  <si>
    <t>IAE_CODA_919D-panc_4183.czi</t>
  </si>
  <si>
    <t>919D</t>
  </si>
  <si>
    <t>4183</t>
  </si>
  <si>
    <t>2023_01_07_MC_919D-Panc_Reprocessed_H&amp;E__4183.czi</t>
  </si>
  <si>
    <t>IAE_CODA_115L-panc_6349.czi</t>
  </si>
  <si>
    <t>115L</t>
  </si>
  <si>
    <t>6349</t>
  </si>
  <si>
    <t>No cre (KM)</t>
  </si>
  <si>
    <t>2022_05_26_No-cre-(KM)_115L-panc_H&amp;E__6349.czi</t>
  </si>
  <si>
    <t>IAE_CODA_328J-panc_13913.czi</t>
  </si>
  <si>
    <t>328J</t>
  </si>
  <si>
    <t>13913</t>
  </si>
  <si>
    <t>No cre (M+)</t>
  </si>
  <si>
    <t>2021_10_05_NoCre_328J-panc_H&amp;E__13913.czi</t>
  </si>
  <si>
    <t>IAE_CODA_845J-(023T)-panc_6347.czi</t>
  </si>
  <si>
    <t>845J (023T)</t>
  </si>
  <si>
    <t>845J</t>
  </si>
  <si>
    <t>6347</t>
  </si>
  <si>
    <t>No cre (K)</t>
  </si>
  <si>
    <t>2022_05_26_No-cre-(K)_845J-(023T)-panc_H&amp;E__6347.czi</t>
  </si>
  <si>
    <t>IAE_CODA_095T-panc_4166.czi</t>
  </si>
  <si>
    <t>095T</t>
  </si>
  <si>
    <t>4166</t>
  </si>
  <si>
    <t>No cre (KM) + Tam</t>
  </si>
  <si>
    <t>2023_01_07_No-cre+Tam_095T-Panc_Reprocessed_H&amp;E__4166.czi</t>
  </si>
  <si>
    <t>IAE_CODA_096T-panc_4168.czi</t>
  </si>
  <si>
    <t>096T</t>
  </si>
  <si>
    <t>4168</t>
  </si>
  <si>
    <t>2023_01_07_No-cre+Tam_096T-Panc_Reprocessed_H&amp;E__4168.czi</t>
  </si>
  <si>
    <t>IAE_CODA_102L-panc_4169.czi</t>
  </si>
  <si>
    <t>102L</t>
  </si>
  <si>
    <t>4169</t>
  </si>
  <si>
    <t>No cre (M) + Tam</t>
  </si>
  <si>
    <t>2023_01_07_No-cre+Tam_102L-Panc_Reprocessed_H&amp;E__4169.czi</t>
  </si>
  <si>
    <t>IAE_CODA_350J-panc_13918.czi</t>
  </si>
  <si>
    <t>350J</t>
  </si>
  <si>
    <t>13918</t>
  </si>
  <si>
    <r>
      <t>p48</t>
    </r>
    <r>
      <rPr>
        <vertAlign val="superscript"/>
        <sz val="11"/>
        <color theme="2" tint="-0.749992370372631"/>
        <rFont val="Arial"/>
        <family val="2"/>
      </rPr>
      <t>ER</t>
    </r>
    <r>
      <rPr>
        <sz val="11"/>
        <color theme="2" tint="-0.749992370372631"/>
        <rFont val="Arial"/>
        <family val="2"/>
      </rPr>
      <t>/+ only</t>
    </r>
  </si>
  <si>
    <t>2021_10_05_p48_350J-panc_H&amp;E__13918.czi</t>
  </si>
  <si>
    <t>IAE_CODA_355J-panc_13921.czi</t>
  </si>
  <si>
    <t>355J</t>
  </si>
  <si>
    <t>13921</t>
  </si>
  <si>
    <r>
      <t>p48</t>
    </r>
    <r>
      <rPr>
        <vertAlign val="superscript"/>
        <sz val="11"/>
        <color theme="1"/>
        <rFont val="Arial"/>
        <family val="2"/>
      </rPr>
      <t>ER</t>
    </r>
    <r>
      <rPr>
        <sz val="11"/>
        <color theme="1"/>
        <rFont val="Arial"/>
        <family val="2"/>
      </rPr>
      <t>/+ only</t>
    </r>
  </si>
  <si>
    <r>
      <t>Ptf1a</t>
    </r>
    <r>
      <rPr>
        <vertAlign val="superscript"/>
        <sz val="11"/>
        <rFont val="Arial"/>
        <family val="2"/>
      </rPr>
      <t>ERT2</t>
    </r>
    <r>
      <rPr>
        <sz val="11"/>
        <rFont val="Arial"/>
        <family val="2"/>
      </rPr>
      <t>/+ only</t>
    </r>
  </si>
  <si>
    <t>2021_10_05_p48_355J-panc_H&amp;E__13921.czi</t>
  </si>
  <si>
    <t>IAE_CODA_366J-panc_0160.czi</t>
  </si>
  <si>
    <t>366J</t>
  </si>
  <si>
    <t>0160</t>
  </si>
  <si>
    <t>2022_05_24_p48+_366J-panc_H&amp;E__0160.czi</t>
  </si>
  <si>
    <t>IAE_CODA_4064-panc_1243.czi</t>
  </si>
  <si>
    <t>KPC (DT061)</t>
  </si>
  <si>
    <t>2020_02_26_KPC-DT061_4064-panc_H&amp;E__1243.czi</t>
  </si>
  <si>
    <t>IAE_CODA_4163-panc_1283.czi</t>
  </si>
  <si>
    <t>2020_02_26_KPC-DT061_4163-panc_H&amp;E__1283.czi</t>
  </si>
  <si>
    <t>IAE_CODA_665D-panc_13990.czi</t>
  </si>
  <si>
    <t>665D</t>
  </si>
  <si>
    <t>2021_10_06_KPC-DT_665D-panc_H&amp;E__13990.czi</t>
  </si>
  <si>
    <t>IAE_CODA_741D-panc_6395.czi</t>
  </si>
  <si>
    <t>741D</t>
  </si>
  <si>
    <t>KPC (untreated)</t>
  </si>
  <si>
    <t>2022_05_26_KPC_741D-panc_H&amp;E__6395.czi</t>
  </si>
  <si>
    <t>IAE_CODA_4100-panc_1244.czi</t>
  </si>
  <si>
    <t>KPC (vehicle)</t>
  </si>
  <si>
    <t>2020_02_26_KPC-vehicle_4100-panc_H&amp;E__1244.czi</t>
  </si>
  <si>
    <t>IAE_CODA_4330-panc_1246.czi</t>
  </si>
  <si>
    <t>2020_02_26_KPC_4330-panc_H&amp;E__1246.czi</t>
  </si>
  <si>
    <t>IAE_CODA_338G-panc_1247.czi</t>
  </si>
  <si>
    <t>338G</t>
  </si>
  <si>
    <t>2020_02_26_KPC-vehicle_338G-panc_H&amp;E__1247.czi</t>
  </si>
  <si>
    <t>IAE_CODA_405G-panc_pale.czi</t>
  </si>
  <si>
    <t>405G</t>
  </si>
  <si>
    <t>pale</t>
  </si>
  <si>
    <t>2019_10_31_KPC_405G-panc_H&amp;E__PW-scan-04_pale.czi</t>
  </si>
  <si>
    <t>IAE_CODA_U933-panc_1252.czi</t>
  </si>
  <si>
    <t>U933</t>
  </si>
  <si>
    <t>2020_02_26_KPC-vehicle_U933-panc_H&amp;E__1252.czi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</si>
</sst>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1"/>
      <color theme="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rgb="FF7030A0"/>
      <name val="Arial"/>
      <family val="2"/>
    </font>
    <font>
      <vertAlign val="superscript"/>
      <sz val="11"/>
      <color theme="1"/>
      <name val="Arial"/>
      <family val="2"/>
    </font>
    <font>
      <sz val="11"/>
      <color rgb="FF7030A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vertAlign val="superscript"/>
      <sz val="11"/>
      <name val="Arial"/>
      <family val="2"/>
    </font>
    <font>
      <b/>
      <sz val="11"/>
      <color theme="1"/>
      <name val="Arial"/>
      <family val="2"/>
    </font>
    <font>
      <sz val="11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2"/>
      <name val="Aptos Narrow"/>
      <family val="2"/>
      <scheme val="minor"/>
    </font>
    <font>
      <sz val="11"/>
      <color theme="2" tint="-0.749992370372631"/>
      <name val="Arial"/>
      <family val="2"/>
    </font>
    <font>
      <vertAlign val="superscript"/>
      <sz val="11"/>
      <color theme="2" tint="-0.749992370372631"/>
      <name val="Arial"/>
      <family val="2"/>
    </font>
    <font>
      <sz val="11"/>
      <color rgb="FF0070C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3"/>
      <name val="Arial"/>
      <family val="2"/>
    </font>
    <font>
      <vertAlign val="superscript"/>
      <sz val="12"/>
      <color theme="1"/>
      <name val="Aptos Narrow"/>
      <family val="2"/>
      <scheme val="minor"/>
    </font>
    <font>
      <b/>
      <sz val="11"/>
      <color theme="2" tint="-0.7499923703726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3">
    <xf numFmtId="0" fontId="0" fillId="0" borderId="0" xfId="0"/>
    <xf numFmtId="0" fontId="2" fillId="2" borderId="1" xfId="1" applyFont="1" applyFill="1" applyBorder="1" applyAlignment="1">
      <alignment horizontal="left" vertical="center" shrinkToFit="1"/>
    </xf>
    <xf numFmtId="0" fontId="2" fillId="2" borderId="2" xfId="1" applyFont="1" applyFill="1" applyBorder="1" applyAlignment="1">
      <alignment horizontal="left" vertical="center" shrinkToFit="1"/>
    </xf>
    <xf numFmtId="0" fontId="3" fillId="0" borderId="0" xfId="2" applyAlignment="1">
      <alignment shrinkToFit="1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2" borderId="3" xfId="1" applyFont="1" applyFill="1" applyBorder="1" applyAlignment="1">
      <alignment horizontal="left"/>
    </xf>
    <xf numFmtId="0" fontId="5" fillId="0" borderId="4" xfId="1" applyFont="1" applyBorder="1" applyAlignment="1">
      <alignment horizontal="left" vertical="center" shrinkToFit="1"/>
    </xf>
    <xf numFmtId="0" fontId="6" fillId="0" borderId="4" xfId="1" applyFont="1" applyBorder="1" applyAlignment="1">
      <alignment horizontal="left" vertical="center" shrinkToFit="1"/>
    </xf>
    <xf numFmtId="164" fontId="8" fillId="0" borderId="4" xfId="1" applyNumberFormat="1" applyFont="1" applyBorder="1" applyAlignment="1">
      <alignment horizontal="left" vertical="center" shrinkToFit="1"/>
    </xf>
    <xf numFmtId="2" fontId="0" fillId="0" borderId="4" xfId="0" applyNumberFormat="1" applyBorder="1" applyAlignment="1">
      <alignment shrinkToFit="1"/>
    </xf>
    <xf numFmtId="0" fontId="9" fillId="0" borderId="4" xfId="1" applyFont="1" applyBorder="1" applyAlignment="1">
      <alignment horizontal="left" vertical="center" shrinkToFit="1"/>
    </xf>
    <xf numFmtId="2" fontId="9" fillId="0" borderId="4" xfId="2" applyNumberFormat="1" applyFont="1" applyBorder="1" applyAlignment="1">
      <alignment horizontal="left" vertical="center" shrinkToFit="1"/>
    </xf>
    <xf numFmtId="0" fontId="5" fillId="0" borderId="5" xfId="0" applyFont="1" applyBorder="1" applyAlignment="1">
      <alignment horizontal="left" vertical="center" shrinkToFit="1"/>
    </xf>
    <xf numFmtId="0" fontId="5" fillId="0" borderId="0" xfId="1" applyFont="1" applyAlignment="1">
      <alignment horizontal="left" vertical="center" shrinkToFit="1"/>
    </xf>
    <xf numFmtId="1" fontId="10" fillId="0" borderId="5" xfId="0" applyNumberFormat="1" applyFont="1" applyBorder="1" applyAlignment="1">
      <alignment horizontal="left"/>
    </xf>
    <xf numFmtId="2" fontId="5" fillId="0" borderId="0" xfId="0" applyNumberFormat="1" applyFont="1"/>
    <xf numFmtId="0" fontId="11" fillId="0" borderId="4" xfId="1" applyFont="1" applyBorder="1" applyAlignment="1">
      <alignment horizontal="left" vertical="center" shrinkToFit="1"/>
    </xf>
    <xf numFmtId="0" fontId="12" fillId="0" borderId="4" xfId="1" applyFont="1" applyBorder="1" applyAlignment="1">
      <alignment horizontal="left" vertical="center" shrinkToFit="1"/>
    </xf>
    <xf numFmtId="0" fontId="13" fillId="0" borderId="0" xfId="1" applyFont="1" applyAlignment="1">
      <alignment horizontal="left" vertical="center" shrinkToFit="1"/>
    </xf>
    <xf numFmtId="0" fontId="13" fillId="0" borderId="4" xfId="1" applyFont="1" applyBorder="1" applyAlignment="1">
      <alignment horizontal="left" vertical="center" shrinkToFit="1"/>
    </xf>
    <xf numFmtId="0" fontId="15" fillId="0" borderId="4" xfId="1" applyFont="1" applyBorder="1" applyAlignment="1">
      <alignment horizontal="left" vertical="center" shrinkToFit="1"/>
    </xf>
    <xf numFmtId="0" fontId="16" fillId="0" borderId="4" xfId="1" applyFont="1" applyBorder="1" applyAlignment="1">
      <alignment horizontal="left" vertical="center" shrinkToFit="1"/>
    </xf>
    <xf numFmtId="0" fontId="17" fillId="0" borderId="5" xfId="0" applyFont="1" applyBorder="1" applyAlignment="1">
      <alignment horizontal="left" vertical="center" shrinkToFit="1"/>
    </xf>
    <xf numFmtId="0" fontId="18" fillId="0" borderId="0" xfId="0" applyFont="1" applyAlignment="1">
      <alignment horizontal="left" vertical="center" shrinkToFit="1"/>
    </xf>
    <xf numFmtId="1" fontId="18" fillId="0" borderId="5" xfId="0" applyNumberFormat="1" applyFont="1" applyBorder="1" applyAlignment="1">
      <alignment horizontal="left"/>
    </xf>
    <xf numFmtId="2" fontId="17" fillId="0" borderId="0" xfId="0" applyNumberFormat="1" applyFont="1"/>
    <xf numFmtId="49" fontId="9" fillId="0" borderId="0" xfId="0" applyNumberFormat="1" applyFont="1" applyAlignment="1">
      <alignment horizontal="left" vertical="center" shrinkToFit="1"/>
    </xf>
    <xf numFmtId="0" fontId="0" fillId="0" borderId="4" xfId="0" applyBorder="1" applyAlignment="1">
      <alignment shrinkToFit="1"/>
    </xf>
    <xf numFmtId="49" fontId="13" fillId="0" borderId="4" xfId="1" applyNumberFormat="1" applyFont="1" applyBorder="1" applyAlignment="1">
      <alignment horizontal="left" vertical="center" shrinkToFit="1"/>
    </xf>
    <xf numFmtId="0" fontId="19" fillId="0" borderId="4" xfId="0" applyFont="1" applyBorder="1" applyAlignment="1">
      <alignment horizontal="left" shrinkToFit="1"/>
    </xf>
    <xf numFmtId="0" fontId="9" fillId="0" borderId="0" xfId="0" applyFont="1" applyAlignment="1">
      <alignment horizontal="left" vertical="center" shrinkToFit="1"/>
    </xf>
    <xf numFmtId="0" fontId="20" fillId="0" borderId="0" xfId="1" applyFont="1" applyAlignment="1">
      <alignment horizontal="left" vertical="center" shrinkToFit="1"/>
    </xf>
    <xf numFmtId="164" fontId="8" fillId="0" borderId="5" xfId="0" applyNumberFormat="1" applyFont="1" applyBorder="1" applyAlignment="1">
      <alignment horizontal="left" vertical="center" shrinkToFit="1"/>
    </xf>
    <xf numFmtId="0" fontId="12" fillId="0" borderId="5" xfId="0" applyFont="1" applyBorder="1" applyAlignment="1">
      <alignment horizontal="left" vertical="center" shrinkToFit="1"/>
    </xf>
    <xf numFmtId="0" fontId="5" fillId="0" borderId="0" xfId="0" applyFont="1"/>
    <xf numFmtId="1" fontId="5" fillId="0" borderId="5" xfId="0" applyNumberFormat="1" applyFont="1" applyBorder="1" applyAlignment="1">
      <alignment horizontal="left"/>
    </xf>
    <xf numFmtId="0" fontId="22" fillId="0" borderId="0" xfId="1" applyFont="1" applyAlignment="1">
      <alignment horizontal="left" vertical="center" shrinkToFit="1"/>
    </xf>
    <xf numFmtId="0" fontId="22" fillId="3" borderId="0" xfId="1" applyFont="1" applyFill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1" fontId="0" fillId="0" borderId="0" xfId="0" applyNumberFormat="1"/>
    <xf numFmtId="0" fontId="10" fillId="0" borderId="4" xfId="1" applyFont="1" applyBorder="1" applyAlignment="1">
      <alignment horizontal="left" vertical="center" shrinkToFit="1"/>
    </xf>
    <xf numFmtId="0" fontId="15" fillId="3" borderId="4" xfId="1" applyFont="1" applyFill="1" applyBorder="1" applyAlignment="1">
      <alignment horizontal="left" vertical="center" shrinkToFit="1"/>
    </xf>
    <xf numFmtId="0" fontId="16" fillId="0" borderId="5" xfId="0" applyFont="1" applyBorder="1" applyAlignment="1">
      <alignment horizontal="left" vertical="center" shrinkToFi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3" fillId="2" borderId="7" xfId="2" applyFont="1" applyFill="1" applyBorder="1" applyAlignment="1">
      <alignment shrinkToFit="1"/>
    </xf>
    <xf numFmtId="0" fontId="4" fillId="2" borderId="8" xfId="1" applyFont="1" applyFill="1" applyBorder="1" applyAlignment="1">
      <alignment horizontal="left"/>
    </xf>
    <xf numFmtId="0" fontId="24" fillId="0" borderId="4" xfId="1" applyFont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8" fillId="3" borderId="10" xfId="0" applyFont="1" applyFill="1" applyBorder="1" applyAlignment="1">
      <alignment horizontal="left" vertical="center" shrinkToFit="1"/>
    </xf>
    <xf numFmtId="1" fontId="18" fillId="3" borderId="10" xfId="0" applyNumberFormat="1" applyFont="1" applyFill="1" applyBorder="1" applyAlignment="1">
      <alignment horizontal="left"/>
    </xf>
    <xf numFmtId="2" fontId="17" fillId="3" borderId="10" xfId="0" applyNumberFormat="1" applyFont="1" applyFill="1" applyBorder="1"/>
    <xf numFmtId="2" fontId="17" fillId="3" borderId="11" xfId="0" applyNumberFormat="1" applyFont="1" applyFill="1" applyBorder="1"/>
    <xf numFmtId="0" fontId="17" fillId="3" borderId="12" xfId="0" applyFont="1" applyFill="1" applyBorder="1" applyAlignment="1">
      <alignment horizontal="left" vertical="center" shrinkToFit="1"/>
    </xf>
    <xf numFmtId="0" fontId="18" fillId="3" borderId="4" xfId="0" applyFont="1" applyFill="1" applyBorder="1" applyAlignment="1">
      <alignment horizontal="left" vertical="center" shrinkToFit="1"/>
    </xf>
    <xf numFmtId="1" fontId="18" fillId="3" borderId="4" xfId="0" applyNumberFormat="1" applyFont="1" applyFill="1" applyBorder="1" applyAlignment="1">
      <alignment horizontal="left"/>
    </xf>
    <xf numFmtId="2" fontId="17" fillId="3" borderId="4" xfId="0" applyNumberFormat="1" applyFont="1" applyFill="1" applyBorder="1"/>
    <xf numFmtId="2" fontId="17" fillId="3" borderId="13" xfId="0" applyNumberFormat="1" applyFont="1" applyFill="1" applyBorder="1"/>
    <xf numFmtId="0" fontId="5" fillId="0" borderId="12" xfId="0" applyFont="1" applyBorder="1" applyAlignment="1">
      <alignment horizontal="left" vertical="center" shrinkToFit="1"/>
    </xf>
    <xf numFmtId="0" fontId="5" fillId="0" borderId="14" xfId="1" applyFont="1" applyBorder="1" applyAlignment="1">
      <alignment horizontal="left" vertical="center" shrinkToFit="1"/>
    </xf>
    <xf numFmtId="1" fontId="10" fillId="0" borderId="4" xfId="0" applyNumberFormat="1" applyFont="1" applyBorder="1" applyAlignment="1">
      <alignment horizontal="left"/>
    </xf>
    <xf numFmtId="2" fontId="5" fillId="0" borderId="4" xfId="0" applyNumberFormat="1" applyFont="1" applyBorder="1"/>
    <xf numFmtId="2" fontId="5" fillId="0" borderId="13" xfId="0" applyNumberFormat="1" applyFont="1" applyBorder="1"/>
    <xf numFmtId="0" fontId="9" fillId="0" borderId="4" xfId="0" applyFont="1" applyBorder="1" applyAlignment="1">
      <alignment horizontal="left" vertical="center" shrinkToFit="1"/>
    </xf>
    <xf numFmtId="49" fontId="5" fillId="0" borderId="4" xfId="1" applyNumberFormat="1" applyFont="1" applyBorder="1" applyAlignment="1">
      <alignment horizontal="left" vertical="center" shrinkToFit="1"/>
    </xf>
    <xf numFmtId="49" fontId="9" fillId="0" borderId="4" xfId="1" applyNumberFormat="1" applyFont="1" applyBorder="1" applyAlignment="1">
      <alignment horizontal="left" vertical="center" shrinkToFit="1"/>
    </xf>
    <xf numFmtId="0" fontId="20" fillId="0" borderId="4" xfId="1" applyFont="1" applyBorder="1" applyAlignment="1">
      <alignment horizontal="left" vertical="center" shrinkToFit="1"/>
    </xf>
    <xf numFmtId="0" fontId="26" fillId="0" borderId="4" xfId="1" applyFont="1" applyBorder="1" applyAlignment="1">
      <alignment horizontal="left" vertical="center" shrinkToFit="1"/>
    </xf>
    <xf numFmtId="0" fontId="22" fillId="0" borderId="4" xfId="0" applyFont="1" applyBorder="1" applyAlignment="1">
      <alignment horizontal="left" vertical="center" shrinkToFit="1"/>
    </xf>
    <xf numFmtId="0" fontId="22" fillId="0" borderId="4" xfId="1" applyFont="1" applyBorder="1" applyAlignment="1">
      <alignment horizontal="left" vertical="center" shrinkToFit="1"/>
    </xf>
    <xf numFmtId="49" fontId="22" fillId="0" borderId="4" xfId="1" applyNumberFormat="1" applyFont="1" applyBorder="1" applyAlignment="1">
      <alignment horizontal="left" vertical="center" shrinkToFit="1"/>
    </xf>
    <xf numFmtId="0" fontId="0" fillId="0" borderId="0" xfId="0" applyAlignment="1">
      <alignment shrinkToFit="1"/>
    </xf>
  </cellXfs>
  <cellStyles count="3">
    <cellStyle name="Normal" xfId="0" builtinId="0"/>
    <cellStyle name="Normal 2" xfId="1" xr:uid="{1696880F-8464-AE4F-86D6-BCA94F87E22D}"/>
    <cellStyle name="Normal 3" xfId="2" xr:uid="{DBAD6F7D-8A00-F342-9BDD-3A28A5E72CEC}"/>
  </cellStyles>
  <dxfs count="63"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sz val="1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sz val="1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sz val="11"/>
        <name val="Arial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'CODA_w-nec+KPC_Final'!$AB$43</c:f>
              <c:strCache>
                <c:ptCount val="1"/>
                <c:pt idx="0">
                  <c:v>Islet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'CODA_w-nec+KPC_Final'!$AB$44:$AB$46</c:f>
              <c:numCache>
                <c:formatCode>0.00</c:formatCode>
                <c:ptCount val="3"/>
                <c:pt idx="0">
                  <c:v>0.42421461550154926</c:v>
                </c:pt>
                <c:pt idx="1">
                  <c:v>0.89489569012182635</c:v>
                </c:pt>
                <c:pt idx="2">
                  <c:v>0.46951141087202647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A-9247-9EDA-681C5232E8BC}"/>
            </c:ext>
          </c:extLst>
        </c:ser>
        <c:ser>
          <c:idx val="1"/>
          <c:order val="1"/>
          <c:tx>
            <c:strRef>
              <c:f>'CODA_w-nec+KPC_Final'!$AC$43</c:f>
              <c:strCache>
                <c:ptCount val="1"/>
                <c:pt idx="0">
                  <c:v>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'CODA_w-nec+KPC_Final'!$AC$44:$AC$46</c:f>
              <c:numCache>
                <c:formatCode>0.00</c:formatCode>
                <c:ptCount val="3"/>
                <c:pt idx="0">
                  <c:v>0.51639017083117611</c:v>
                </c:pt>
                <c:pt idx="1">
                  <c:v>7.0067312336537944</c:v>
                </c:pt>
                <c:pt idx="2">
                  <c:v>9.7224095077638459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A-9247-9EDA-681C5232E8BC}"/>
            </c:ext>
          </c:extLst>
        </c:ser>
        <c:ser>
          <c:idx val="2"/>
          <c:order val="2"/>
          <c:tx>
            <c:strRef>
              <c:f>'CODA_w-nec+KPC_Final'!$AD$43</c:f>
              <c:strCache>
                <c:ptCount val="1"/>
                <c:pt idx="0">
                  <c:v>Vasculature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'CODA_w-nec+KPC_Final'!$AD$44:$AD$46</c:f>
              <c:numCache>
                <c:formatCode>0.00</c:formatCode>
                <c:ptCount val="3"/>
                <c:pt idx="0">
                  <c:v>1.6341629664022821</c:v>
                </c:pt>
                <c:pt idx="1">
                  <c:v>3.5957435777140496</c:v>
                </c:pt>
                <c:pt idx="2">
                  <c:v>2.0159034675689109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A-9247-9EDA-681C5232E8BC}"/>
            </c:ext>
          </c:extLst>
        </c:ser>
        <c:ser>
          <c:idx val="3"/>
          <c:order val="3"/>
          <c:tx>
            <c:strRef>
              <c:f>'CODA_w-nec+KPC_Final'!$AE$43</c:f>
              <c:strCache>
                <c:ptCount val="1"/>
                <c:pt idx="0">
                  <c:v>Adipose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'CODA_w-nec+KPC_Final'!$AE$44:$AE$46</c:f>
              <c:numCache>
                <c:formatCode>0.00</c:formatCode>
                <c:ptCount val="3"/>
                <c:pt idx="0">
                  <c:v>3.2235063013838041</c:v>
                </c:pt>
                <c:pt idx="1">
                  <c:v>1.6915425593927178</c:v>
                </c:pt>
                <c:pt idx="2">
                  <c:v>5.4657488412139585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A-9247-9EDA-681C5232E8BC}"/>
            </c:ext>
          </c:extLst>
        </c:ser>
        <c:ser>
          <c:idx val="4"/>
          <c:order val="4"/>
          <c:tx>
            <c:strRef>
              <c:f>'CODA_w-nec+KPC_Final'!$AF$43</c:f>
              <c:strCache>
                <c:ptCount val="1"/>
                <c:pt idx="0">
                  <c:v>Acini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'CODA_w-nec+KPC_Final'!$AF$44:$AF$46</c:f>
              <c:numCache>
                <c:formatCode>0.00</c:formatCode>
                <c:ptCount val="3"/>
                <c:pt idx="0">
                  <c:v>80.158848440151516</c:v>
                </c:pt>
                <c:pt idx="1">
                  <c:v>3.408606030814866</c:v>
                </c:pt>
                <c:pt idx="2">
                  <c:v>10.212986684715773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A-9247-9EDA-681C5232E8BC}"/>
            </c:ext>
          </c:extLst>
        </c:ser>
        <c:ser>
          <c:idx val="5"/>
          <c:order val="5"/>
          <c:tx>
            <c:strRef>
              <c:f>'CODA_w-nec+KPC_Final'!$AG$43</c:f>
              <c:strCache>
                <c:ptCount val="1"/>
                <c:pt idx="0">
                  <c:v>Collagen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'CODA_w-nec+KPC_Final'!$AG$44:$AG$46</c:f>
              <c:numCache>
                <c:formatCode>0.00</c:formatCode>
                <c:ptCount val="3"/>
                <c:pt idx="0">
                  <c:v>8.2338276154640866</c:v>
                </c:pt>
                <c:pt idx="1">
                  <c:v>31.72725765773443</c:v>
                </c:pt>
                <c:pt idx="2">
                  <c:v>40.52289047400722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A-9247-9EDA-681C5232E8BC}"/>
            </c:ext>
          </c:extLst>
        </c:ser>
        <c:ser>
          <c:idx val="6"/>
          <c:order val="6"/>
          <c:tx>
            <c:strRef>
              <c:f>'CODA_w-nec+KPC_Final'!$AH$43</c:f>
              <c:strCache>
                <c:ptCount val="1"/>
                <c:pt idx="0">
                  <c:v>PanIN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'CODA_w-nec+KPC_Final'!$AH$44:$AH$46</c:f>
              <c:numCache>
                <c:formatCode>0.00</c:formatCode>
                <c:ptCount val="3"/>
                <c:pt idx="0">
                  <c:v>1.3118520694370778E-2</c:v>
                </c:pt>
                <c:pt idx="1">
                  <c:v>1.4016181879711931</c:v>
                </c:pt>
                <c:pt idx="2">
                  <c:v>3.2701256615992169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A-9247-9EDA-681C5232E8BC}"/>
            </c:ext>
          </c:extLst>
        </c:ser>
        <c:ser>
          <c:idx val="7"/>
          <c:order val="7"/>
          <c:tx>
            <c:strRef>
              <c:f>'CODA_w-nec+KPC_Final'!$AI$43</c:f>
              <c:strCache>
                <c:ptCount val="1"/>
                <c:pt idx="0">
                  <c:v>PDAc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'CODA_w-nec+KPC_Final'!$AI$44:$AI$46</c:f>
              <c:numCache>
                <c:formatCode>0.00</c:formatCode>
                <c:ptCount val="3"/>
                <c:pt idx="0">
                  <c:v>5.1928735281214271E-2</c:v>
                </c:pt>
                <c:pt idx="1">
                  <c:v>28.213200883004017</c:v>
                </c:pt>
                <c:pt idx="2">
                  <c:v>15.712359899084166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A-9247-9EDA-681C5232E8BC}"/>
            </c:ext>
          </c:extLst>
        </c:ser>
        <c:ser>
          <c:idx val="8"/>
          <c:order val="8"/>
          <c:tx>
            <c:strRef>
              <c:f>'CODA_w-nec+KPC_Final'!$AJ$43</c:f>
              <c:strCache>
                <c:ptCount val="1"/>
                <c:pt idx="0">
                  <c:v>Immune Hotspot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'CODA_w-nec+KPC_Final'!$AJ$44:$AJ$46</c:f>
              <c:numCache>
                <c:formatCode>0.00</c:formatCode>
                <c:ptCount val="3"/>
                <c:pt idx="0">
                  <c:v>0.51023237745350525</c:v>
                </c:pt>
                <c:pt idx="1">
                  <c:v>0.91659327976527682</c:v>
                </c:pt>
                <c:pt idx="2">
                  <c:v>3.5250940417047523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3A-9247-9EDA-681C5232E8BC}"/>
            </c:ext>
          </c:extLst>
        </c:ser>
        <c:ser>
          <c:idx val="9"/>
          <c:order val="9"/>
          <c:tx>
            <c:strRef>
              <c:f>'CODA_w-nec+KPC_Final'!$AK$43</c:f>
              <c:strCache>
                <c:ptCount val="1"/>
                <c:pt idx="0">
                  <c:v>Duodenum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'CODA_w-nec+KPC_Final'!$AK$44:$AK$46</c:f>
              <c:numCache>
                <c:formatCode>0.00</c:formatCode>
                <c:ptCount val="3"/>
                <c:pt idx="0">
                  <c:v>1.2058544217718776</c:v>
                </c:pt>
                <c:pt idx="1">
                  <c:v>0</c:v>
                </c:pt>
                <c:pt idx="2">
                  <c:v>7.7285344453661753E-2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3A-9247-9EDA-681C5232E8BC}"/>
            </c:ext>
          </c:extLst>
        </c:ser>
        <c:ser>
          <c:idx val="10"/>
          <c:order val="10"/>
          <c:tx>
            <c:strRef>
              <c:f>'CODA_w-nec+KPC_Final'!$AL$43</c:f>
              <c:strCache>
                <c:ptCount val="1"/>
                <c:pt idx="0">
                  <c:v>Lymph Node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'CODA_w-nec+KPC_Final'!$AL$44:$AL$46</c:f>
              <c:numCache>
                <c:formatCode>0.00</c:formatCode>
                <c:ptCount val="3"/>
                <c:pt idx="0">
                  <c:v>4.0279158350645892</c:v>
                </c:pt>
                <c:pt idx="1">
                  <c:v>2.6156606083071652</c:v>
                </c:pt>
                <c:pt idx="2">
                  <c:v>1.0670062219879553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3A-9247-9EDA-681C5232E8BC}"/>
            </c:ext>
          </c:extLst>
        </c:ser>
        <c:ser>
          <c:idx val="11"/>
          <c:order val="11"/>
          <c:tx>
            <c:strRef>
              <c:f>'CODA_w-nec+KPC_Final'!$AM$43</c:f>
              <c:strCache>
                <c:ptCount val="1"/>
                <c:pt idx="0">
                  <c:v>Necrosis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'CODA_w-nec+KPC_Final'!$AM$44:$AM$46</c:f>
              <c:numCache>
                <c:formatCode>0.00</c:formatCode>
                <c:ptCount val="3"/>
                <c:pt idx="0">
                  <c:v>0</c:v>
                </c:pt>
                <c:pt idx="1">
                  <c:v>18.528150291520664</c:v>
                </c:pt>
                <c:pt idx="2">
                  <c:v>7.9386784450285361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3A-9247-9EDA-681C5232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977344"/>
        <c:axId val="1432319968"/>
      </c:barChart>
      <c:catAx>
        <c:axId val="14319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19968"/>
        <c:crosses val="autoZero"/>
        <c:auto val="1"/>
        <c:lblAlgn val="ctr"/>
        <c:lblOffset val="100"/>
        <c:noMultiLvlLbl val="0"/>
      </c:catAx>
      <c:valAx>
        <c:axId val="1432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'CODA_w-nec+KPC_Final'!$Y$51</c:f>
              <c:strCache>
                <c:ptCount val="1"/>
                <c:pt idx="0">
                  <c:v>Islet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'CODA_w-nec+KPC_Final'!$Z$51:$AB$51</c:f>
              <c:numCache>
                <c:formatCode>0.00</c:formatCode>
                <c:ptCount val="3"/>
                <c:pt idx="0">
                  <c:v>0.42421461550154926</c:v>
                </c:pt>
                <c:pt idx="1">
                  <c:v>0.46951141087202647</c:v>
                </c:pt>
                <c:pt idx="2">
                  <c:v>0.89489569012182635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5-5341-915D-1652FDA1D478}"/>
            </c:ext>
          </c:extLst>
        </c:ser>
        <c:ser>
          <c:idx val="1"/>
          <c:order val="1"/>
          <c:tx>
            <c:strRef>
              <c:f>'CODA_w-nec+KPC_Final'!$Y$52</c:f>
              <c:strCache>
                <c:ptCount val="1"/>
                <c:pt idx="0">
                  <c:v>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'CODA_w-nec+KPC_Final'!$Z$52:$AB$52</c:f>
              <c:numCache>
                <c:formatCode>0.00</c:formatCode>
                <c:ptCount val="3"/>
                <c:pt idx="0">
                  <c:v>0.51639017083117611</c:v>
                </c:pt>
                <c:pt idx="1">
                  <c:v>9.7224095077638459</c:v>
                </c:pt>
                <c:pt idx="2">
                  <c:v>7.0067312336537944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5-5341-915D-1652FDA1D478}"/>
            </c:ext>
          </c:extLst>
        </c:ser>
        <c:ser>
          <c:idx val="2"/>
          <c:order val="2"/>
          <c:tx>
            <c:strRef>
              <c:f>'CODA_w-nec+KPC_Final'!$Y$53</c:f>
              <c:strCache>
                <c:ptCount val="1"/>
                <c:pt idx="0">
                  <c:v>Vasculature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'CODA_w-nec+KPC_Final'!$Z$53:$AB$53</c:f>
              <c:numCache>
                <c:formatCode>0.00</c:formatCode>
                <c:ptCount val="3"/>
                <c:pt idx="0">
                  <c:v>1.6341629664022821</c:v>
                </c:pt>
                <c:pt idx="1">
                  <c:v>2.0159034675689109</c:v>
                </c:pt>
                <c:pt idx="2">
                  <c:v>3.5957435777140496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5-5341-915D-1652FDA1D478}"/>
            </c:ext>
          </c:extLst>
        </c:ser>
        <c:ser>
          <c:idx val="3"/>
          <c:order val="3"/>
          <c:tx>
            <c:strRef>
              <c:f>'CODA_w-nec+KPC_Final'!$Y$54</c:f>
              <c:strCache>
                <c:ptCount val="1"/>
                <c:pt idx="0">
                  <c:v>Adipose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'CODA_w-nec+KPC_Final'!$Z$54:$AB$54</c:f>
              <c:numCache>
                <c:formatCode>0.00</c:formatCode>
                <c:ptCount val="3"/>
                <c:pt idx="0">
                  <c:v>3.2235063013838041</c:v>
                </c:pt>
                <c:pt idx="1">
                  <c:v>5.4657488412139585</c:v>
                </c:pt>
                <c:pt idx="2">
                  <c:v>1.6915425593927178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5-5341-915D-1652FDA1D478}"/>
            </c:ext>
          </c:extLst>
        </c:ser>
        <c:ser>
          <c:idx val="4"/>
          <c:order val="4"/>
          <c:tx>
            <c:strRef>
              <c:f>'CODA_w-nec+KPC_Final'!$Y$55</c:f>
              <c:strCache>
                <c:ptCount val="1"/>
                <c:pt idx="0">
                  <c:v>Acini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'CODA_w-nec+KPC_Final'!$Z$55:$AB$55</c:f>
              <c:numCache>
                <c:formatCode>0.00</c:formatCode>
                <c:ptCount val="3"/>
                <c:pt idx="0">
                  <c:v>80.158848440151516</c:v>
                </c:pt>
                <c:pt idx="1">
                  <c:v>10.212986684715773</c:v>
                </c:pt>
                <c:pt idx="2">
                  <c:v>3.408606030814866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5-5341-915D-1652FDA1D478}"/>
            </c:ext>
          </c:extLst>
        </c:ser>
        <c:ser>
          <c:idx val="5"/>
          <c:order val="5"/>
          <c:tx>
            <c:strRef>
              <c:f>'CODA_w-nec+KPC_Final'!$Y$56</c:f>
              <c:strCache>
                <c:ptCount val="1"/>
                <c:pt idx="0">
                  <c:v>Collagen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'CODA_w-nec+KPC_Final'!$Z$56:$AB$56</c:f>
              <c:numCache>
                <c:formatCode>0.00</c:formatCode>
                <c:ptCount val="3"/>
                <c:pt idx="0">
                  <c:v>8.2338276154640866</c:v>
                </c:pt>
                <c:pt idx="1">
                  <c:v>40.52289047400722</c:v>
                </c:pt>
                <c:pt idx="2">
                  <c:v>31.72725765773443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55-5341-915D-1652FDA1D478}"/>
            </c:ext>
          </c:extLst>
        </c:ser>
        <c:ser>
          <c:idx val="6"/>
          <c:order val="6"/>
          <c:tx>
            <c:strRef>
              <c:f>'CODA_w-nec+KPC_Final'!$Y$57</c:f>
              <c:strCache>
                <c:ptCount val="1"/>
                <c:pt idx="0">
                  <c:v>PanIN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'CODA_w-nec+KPC_Final'!$Z$57:$AB$57</c:f>
              <c:numCache>
                <c:formatCode>0.00</c:formatCode>
                <c:ptCount val="3"/>
                <c:pt idx="0">
                  <c:v>1.3118520694370778E-2</c:v>
                </c:pt>
                <c:pt idx="1">
                  <c:v>3.2701256615992169</c:v>
                </c:pt>
                <c:pt idx="2">
                  <c:v>1.4016181879711931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55-5341-915D-1652FDA1D478}"/>
            </c:ext>
          </c:extLst>
        </c:ser>
        <c:ser>
          <c:idx val="7"/>
          <c:order val="7"/>
          <c:tx>
            <c:strRef>
              <c:f>'CODA_w-nec+KPC_Final'!$Y$58</c:f>
              <c:strCache>
                <c:ptCount val="1"/>
                <c:pt idx="0">
                  <c:v>PDAc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'CODA_w-nec+KPC_Final'!$Z$58:$AB$58</c:f>
              <c:numCache>
                <c:formatCode>0.00</c:formatCode>
                <c:ptCount val="3"/>
                <c:pt idx="0">
                  <c:v>5.1928735281214271E-2</c:v>
                </c:pt>
                <c:pt idx="1">
                  <c:v>15.712359899084166</c:v>
                </c:pt>
                <c:pt idx="2">
                  <c:v>28.213200883004017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55-5341-915D-1652FDA1D478}"/>
            </c:ext>
          </c:extLst>
        </c:ser>
        <c:ser>
          <c:idx val="8"/>
          <c:order val="8"/>
          <c:tx>
            <c:strRef>
              <c:f>'CODA_w-nec+KPC_Final'!$Y$59</c:f>
              <c:strCache>
                <c:ptCount val="1"/>
                <c:pt idx="0">
                  <c:v>Immune Hotspot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'CODA_w-nec+KPC_Final'!$Z$59:$AB$59</c:f>
              <c:numCache>
                <c:formatCode>0.00</c:formatCode>
                <c:ptCount val="3"/>
                <c:pt idx="0">
                  <c:v>0.51023237745350525</c:v>
                </c:pt>
                <c:pt idx="1">
                  <c:v>3.5250940417047523</c:v>
                </c:pt>
                <c:pt idx="2">
                  <c:v>0.91659327976527682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55-5341-915D-1652FDA1D478}"/>
            </c:ext>
          </c:extLst>
        </c:ser>
        <c:ser>
          <c:idx val="9"/>
          <c:order val="9"/>
          <c:tx>
            <c:strRef>
              <c:f>'CODA_w-nec+KPC_Final'!$Y$60</c:f>
              <c:strCache>
                <c:ptCount val="1"/>
                <c:pt idx="0">
                  <c:v>Duodenum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'CODA_w-nec+KPC_Final'!$Z$60:$AB$60</c:f>
              <c:numCache>
                <c:formatCode>0.00</c:formatCode>
                <c:ptCount val="3"/>
                <c:pt idx="0">
                  <c:v>1.2058544217718776</c:v>
                </c:pt>
                <c:pt idx="1">
                  <c:v>7.7285344453661753E-2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55-5341-915D-1652FDA1D478}"/>
            </c:ext>
          </c:extLst>
        </c:ser>
        <c:ser>
          <c:idx val="10"/>
          <c:order val="10"/>
          <c:tx>
            <c:strRef>
              <c:f>'CODA_w-nec+KPC_Final'!$Y$61</c:f>
              <c:strCache>
                <c:ptCount val="1"/>
                <c:pt idx="0">
                  <c:v>Lymph Node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'CODA_w-nec+KPC_Final'!$Z$61:$AB$61</c:f>
              <c:numCache>
                <c:formatCode>0.00</c:formatCode>
                <c:ptCount val="3"/>
                <c:pt idx="0">
                  <c:v>4.0279158350645892</c:v>
                </c:pt>
                <c:pt idx="1">
                  <c:v>1.0670062219879553</c:v>
                </c:pt>
                <c:pt idx="2">
                  <c:v>2.6156606083071652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55-5341-915D-1652FDA1D478}"/>
            </c:ext>
          </c:extLst>
        </c:ser>
        <c:ser>
          <c:idx val="11"/>
          <c:order val="11"/>
          <c:tx>
            <c:strRef>
              <c:f>'CODA_w-nec+KPC_Final'!$Y$62</c:f>
              <c:strCache>
                <c:ptCount val="1"/>
                <c:pt idx="0">
                  <c:v>Necrosis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'CODA_w-nec+KPC_Final'!$Z$49:$AB$49</c:f>
              <c:strCache>
                <c:ptCount val="3"/>
                <c:pt idx="0">
                  <c:v>Control</c:v>
                </c:pt>
                <c:pt idx="1">
                  <c:v>KMCERT2</c:v>
                </c:pt>
                <c:pt idx="2">
                  <c:v>KPC</c:v>
                </c:pt>
              </c:strCache>
            </c:strRef>
          </c:cat>
          <c:val>
            <c:numRef>
              <c:f>'CODA_w-nec+KPC_Final'!$Z$62:$AB$62</c:f>
              <c:numCache>
                <c:formatCode>0.00</c:formatCode>
                <c:ptCount val="3"/>
                <c:pt idx="0">
                  <c:v>0</c:v>
                </c:pt>
                <c:pt idx="1">
                  <c:v>7.9386784450285361</c:v>
                </c:pt>
                <c:pt idx="2">
                  <c:v>18.528150291520664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55-5341-915D-1652FDA1D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1977344"/>
        <c:axId val="1432319968"/>
      </c:barChart>
      <c:catAx>
        <c:axId val="14319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19968"/>
        <c:crosses val="autoZero"/>
        <c:auto val="1"/>
        <c:lblAlgn val="ctr"/>
        <c:lblOffset val="100"/>
        <c:noMultiLvlLbl val="0"/>
      </c:catAx>
      <c:valAx>
        <c:axId val="14323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717550</xdr:colOff>
      <xdr:row>47</xdr:row>
      <xdr:rowOff>25400</xdr:rowOff>
    </xdr:from>
    <xdr:to>
      <xdr:col>34</xdr:col>
      <xdr:colOff>336550</xdr:colOff>
      <xdr:row>87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426EF-5BC3-AA4C-BF9C-BF7A6C006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50800</xdr:colOff>
      <xdr:row>47</xdr:row>
      <xdr:rowOff>50800</xdr:rowOff>
    </xdr:from>
    <xdr:to>
      <xdr:col>40</xdr:col>
      <xdr:colOff>495300</xdr:colOff>
      <xdr:row>87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38E05-EBA9-FE44-B45B-05F67462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hsuitg-my.sharepoint.com/personal/englishi_ohsu_edu/Documents/01_From-Box/Sears%20Lab%20Member%20-%20Isabel%20English/IAE%20-%2001%20-%20Data/01_IAE_KMC%20Studies/KMC_Pathology%20Review/CODA_Data_w_study_metadata_USE-THIS_9-KPC.xlsx" TargetMode="External"/><Relationship Id="rId2" Type="http://schemas.microsoft.com/office/2019/04/relationships/externalLinkLongPath" Target="/personal/englishi_ohsu_edu/Documents/01_From-Box/Sears%20Lab%20Member%20-%20Isabel%20English/IAE%20-%2001%20-%20Data/01_IAE_KMC%20Studies/KMC_Pathology%20Review/CODA_Data_w_study_metadata_USE-THIS_9-KPC.xlsx?CE820883" TargetMode="External"/><Relationship Id="rId1" Type="http://schemas.openxmlformats.org/officeDocument/2006/relationships/externalLinkPath" Target="file:///CE820883/CODA_Data_w_study_metadata_USE-THIS_9-KPC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ohsuitg-my.sharepoint.com/personal/englishi_ohsu_edu/Documents/01_From-Box/Sears%20Lab%20Member%20-%20Isabel%20English/IAE%20-%2001%20-%20Data/01_IAE_KMC%20Studies/KMC_Pathology%20Review/CODA_JHMI_AKiemen_PancQuant/20230525_CODA_analysis.xlsx" TargetMode="External"/><Relationship Id="rId2" Type="http://schemas.microsoft.com/office/2019/04/relationships/externalLinkLongPath" Target="/personal/englishi_ohsu_edu/Documents/01_From-Box/Sears%20Lab%20Member%20-%20Isabel%20English/IAE%20-%2001%20-%20Data/01_IAE_KMC%20Studies/KMC_Pathology%20Review/CODA_JHMI_AKiemen_PancQuant/20230525_CODA_analysis.xlsx?3C8B5ECF" TargetMode="External"/><Relationship Id="rId1" Type="http://schemas.openxmlformats.org/officeDocument/2006/relationships/externalLinkPath" Target="file:///3C8B5ECF/20230525_CODA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DA_w-nec+KPC_Final"/>
      <sheetName val="CODA_w-nec+KPC_Reorder"/>
      <sheetName val="CODA_w-nec+KPC_Reorder_w_spa"/>
      <sheetName val="CODA_w-nec+KPC_Reorder_Violin"/>
      <sheetName val="Prism (Ind_Violin)"/>
      <sheetName val="Prism (Stacked)"/>
      <sheetName val="CODA_w-necrosis"/>
      <sheetName val="CODA_w-necrosis_Reorder"/>
      <sheetName val="CODA_w-necrosis_Reorder_w_spa"/>
      <sheetName val="CODA_w-necrosis_Reorder_Violin"/>
      <sheetName val="CODA_Data_w_study_metadata_USE-"/>
    </sheetNames>
    <sheetDataSet>
      <sheetData sheetId="0">
        <row r="43">
          <cell r="AB43" t="str">
            <v>Islet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AE"/>
      <sheetName val="CODA_w-KPC_Step1"/>
      <sheetName val="CODA_w-KPC_Step2"/>
      <sheetName val="CODA_w-KPC_Final"/>
      <sheetName val="20230525_CODA_analysi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016AA-93A8-7342-B013-DAF6DE831E25}" name="Table411185" displayName="Table411185" ref="Y1:AN13" totalsRowShown="0" headerRowDxfId="62" dataDxfId="61" tableBorderDxfId="60">
  <autoFilter ref="Y1:AN13" xr:uid="{2317FC5C-5B16-2B42-80A5-B93EC1DAD2D4}"/>
  <sortState xmlns:xlrd2="http://schemas.microsoft.com/office/spreadsheetml/2017/richdata2" ref="Y2:AN10">
    <sortCondition ref="Z1:Z10"/>
  </sortState>
  <tableColumns count="16">
    <tableColumn id="1" xr3:uid="{39CADF80-A83A-9740-8F47-2B920A5EFDE7}" name="Study_Cohort" dataDxfId="59"/>
    <tableColumn id="2" xr3:uid="{10E6E6BD-EEB6-7D42-9270-012A5DCA318E}" name="Genotype" dataDxfId="58"/>
    <tableColumn id="3" xr3:uid="{B15411B9-24D9-3049-9E66-AC8A796D54B9}" name="Sent_#" dataDxfId="57">
      <calculatedColumnFormula>(COUNTIFS([2]!Table227278[Study_Cohort],Table411185[[#This Row],[Study_Cohort]],[2]!Table227278[Genotype],Table411185[[#This Row],[Genotype]]))</calculatedColumnFormula>
    </tableColumn>
    <tableColumn id="5" xr3:uid="{FDFB94E4-B1E4-AA4B-8DBB-77549894E05A}" name="Islet" dataDxfId="56">
      <calculatedColumnFormula>AVERAGEIFS(#REF!,#REF!,Table411185[[#This Row],[Study_Cohort]],#REF!,Table411185[[#This Row],[Genotype]])</calculatedColumnFormula>
    </tableColumn>
    <tableColumn id="6" xr3:uid="{100F6CCC-FFA0-4341-8DD1-DBCE41A28C89}" name="Duct" dataDxfId="55">
      <calculatedColumnFormula>AVERAGEIFS(#REF!,#REF!,Table411185[[#This Row],[Study_Cohort]],#REF!,Table411185[[#This Row],[Genotype]])</calculatedColumnFormula>
    </tableColumn>
    <tableColumn id="7" xr3:uid="{876A1581-6B11-F344-AE2C-740B5560C8F1}" name="Vasculature" dataDxfId="54">
      <calculatedColumnFormula>AVERAGEIFS(#REF!,#REF!,Table411185[[#This Row],[Study_Cohort]],#REF!,Table411185[[#This Row],[Genotype]])</calculatedColumnFormula>
    </tableColumn>
    <tableColumn id="8" xr3:uid="{38965BBA-06A0-9B4C-91E5-9C59A22127A9}" name="Adipose" dataDxfId="53">
      <calculatedColumnFormula>AVERAGEIFS(#REF!,#REF!,Table411185[[#This Row],[Study_Cohort]],#REF!,Table411185[[#This Row],[Genotype]])</calculatedColumnFormula>
    </tableColumn>
    <tableColumn id="9" xr3:uid="{40DFB60E-BE72-564C-82BC-5ED2E65C55E0}" name="Acini" dataDxfId="52">
      <calculatedColumnFormula>AVERAGEIFS(#REF!,#REF!,Table411185[[#This Row],[Study_Cohort]],#REF!,Table411185[[#This Row],[Genotype]])</calculatedColumnFormula>
    </tableColumn>
    <tableColumn id="10" xr3:uid="{19DC3E33-5A81-7A43-9983-6CE5890ADEF1}" name="Collagen" dataDxfId="51">
      <calculatedColumnFormula>AVERAGEIFS(#REF!,#REF!,Table411185[[#This Row],[Study_Cohort]],#REF!,Table411185[[#This Row],[Genotype]])</calculatedColumnFormula>
    </tableColumn>
    <tableColumn id="11" xr3:uid="{4941BEE7-5135-DC46-BAAD-1DF77E0374AC}" name="PanIN" dataDxfId="50">
      <calculatedColumnFormula>AVERAGEIFS(#REF!,#REF!,Table411185[[#This Row],[Study_Cohort]],#REF!,Table411185[[#This Row],[Genotype]])</calculatedColumnFormula>
    </tableColumn>
    <tableColumn id="12" xr3:uid="{27B97A6F-6CB4-304E-8F80-47F616581A3B}" name="PDAc" dataDxfId="49">
      <calculatedColumnFormula>AVERAGEIFS(#REF!,#REF!,Table411185[[#This Row],[Study_Cohort]],#REF!,Table411185[[#This Row],[Genotype]])</calculatedColumnFormula>
    </tableColumn>
    <tableColumn id="13" xr3:uid="{09FB4908-2BA0-AA40-8B07-1DB9422ECB33}" name="Immune Hotspot" dataDxfId="48">
      <calculatedColumnFormula>AVERAGEIFS(#REF!,#REF!,Table411185[[#This Row],[Study_Cohort]],#REF!,Table411185[[#This Row],[Genotype]])</calculatedColumnFormula>
    </tableColumn>
    <tableColumn id="14" xr3:uid="{14C19028-D95D-FC4B-B66B-9049ACC0AAE8}" name="Duodenum" dataDxfId="47">
      <calculatedColumnFormula>AVERAGEIFS(#REF!,#REF!,Table411185[[#This Row],[Study_Cohort]],#REF!,Table411185[[#This Row],[Genotype]])</calculatedColumnFormula>
    </tableColumn>
    <tableColumn id="15" xr3:uid="{CCC9CAA6-A7D5-804C-BF3F-CB283A5F0CA1}" name="Lymph Node" dataDxfId="46">
      <calculatedColumnFormula>AVERAGEIFS(#REF!,#REF!,Table411185[[#This Row],[Study_Cohort]],#REF!,Table411185[[#This Row],[Genotype]])</calculatedColumnFormula>
    </tableColumn>
    <tableColumn id="4" xr3:uid="{D6C54AAD-E0BA-A640-8C43-6EE2467A3A15}" name="Necrosis" dataDxfId="45"/>
    <tableColumn id="16" xr3:uid="{4F61F386-38E4-674C-A5C4-1E2062786D17}" name="total" dataDxfId="44">
      <calculatedColumnFormula>SUM(Table411185[[#This Row],[Islet]:[Necrosis]])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95283-391A-C84B-95DE-179E6FC8DB01}" name="Table41112196" displayName="Table41112196" ref="Y16:AN40" totalsRowShown="0" headerRowDxfId="43" dataDxfId="42" tableBorderDxfId="41">
  <autoFilter ref="Y16:AN40" xr:uid="{C8DE8096-020A-7B43-98B0-E8F61F2A20CE}"/>
  <sortState xmlns:xlrd2="http://schemas.microsoft.com/office/spreadsheetml/2017/richdata2" ref="Y17:AN40">
    <sortCondition ref="Z1:Z10"/>
  </sortState>
  <tableColumns count="16">
    <tableColumn id="1" xr3:uid="{248BD257-D52F-E542-9947-D5B1A61B8BA7}" name="Study_Cohort" dataDxfId="40"/>
    <tableColumn id="2" xr3:uid="{E0779E6B-7FA7-2F49-88ED-5C2BC59F365F}" name="Genotype" dataDxfId="39"/>
    <tableColumn id="3" xr3:uid="{8C472F07-8BD9-514A-BE79-5D2F39BF7555}" name="Sent_#" dataDxfId="38">
      <calculatedColumnFormula>(COUNTIFS(#REF!,Table41112196[[#This Row],[Study_Cohort]],#REF!,Table41112196[[#This Row],[Genotype]]))</calculatedColumnFormula>
    </tableColumn>
    <tableColumn id="5" xr3:uid="{F68BA7CB-B565-B443-AD03-8647F78AFC43}" name="Islet" dataDxfId="37">
      <calculatedColumnFormula>AVERAGEIFS(#REF!,#REF!,Table41112196[[#This Row],[Study_Cohort]],#REF!,Table41112196[[#This Row],[Genotype]])</calculatedColumnFormula>
    </tableColumn>
    <tableColumn id="6" xr3:uid="{F28B01F7-8DC9-2A4B-A3BA-6E49F5E6D3C8}" name="Duct" dataDxfId="36">
      <calculatedColumnFormula>AVERAGEIFS(#REF!,#REF!,Table41112196[[#This Row],[Study_Cohort]],#REF!,Table41112196[[#This Row],[Genotype]])</calculatedColumnFormula>
    </tableColumn>
    <tableColumn id="7" xr3:uid="{F7311D52-6BE5-BF42-919E-11A3590229BF}" name="Vasculature" dataDxfId="35">
      <calculatedColumnFormula>AVERAGEIFS(#REF!,#REF!,Table41112196[[#This Row],[Study_Cohort]],#REF!,Table41112196[[#This Row],[Genotype]])</calculatedColumnFormula>
    </tableColumn>
    <tableColumn id="8" xr3:uid="{D2A550B8-89C1-6343-BC1B-64E82F081D81}" name="Adipose" dataDxfId="34">
      <calculatedColumnFormula>AVERAGEIFS(#REF!,#REF!,Table41112196[[#This Row],[Study_Cohort]],#REF!,Table41112196[[#This Row],[Genotype]])</calculatedColumnFormula>
    </tableColumn>
    <tableColumn id="9" xr3:uid="{5AC253EC-9BC1-8445-BCFB-7AD44F7C8901}" name="Acini" dataDxfId="33">
      <calculatedColumnFormula>AVERAGEIFS(#REF!,#REF!,Table41112196[[#This Row],[Study_Cohort]],#REF!,Table41112196[[#This Row],[Genotype]])</calculatedColumnFormula>
    </tableColumn>
    <tableColumn id="10" xr3:uid="{911D2AF4-6AEF-D34C-BB3E-F49720333EB6}" name="Collagen" dataDxfId="32">
      <calculatedColumnFormula>AVERAGEIFS(#REF!,#REF!,Table41112196[[#This Row],[Study_Cohort]],#REF!,Table41112196[[#This Row],[Genotype]])</calculatedColumnFormula>
    </tableColumn>
    <tableColumn id="11" xr3:uid="{6183C9DF-200E-014D-B725-96AE59B87D42}" name="PanIN" dataDxfId="31">
      <calculatedColumnFormula>AVERAGEIFS(#REF!,#REF!,Table41112196[[#This Row],[Study_Cohort]],#REF!,Table41112196[[#This Row],[Genotype]])</calculatedColumnFormula>
    </tableColumn>
    <tableColumn id="12" xr3:uid="{9D7953DC-A3A9-9C40-AE46-A61853E2D78E}" name="PDAc" dataDxfId="30">
      <calculatedColumnFormula>AVERAGEIFS(#REF!,#REF!,Table41112196[[#This Row],[Study_Cohort]],#REF!,Table41112196[[#This Row],[Genotype]])</calculatedColumnFormula>
    </tableColumn>
    <tableColumn id="13" xr3:uid="{181C8DBE-9818-524B-964B-56728494885E}" name="Immune Hotspot" dataDxfId="29">
      <calculatedColumnFormula>AVERAGEIFS(#REF!,#REF!,Table41112196[[#This Row],[Study_Cohort]],#REF!,Table41112196[[#This Row],[Genotype]])</calculatedColumnFormula>
    </tableColumn>
    <tableColumn id="14" xr3:uid="{DA7F6497-7487-3240-B866-E5E5B20150BF}" name="Duodenum" dataDxfId="28">
      <calculatedColumnFormula>AVERAGEIFS(#REF!,#REF!,Table41112196[[#This Row],[Study_Cohort]],#REF!,Table41112196[[#This Row],[Genotype]])</calculatedColumnFormula>
    </tableColumn>
    <tableColumn id="15" xr3:uid="{3AA28F06-D5EB-7B4A-B3F6-627A4B64444B}" name="Lymph Node" dataDxfId="27">
      <calculatedColumnFormula>AVERAGEIFS(#REF!,#REF!,Table41112196[[#This Row],[Study_Cohort]],#REF!,Table41112196[[#This Row],[Genotype]])</calculatedColumnFormula>
    </tableColumn>
    <tableColumn id="4" xr3:uid="{FE840038-8754-ED48-978B-DA642F7150BE}" name="Necrosis" dataDxfId="26">
      <calculatedColumnFormula>AVERAGEIFS(#REF!,#REF!,Table41112196[[#This Row],[Study_Cohort]],#REF!,Table41112196[[#This Row],[Genotype]])</calculatedColumnFormula>
    </tableColumn>
    <tableColumn id="16" xr3:uid="{EB92E521-C06D-1743-8983-062544CE386F}" name="total" dataDxfId="25">
      <calculatedColumnFormula>SUM(Table41112196[[#This Row],[Islet]:[Necrosis]])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093616-5AB6-4045-ACDD-4A72436BD17A}" name="Table227278" displayName="Table227278" ref="A1:V82" totalsRowShown="0" headerRowDxfId="24" dataDxfId="23" tableBorderDxfId="22" headerRowCellStyle="Normal 2">
  <autoFilter ref="A1:V82" xr:uid="{3F2009E8-C6D5-934A-A1A8-2D8D98FF661B}"/>
  <sortState xmlns:xlrd2="http://schemas.microsoft.com/office/spreadsheetml/2017/richdata2" ref="A2:V82">
    <sortCondition ref="H2:H82"/>
    <sortCondition ref="G2:G82"/>
    <sortCondition ref="B2:B82"/>
  </sortState>
  <tableColumns count="22">
    <tableColumn id="2" xr3:uid="{83F08D91-680B-5A48-9232-34635E07A99A}" name="CODA File Name" dataDxfId="21"/>
    <tableColumn id="4" xr3:uid="{6FC612E6-2D32-CB4E-91A4-BD2228AC995B}" name="Tag_ID" dataDxfId="20"/>
    <tableColumn id="21" xr3:uid="{A9F78B1E-3F23-A745-B6CE-D5CE0BE5267B}" name="Tag_ID-Pub" dataDxfId="19" dataCellStyle="Normal 2"/>
    <tableColumn id="5" xr3:uid="{5BCC907C-A425-984A-8F9F-4CD0080223F9}" name="Tissue" dataDxfId="18"/>
    <tableColumn id="8" xr3:uid="{E6732ECD-1961-B342-86D9-11C23DFD1B82}" name="Scan Number" dataDxfId="17"/>
    <tableColumn id="6" xr3:uid="{E53895F7-38D3-E94C-8374-01904D739CEE}" name="Genotype_extra" dataDxfId="16"/>
    <tableColumn id="7" xr3:uid="{24E941FF-853A-8941-83E1-F7098EB74000}" name="Genotype" dataDxfId="15" dataCellStyle="Normal 2"/>
    <tableColumn id="9" xr3:uid="{2D035338-743F-2E45-A3D0-51083B52DCFF}" name="Study_Cohort" dataDxfId="14">
      <calculatedColumnFormula>_xlfn.XLOOKUP(Table227278[[#This Row],[CODA File Name]],#REF!,#REF!,"not found")</calculatedColumnFormula>
    </tableColumn>
    <tableColumn id="10" xr3:uid="{4563C515-A863-CC41-A6A5-1834213E14A8}" name="Islet" dataDxfId="13"/>
    <tableColumn id="11" xr3:uid="{73B2AC67-7BC1-FE45-B9E1-8EDB6489FEC6}" name="Ductal Epithelium" dataDxfId="12"/>
    <tableColumn id="12" xr3:uid="{5E8784BA-24C4-D745-81E6-BBEA27EC508D}" name="Vasculature" dataDxfId="11"/>
    <tableColumn id="13" xr3:uid="{6E9F8877-CD2F-6148-BD9B-4C60C3F8C825}" name="Adipose" dataDxfId="10"/>
    <tableColumn id="14" xr3:uid="{49147633-76BB-B545-A401-0C32F71E04B4}" name="Acini" dataDxfId="9"/>
    <tableColumn id="15" xr3:uid="{B4FE8910-1E69-424F-8F28-6E5856C5F517}" name="Stroma/ECM" dataDxfId="8"/>
    <tableColumn id="16" xr3:uid="{F6D7D6AC-AA2F-6C42-B298-4964DFB35B0E}" name="PanIN" dataDxfId="7"/>
    <tableColumn id="17" xr3:uid="{C976D828-A5E0-084E-9205-6C30F43545E0}" name="PDAc" dataDxfId="6"/>
    <tableColumn id="18" xr3:uid="{21AF2FFA-756D-B044-BA91-E50E409A0BD7}" name="Immune Hotspot" dataDxfId="5"/>
    <tableColumn id="19" xr3:uid="{F1891B6B-8C87-044E-B5FF-23B8D28B0CBD}" name="Duodenum" dataDxfId="4"/>
    <tableColumn id="1" xr3:uid="{280CE332-8A92-AC42-A056-3FB64C48BFC8}" name="Lymph Node" dataDxfId="3" dataCellStyle="Normal 2"/>
    <tableColumn id="3" xr3:uid="{64D3493E-3913-4044-BE6A-B9F1600CB559}" name="Necrosis" dataDxfId="2"/>
    <tableColumn id="20" xr3:uid="{786AF7A9-F2C8-B348-B9FD-1C42AE48A8D7}" name="Original File Name" dataDxfId="1"/>
    <tableColumn id="24" xr3:uid="{AD6719E4-099F-1A45-8F50-2D8157004096}" name="total" dataDxfId="0">
      <calculatedColumnFormula>SUM(Table227278[[#This Row],[Islet]:[Necrosis]])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AAAA-04E7-1845-AE0D-4A59BCD36B5E}">
  <dimension ref="A1:AN82"/>
  <sheetViews>
    <sheetView tabSelected="1" zoomScaleNormal="100" workbookViewId="0">
      <selection activeCell="A14" sqref="A14"/>
    </sheetView>
  </sheetViews>
  <sheetFormatPr baseColWidth="10" defaultRowHeight="16"/>
  <cols>
    <col min="1" max="1" width="42.33203125" bestFit="1" customWidth="1"/>
    <col min="5" max="5" width="15.33203125" customWidth="1"/>
    <col min="6" max="6" width="12.1640625" customWidth="1"/>
    <col min="7" max="7" width="13.1640625" customWidth="1"/>
    <col min="11" max="11" width="13.6640625" customWidth="1"/>
    <col min="14" max="14" width="11" customWidth="1"/>
    <col min="15" max="15" width="12.1640625" customWidth="1"/>
    <col min="17" max="17" width="18.1640625" customWidth="1"/>
    <col min="18" max="18" width="13.1640625" customWidth="1"/>
    <col min="19" max="19" width="14" customWidth="1"/>
    <col min="20" max="20" width="19.6640625" style="72" customWidth="1"/>
    <col min="25" max="25" width="22.33203125" bestFit="1" customWidth="1"/>
    <col min="26" max="26" width="12.6640625" bestFit="1" customWidth="1"/>
  </cols>
  <sheetData>
    <row r="1" spans="1:4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Y1" s="4" t="s">
        <v>7</v>
      </c>
      <c r="Z1" s="4" t="s">
        <v>6</v>
      </c>
      <c r="AA1" s="5" t="s">
        <v>22</v>
      </c>
      <c r="AB1" s="3" t="s">
        <v>8</v>
      </c>
      <c r="AC1" s="3" t="s">
        <v>23</v>
      </c>
      <c r="AD1" s="3" t="s">
        <v>10</v>
      </c>
      <c r="AE1" s="3" t="s">
        <v>11</v>
      </c>
      <c r="AF1" s="3" t="s">
        <v>12</v>
      </c>
      <c r="AG1" s="3" t="s">
        <v>24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6" t="s">
        <v>21</v>
      </c>
    </row>
    <row r="2" spans="1:40">
      <c r="A2" s="7" t="s">
        <v>25</v>
      </c>
      <c r="B2" s="8" t="s">
        <v>26</v>
      </c>
      <c r="C2" s="8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9" t="s">
        <v>31</v>
      </c>
      <c r="I2" s="10">
        <v>0.55904972176925405</v>
      </c>
      <c r="J2" s="10">
        <v>10.6387760798722</v>
      </c>
      <c r="K2" s="10">
        <v>1.6274576314349301</v>
      </c>
      <c r="L2" s="10">
        <v>0.344657473401076</v>
      </c>
      <c r="M2" s="10">
        <v>37.0028810673737</v>
      </c>
      <c r="N2" s="10">
        <v>41.3297182030987</v>
      </c>
      <c r="O2" s="10">
        <v>3.1509985752026601</v>
      </c>
      <c r="P2" s="10">
        <v>3.7241755763180802</v>
      </c>
      <c r="Q2" s="10">
        <v>0.58858433491407702</v>
      </c>
      <c r="R2" s="10">
        <v>0</v>
      </c>
      <c r="S2" s="10">
        <v>1.0337013366153101</v>
      </c>
      <c r="T2" s="10">
        <v>0</v>
      </c>
      <c r="U2" s="11" t="s">
        <v>32</v>
      </c>
      <c r="V2" s="12">
        <f>SUM(Table227278[[#This Row],[Islet]:[Necrosis]])</f>
        <v>99.999999999999972</v>
      </c>
      <c r="Y2" s="13" t="s">
        <v>33</v>
      </c>
      <c r="Z2" s="14" t="s">
        <v>30</v>
      </c>
      <c r="AA2" s="15">
        <f>(COUNTIFS(Table227278[Study_Cohort],Table411185[[#This Row],[Study_Cohort]],Table227278[Genotype],Table411185[[#This Row],[Genotype]]))</f>
        <v>17</v>
      </c>
      <c r="AB2" s="16">
        <f>AVERAGEIFS(Table227278[Islet],Table227278[Study_Cohort],Table411185[[#This Row],[Study_Cohort]],Table227278[Genotype],Table411185[[#This Row],[Genotype]])</f>
        <v>0.46951141087202647</v>
      </c>
      <c r="AC2" s="16">
        <f>AVERAGEIFS(Table227278[Ductal Epithelium],Table227278[Study_Cohort],Table411185[[#This Row],[Study_Cohort]],Table227278[Genotype],Table411185[[#This Row],[Genotype]])</f>
        <v>9.7224095077638459</v>
      </c>
      <c r="AD2" s="16">
        <f>AVERAGEIFS(Table227278[Vasculature],Table227278[Study_Cohort],Table411185[[#This Row],[Study_Cohort]],Table227278[Genotype],Table411185[[#This Row],[Genotype]])</f>
        <v>2.0159034675689109</v>
      </c>
      <c r="AE2" s="16">
        <f>AVERAGEIFS(Table227278[Adipose],Table227278[Study_Cohort],Table411185[[#This Row],[Study_Cohort]],Table227278[Genotype],Table411185[[#This Row],[Genotype]])</f>
        <v>5.4657488412139585</v>
      </c>
      <c r="AF2" s="16">
        <f>AVERAGEIFS(Table227278[Acini],Table227278[Study_Cohort],Table411185[[#This Row],[Study_Cohort]],Table227278[Genotype],Table411185[[#This Row],[Genotype]])</f>
        <v>10.212986684715773</v>
      </c>
      <c r="AG2" s="16">
        <f>AVERAGEIFS(Table227278[Stroma/ECM],Table227278[Study_Cohort],Table411185[[#This Row],[Study_Cohort]],Table227278[Genotype],Table411185[[#This Row],[Genotype]])</f>
        <v>40.52289047400722</v>
      </c>
      <c r="AH2" s="16">
        <f>AVERAGEIFS(Table227278[PanIN],Table227278[Study_Cohort],Table411185[[#This Row],[Study_Cohort]],Table227278[Genotype],Table411185[[#This Row],[Genotype]])</f>
        <v>3.2701256615992169</v>
      </c>
      <c r="AI2" s="16">
        <f>AVERAGEIFS(Table227278[PDAc],Table227278[Study_Cohort],Table411185[[#This Row],[Study_Cohort]],Table227278[Genotype],Table411185[[#This Row],[Genotype]])</f>
        <v>15.712359899084166</v>
      </c>
      <c r="AJ2" s="16">
        <f>AVERAGEIFS(Table227278[Immune Hotspot],Table227278[Study_Cohort],Table411185[[#This Row],[Study_Cohort]],Table227278[Genotype],Table411185[[#This Row],[Genotype]])</f>
        <v>3.5250940417047523</v>
      </c>
      <c r="AK2" s="16">
        <f>AVERAGEIFS(Table227278[Duodenum],Table227278[Study_Cohort],Table411185[[#This Row],[Study_Cohort]],Table227278[Genotype],Table411185[[#This Row],[Genotype]])</f>
        <v>7.7285344453661753E-2</v>
      </c>
      <c r="AL2" s="16">
        <f>AVERAGEIFS(Table227278[Lymph Node],Table227278[Study_Cohort],Table411185[[#This Row],[Study_Cohort]],Table227278[Genotype],Table411185[[#This Row],[Genotype]])</f>
        <v>1.0670062219879553</v>
      </c>
      <c r="AM2" s="16">
        <f>AVERAGEIFS(Table227278[Necrosis],Table227278[Study_Cohort],Table411185[[#This Row],[Study_Cohort]],Table227278[Genotype],Table411185[[#This Row],[Genotype]])</f>
        <v>7.9386784450285361</v>
      </c>
      <c r="AN2" s="16">
        <f>SUM(Table411185[[#This Row],[Islet]:[Necrosis]])</f>
        <v>100.00000000000003</v>
      </c>
    </row>
    <row r="3" spans="1:40">
      <c r="A3" s="7" t="s">
        <v>34</v>
      </c>
      <c r="B3" s="17" t="s">
        <v>35</v>
      </c>
      <c r="C3" s="17" t="s">
        <v>35</v>
      </c>
      <c r="D3" s="7" t="s">
        <v>27</v>
      </c>
      <c r="E3" s="7" t="s">
        <v>36</v>
      </c>
      <c r="F3" s="7" t="s">
        <v>29</v>
      </c>
      <c r="G3" s="7" t="s">
        <v>30</v>
      </c>
      <c r="H3" s="18" t="s">
        <v>37</v>
      </c>
      <c r="I3" s="10">
        <v>0.49687127011152499</v>
      </c>
      <c r="J3" s="10">
        <v>2.3571712342862998</v>
      </c>
      <c r="K3" s="10">
        <v>1.1056366974102201</v>
      </c>
      <c r="L3" s="10">
        <v>8.9536022454763202</v>
      </c>
      <c r="M3" s="10">
        <v>61.666275793156899</v>
      </c>
      <c r="N3" s="10">
        <v>20.147271381525702</v>
      </c>
      <c r="O3" s="10">
        <v>3.44620010072782</v>
      </c>
      <c r="P3" s="10">
        <v>8.3995924037068102E-3</v>
      </c>
      <c r="Q3" s="10">
        <v>0.23688974395783999</v>
      </c>
      <c r="R3" s="10">
        <v>0.90971612573915395</v>
      </c>
      <c r="S3" s="10">
        <v>0.67196581520446697</v>
      </c>
      <c r="T3" s="10">
        <v>0</v>
      </c>
      <c r="U3" s="11" t="s">
        <v>38</v>
      </c>
      <c r="V3" s="12">
        <f>SUM(Table227278[[#This Row],[Islet]:[Necrosis]])</f>
        <v>99.999999999999957</v>
      </c>
      <c r="Y3" s="13" t="s">
        <v>33</v>
      </c>
      <c r="Z3" s="19" t="s">
        <v>39</v>
      </c>
      <c r="AA3" s="15">
        <f>(COUNTIFS(Table227278[Study_Cohort],Table411185[[#This Row],[Study_Cohort]],Table227278[Genotype],Table411185[[#This Row],[Genotype]]))</f>
        <v>11</v>
      </c>
      <c r="AB3" s="16">
        <f>AVERAGEIFS(Table227278[Islet],Table227278[Study_Cohort],Table411185[[#This Row],[Study_Cohort]],Table227278[Genotype],Table411185[[#This Row],[Genotype]])</f>
        <v>0.58555835098016384</v>
      </c>
      <c r="AC3" s="16">
        <f>AVERAGEIFS(Table227278[Ductal Epithelium],Table227278[Study_Cohort],Table411185[[#This Row],[Study_Cohort]],Table227278[Genotype],Table411185[[#This Row],[Genotype]])</f>
        <v>10.046830135965926</v>
      </c>
      <c r="AD3" s="16">
        <f>AVERAGEIFS(Table227278[Vasculature],Table227278[Study_Cohort],Table411185[[#This Row],[Study_Cohort]],Table227278[Genotype],Table411185[[#This Row],[Genotype]])</f>
        <v>2.3489873780387622</v>
      </c>
      <c r="AE3" s="16">
        <f>AVERAGEIFS(Table227278[Adipose],Table227278[Study_Cohort],Table411185[[#This Row],[Study_Cohort]],Table227278[Genotype],Table411185[[#This Row],[Genotype]])</f>
        <v>6.6670498316437659</v>
      </c>
      <c r="AF3" s="16">
        <f>AVERAGEIFS(Table227278[Acini],Table227278[Study_Cohort],Table411185[[#This Row],[Study_Cohort]],Table227278[Genotype],Table411185[[#This Row],[Genotype]])</f>
        <v>8.1957907208624174</v>
      </c>
      <c r="AG3" s="16">
        <f>AVERAGEIFS(Table227278[Stroma/ECM],Table227278[Study_Cohort],Table411185[[#This Row],[Study_Cohort]],Table227278[Genotype],Table411185[[#This Row],[Genotype]])</f>
        <v>36.265734819759857</v>
      </c>
      <c r="AH3" s="16">
        <f>AVERAGEIFS(Table227278[PanIN],Table227278[Study_Cohort],Table411185[[#This Row],[Study_Cohort]],Table227278[Genotype],Table411185[[#This Row],[Genotype]])</f>
        <v>2.6663600760200734</v>
      </c>
      <c r="AI3" s="16">
        <f>AVERAGEIFS(Table227278[PDAc],Table227278[Study_Cohort],Table411185[[#This Row],[Study_Cohort]],Table227278[Genotype],Table411185[[#This Row],[Genotype]])</f>
        <v>20.077588868595249</v>
      </c>
      <c r="AJ3" s="16">
        <f>AVERAGEIFS(Table227278[Immune Hotspot],Table227278[Study_Cohort],Table411185[[#This Row],[Study_Cohort]],Table227278[Genotype],Table411185[[#This Row],[Genotype]])</f>
        <v>4.0474004433795434</v>
      </c>
      <c r="AK3" s="16">
        <f>AVERAGEIFS(Table227278[Duodenum],Table227278[Study_Cohort],Table411185[[#This Row],[Study_Cohort]],Table227278[Genotype],Table411185[[#This Row],[Genotype]])</f>
        <v>0</v>
      </c>
      <c r="AL3" s="16">
        <f>AVERAGEIFS(Table227278[Lymph Node],Table227278[Study_Cohort],Table411185[[#This Row],[Study_Cohort]],Table227278[Genotype],Table411185[[#This Row],[Genotype]])</f>
        <v>7.4246656660613697</v>
      </c>
      <c r="AM3" s="16">
        <f>AVERAGEIFS(Table227278[Necrosis],Table227278[Study_Cohort],Table411185[[#This Row],[Study_Cohort]],Table227278[Genotype],Table411185[[#This Row],[Genotype]])</f>
        <v>1.6740337086929045</v>
      </c>
      <c r="AN3" s="16">
        <f>SUM(Table411185[[#This Row],[Islet]:[Necrosis]])</f>
        <v>100.00000000000003</v>
      </c>
    </row>
    <row r="4" spans="1:40">
      <c r="A4" s="7" t="s">
        <v>40</v>
      </c>
      <c r="B4" s="17" t="s">
        <v>41</v>
      </c>
      <c r="C4" s="17" t="s">
        <v>41</v>
      </c>
      <c r="D4" s="7" t="s">
        <v>27</v>
      </c>
      <c r="E4" s="7" t="s">
        <v>42</v>
      </c>
      <c r="F4" s="7" t="s">
        <v>29</v>
      </c>
      <c r="G4" s="7" t="s">
        <v>30</v>
      </c>
      <c r="H4" s="18" t="s">
        <v>37</v>
      </c>
      <c r="I4" s="10">
        <v>0.52854639585771201</v>
      </c>
      <c r="J4" s="10">
        <v>5.9802121372383201</v>
      </c>
      <c r="K4" s="10">
        <v>2.52801336746729</v>
      </c>
      <c r="L4" s="10">
        <v>5.03212062352359</v>
      </c>
      <c r="M4" s="10">
        <v>39.878129756824798</v>
      </c>
      <c r="N4" s="10">
        <v>39.610779324364501</v>
      </c>
      <c r="O4" s="10">
        <v>2.9514235511684599</v>
      </c>
      <c r="P4" s="10">
        <v>0.32219337058275499</v>
      </c>
      <c r="Q4" s="10">
        <v>0.46545024557047798</v>
      </c>
      <c r="R4" s="10">
        <v>2.70313122740211</v>
      </c>
      <c r="S4" s="10">
        <v>0</v>
      </c>
      <c r="T4" s="10">
        <v>0</v>
      </c>
      <c r="U4" s="11" t="s">
        <v>43</v>
      </c>
      <c r="V4" s="12">
        <f>SUM(Table227278[[#This Row],[Islet]:[Necrosis]])</f>
        <v>100.00000000000001</v>
      </c>
      <c r="Y4" s="13" t="s">
        <v>33</v>
      </c>
      <c r="Z4" s="14" t="s">
        <v>44</v>
      </c>
      <c r="AA4" s="15">
        <f>(COUNTIFS(Table227278[Study_Cohort],Table411185[[#This Row],[Study_Cohort]],Table227278[Genotype],Table411185[[#This Row],[Genotype]]))</f>
        <v>7</v>
      </c>
      <c r="AB4" s="16">
        <f>AVERAGEIFS(Table227278[Islet],Table227278[Study_Cohort],Table411185[[#This Row],[Study_Cohort]],Table227278[Genotype],Table411185[[#This Row],[Genotype]])</f>
        <v>0.30029001408292727</v>
      </c>
      <c r="AC4" s="16">
        <f>AVERAGEIFS(Table227278[Ductal Epithelium],Table227278[Study_Cohort],Table411185[[#This Row],[Study_Cohort]],Table227278[Genotype],Table411185[[#This Row],[Genotype]])</f>
        <v>5.2956892273330061</v>
      </c>
      <c r="AD4" s="16">
        <f>AVERAGEIFS(Table227278[Vasculature],Table227278[Study_Cohort],Table411185[[#This Row],[Study_Cohort]],Table227278[Genotype],Table411185[[#This Row],[Genotype]])</f>
        <v>2.0103926385510129</v>
      </c>
      <c r="AE4" s="16">
        <f>AVERAGEIFS(Table227278[Adipose],Table227278[Study_Cohort],Table411185[[#This Row],[Study_Cohort]],Table227278[Genotype],Table411185[[#This Row],[Genotype]])</f>
        <v>4.3736876224591956</v>
      </c>
      <c r="AF4" s="16">
        <f>AVERAGEIFS(Table227278[Acini],Table227278[Study_Cohort],Table411185[[#This Row],[Study_Cohort]],Table227278[Genotype],Table411185[[#This Row],[Genotype]])</f>
        <v>38.585929177210836</v>
      </c>
      <c r="AG4" s="16">
        <f>AVERAGEIFS(Table227278[Stroma/ECM],Table227278[Study_Cohort],Table411185[[#This Row],[Study_Cohort]],Table227278[Genotype],Table411185[[#This Row],[Genotype]])</f>
        <v>25.715382790193058</v>
      </c>
      <c r="AH4" s="16">
        <f>AVERAGEIFS(Table227278[PanIN],Table227278[Study_Cohort],Table411185[[#This Row],[Study_Cohort]],Table227278[Genotype],Table411185[[#This Row],[Genotype]])</f>
        <v>4.6855873015874607</v>
      </c>
      <c r="AI4" s="16">
        <f>AVERAGEIFS(Table227278[PDAc],Table227278[Study_Cohort],Table411185[[#This Row],[Study_Cohort]],Table227278[Genotype],Table411185[[#This Row],[Genotype]])</f>
        <v>10.847892138465637</v>
      </c>
      <c r="AJ4" s="16">
        <f>AVERAGEIFS(Table227278[Immune Hotspot],Table227278[Study_Cohort],Table411185[[#This Row],[Study_Cohort]],Table227278[Genotype],Table411185[[#This Row],[Genotype]])</f>
        <v>0.89869997121119927</v>
      </c>
      <c r="AK4" s="16">
        <f>AVERAGEIFS(Table227278[Duodenum],Table227278[Study_Cohort],Table411185[[#This Row],[Study_Cohort]],Table227278[Genotype],Table411185[[#This Row],[Genotype]])</f>
        <v>0.43670091726157612</v>
      </c>
      <c r="AL4" s="16">
        <f>AVERAGEIFS(Table227278[Lymph Node],Table227278[Study_Cohort],Table411185[[#This Row],[Study_Cohort]],Table227278[Genotype],Table411185[[#This Row],[Genotype]])</f>
        <v>4.099685726833953</v>
      </c>
      <c r="AM4" s="16">
        <f>AVERAGEIFS(Table227278[Necrosis],Table227278[Study_Cohort],Table411185[[#This Row],[Study_Cohort]],Table227278[Genotype],Table411185[[#This Row],[Genotype]])</f>
        <v>2.7500624748101572</v>
      </c>
      <c r="AN4" s="16">
        <f>SUM(Table411185[[#This Row],[Islet]:[Necrosis]])</f>
        <v>100.00000000000003</v>
      </c>
    </row>
    <row r="5" spans="1:40">
      <c r="A5" s="7" t="s">
        <v>45</v>
      </c>
      <c r="B5" s="17" t="s">
        <v>46</v>
      </c>
      <c r="C5" s="17" t="s">
        <v>46</v>
      </c>
      <c r="D5" s="7" t="s">
        <v>27</v>
      </c>
      <c r="E5" s="7" t="s">
        <v>47</v>
      </c>
      <c r="F5" s="7" t="s">
        <v>29</v>
      </c>
      <c r="G5" s="7" t="s">
        <v>30</v>
      </c>
      <c r="H5" s="18" t="s">
        <v>37</v>
      </c>
      <c r="I5" s="10">
        <v>0.52438869754084905</v>
      </c>
      <c r="J5" s="10">
        <v>6.9855610194410902</v>
      </c>
      <c r="K5" s="10">
        <v>1.4855797113087501</v>
      </c>
      <c r="L5" s="10">
        <v>10.460562005379501</v>
      </c>
      <c r="M5" s="10">
        <v>45.818138574683601</v>
      </c>
      <c r="N5" s="10">
        <v>31.144398563907799</v>
      </c>
      <c r="O5" s="10">
        <v>3.4501860540265201</v>
      </c>
      <c r="P5" s="10">
        <v>2.3572610735806399E-2</v>
      </c>
      <c r="Q5" s="10">
        <v>0.107612762976105</v>
      </c>
      <c r="R5" s="10">
        <v>0</v>
      </c>
      <c r="S5" s="10">
        <v>0</v>
      </c>
      <c r="T5" s="10">
        <v>0</v>
      </c>
      <c r="U5" s="11" t="s">
        <v>48</v>
      </c>
      <c r="V5" s="12">
        <f>SUM(Table227278[[#This Row],[Islet]:[Necrosis]])</f>
        <v>100.00000000000001</v>
      </c>
      <c r="Y5" s="13" t="s">
        <v>33</v>
      </c>
      <c r="Z5" s="14" t="s">
        <v>49</v>
      </c>
      <c r="AA5" s="15">
        <f>(COUNTIFS(Table227278[Study_Cohort],Table411185[[#This Row],[Study_Cohort]],Table227278[Genotype],Table411185[[#This Row],[Genotype]]))</f>
        <v>4</v>
      </c>
      <c r="AB5" s="16">
        <f>AVERAGEIFS(Table227278[Islet],Table227278[Study_Cohort],Table411185[[#This Row],[Study_Cohort]],Table227278[Genotype],Table411185[[#This Row],[Genotype]])</f>
        <v>0.38587417017762848</v>
      </c>
      <c r="AC5" s="16">
        <f>AVERAGEIFS(Table227278[Ductal Epithelium],Table227278[Study_Cohort],Table411185[[#This Row],[Study_Cohort]],Table227278[Genotype],Table411185[[#This Row],[Genotype]])</f>
        <v>0.85482397403781774</v>
      </c>
      <c r="AD5" s="16">
        <f>AVERAGEIFS(Table227278[Vasculature],Table227278[Study_Cohort],Table411185[[#This Row],[Study_Cohort]],Table227278[Genotype],Table411185[[#This Row],[Genotype]])</f>
        <v>1.8202659986607868</v>
      </c>
      <c r="AE5" s="16">
        <f>AVERAGEIFS(Table227278[Adipose],Table227278[Study_Cohort],Table411185[[#This Row],[Study_Cohort]],Table227278[Genotype],Table411185[[#This Row],[Genotype]])</f>
        <v>1.8556851633801144</v>
      </c>
      <c r="AF5" s="16">
        <f>AVERAGEIFS(Table227278[Acini],Table227278[Study_Cohort],Table411185[[#This Row],[Study_Cohort]],Table227278[Genotype],Table411185[[#This Row],[Genotype]])</f>
        <v>48.360102633164978</v>
      </c>
      <c r="AG5" s="16">
        <f>AVERAGEIFS(Table227278[Stroma/ECM],Table227278[Study_Cohort],Table411185[[#This Row],[Study_Cohort]],Table227278[Genotype],Table411185[[#This Row],[Genotype]])</f>
        <v>17.549216170577214</v>
      </c>
      <c r="AH5" s="16">
        <f>AVERAGEIFS(Table227278[PanIN],Table227278[Study_Cohort],Table411185[[#This Row],[Study_Cohort]],Table227278[Genotype],Table411185[[#This Row],[Genotype]])</f>
        <v>0.25897811200440413</v>
      </c>
      <c r="AI5" s="16">
        <f>AVERAGEIFS(Table227278[PDAc],Table227278[Study_Cohort],Table411185[[#This Row],[Study_Cohort]],Table227278[Genotype],Table411185[[#This Row],[Genotype]])</f>
        <v>14.586328533843266</v>
      </c>
      <c r="AJ5" s="16">
        <f>AVERAGEIFS(Table227278[Immune Hotspot],Table227278[Study_Cohort],Table411185[[#This Row],[Study_Cohort]],Table227278[Genotype],Table411185[[#This Row],[Genotype]])</f>
        <v>9.9207764317105447</v>
      </c>
      <c r="AK5" s="16">
        <f>AVERAGEIFS(Table227278[Duodenum],Table227278[Study_Cohort],Table411185[[#This Row],[Study_Cohort]],Table227278[Genotype],Table411185[[#This Row],[Genotype]])</f>
        <v>1.2209908075301474</v>
      </c>
      <c r="AL5" s="16">
        <f>AVERAGEIFS(Table227278[Lymph Node],Table227278[Study_Cohort],Table411185[[#This Row],[Study_Cohort]],Table227278[Genotype],Table411185[[#This Row],[Genotype]])</f>
        <v>3.1869580049130999</v>
      </c>
      <c r="AM5" s="16">
        <f>AVERAGEIFS(Table227278[Necrosis],Table227278[Study_Cohort],Table411185[[#This Row],[Study_Cohort]],Table227278[Genotype],Table411185[[#This Row],[Genotype]])</f>
        <v>0</v>
      </c>
      <c r="AN5" s="16">
        <f>SUM(Table411185[[#This Row],[Islet]:[Necrosis]])</f>
        <v>100</v>
      </c>
    </row>
    <row r="6" spans="1:40">
      <c r="A6" s="20" t="s">
        <v>50</v>
      </c>
      <c r="B6" s="21" t="s">
        <v>51</v>
      </c>
      <c r="C6" s="21" t="s">
        <v>51</v>
      </c>
      <c r="D6" s="20" t="s">
        <v>27</v>
      </c>
      <c r="E6" s="20" t="s">
        <v>52</v>
      </c>
      <c r="F6" s="20" t="s">
        <v>53</v>
      </c>
      <c r="G6" s="20" t="s">
        <v>54</v>
      </c>
      <c r="H6" s="22" t="s">
        <v>55</v>
      </c>
      <c r="I6" s="10">
        <v>2.4158600005169499</v>
      </c>
      <c r="J6" s="10">
        <v>4.5221706058336499</v>
      </c>
      <c r="K6" s="10">
        <v>4.4872785159595097</v>
      </c>
      <c r="L6" s="10">
        <v>1.97553703498685</v>
      </c>
      <c r="M6" s="10">
        <v>27.608601527209402</v>
      </c>
      <c r="N6" s="10">
        <v>6.6432212121784699</v>
      </c>
      <c r="O6" s="10">
        <v>4.7685895218027297E-2</v>
      </c>
      <c r="P6" s="10">
        <v>38.932225733046899</v>
      </c>
      <c r="Q6" s="10">
        <v>0.69934079387770798</v>
      </c>
      <c r="R6" s="10">
        <v>0</v>
      </c>
      <c r="S6" s="10">
        <v>1.8536687843030699</v>
      </c>
      <c r="T6" s="10">
        <v>10.8144098968694</v>
      </c>
      <c r="U6" s="11" t="s">
        <v>56</v>
      </c>
      <c r="V6" s="12">
        <f>SUM(Table227278[[#This Row],[Islet]:[Necrosis]])</f>
        <v>99.999999999999943</v>
      </c>
      <c r="AA6" s="15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>
      <c r="A7" s="20" t="s">
        <v>57</v>
      </c>
      <c r="B7" s="21" t="s">
        <v>58</v>
      </c>
      <c r="C7" s="21" t="s">
        <v>58</v>
      </c>
      <c r="D7" s="20" t="s">
        <v>27</v>
      </c>
      <c r="E7" s="20" t="s">
        <v>59</v>
      </c>
      <c r="F7" s="20" t="s">
        <v>53</v>
      </c>
      <c r="G7" s="20" t="s">
        <v>54</v>
      </c>
      <c r="H7" s="22" t="s">
        <v>55</v>
      </c>
      <c r="I7" s="10">
        <v>0.92045264397727899</v>
      </c>
      <c r="J7" s="10">
        <v>1.3031530161457801</v>
      </c>
      <c r="K7" s="10">
        <v>3.1050637585919398</v>
      </c>
      <c r="L7" s="10">
        <v>3.0382618485782098</v>
      </c>
      <c r="M7" s="10">
        <v>22.0595792932248</v>
      </c>
      <c r="N7" s="10">
        <v>12.0008774420489</v>
      </c>
      <c r="O7" s="10">
        <v>1.16967442777056E-2</v>
      </c>
      <c r="P7" s="10">
        <v>34.768317313946902</v>
      </c>
      <c r="Q7" s="10">
        <v>0.77037060563954096</v>
      </c>
      <c r="R7" s="10">
        <v>0</v>
      </c>
      <c r="S7" s="10">
        <v>6.2833659022895496</v>
      </c>
      <c r="T7" s="10">
        <v>15.7388614312794</v>
      </c>
      <c r="U7" s="11" t="s">
        <v>60</v>
      </c>
      <c r="V7" s="12">
        <f>SUM(Table227278[[#This Row],[Islet]:[Necrosis]])</f>
        <v>100</v>
      </c>
      <c r="Y7" s="23" t="s">
        <v>61</v>
      </c>
      <c r="Z7" s="24"/>
      <c r="AA7" s="25">
        <f>SUM(AA8:AA10)</f>
        <v>9</v>
      </c>
      <c r="AB7" s="26">
        <f t="shared" ref="AB7:AM7" si="0">((AB8*$AA$8)+(AB9*$AA$9)+(AB10*$AA$10))/($AA$10+$AA$9+$AA$8)</f>
        <v>0.42421461550154926</v>
      </c>
      <c r="AC7" s="26">
        <f t="shared" si="0"/>
        <v>0.51639017083117611</v>
      </c>
      <c r="AD7" s="26">
        <f t="shared" si="0"/>
        <v>1.6341629664022821</v>
      </c>
      <c r="AE7" s="26">
        <f t="shared" si="0"/>
        <v>3.2235063013838041</v>
      </c>
      <c r="AF7" s="26">
        <f t="shared" si="0"/>
        <v>80.158848440151516</v>
      </c>
      <c r="AG7" s="26">
        <f t="shared" si="0"/>
        <v>8.2338276154640866</v>
      </c>
      <c r="AH7" s="26">
        <f t="shared" si="0"/>
        <v>1.3118520694370778E-2</v>
      </c>
      <c r="AI7" s="26">
        <f t="shared" si="0"/>
        <v>5.1928735281214271E-2</v>
      </c>
      <c r="AJ7" s="26">
        <f t="shared" si="0"/>
        <v>0.51023237745350525</v>
      </c>
      <c r="AK7" s="26">
        <f t="shared" si="0"/>
        <v>1.2058544217718776</v>
      </c>
      <c r="AL7" s="26">
        <f t="shared" si="0"/>
        <v>4.0279158350645892</v>
      </c>
      <c r="AM7" s="26">
        <f t="shared" si="0"/>
        <v>0</v>
      </c>
      <c r="AN7" s="26">
        <f>SUM(Table411185[[#This Row],[Islet]:[Necrosis]])</f>
        <v>99.999999999999972</v>
      </c>
    </row>
    <row r="8" spans="1:40">
      <c r="A8" s="20" t="s">
        <v>62</v>
      </c>
      <c r="B8" s="21" t="s">
        <v>63</v>
      </c>
      <c r="C8" s="21" t="s">
        <v>63</v>
      </c>
      <c r="D8" s="20" t="s">
        <v>27</v>
      </c>
      <c r="E8" s="20" t="s">
        <v>64</v>
      </c>
      <c r="F8" s="20" t="s">
        <v>53</v>
      </c>
      <c r="G8" s="20" t="s">
        <v>54</v>
      </c>
      <c r="H8" s="22" t="s">
        <v>55</v>
      </c>
      <c r="I8" s="10">
        <v>0.14298991455878099</v>
      </c>
      <c r="J8" s="10">
        <v>0.105411759563291</v>
      </c>
      <c r="K8" s="10">
        <v>1.0886262663029</v>
      </c>
      <c r="L8" s="10">
        <v>0.36389557847152398</v>
      </c>
      <c r="M8" s="10">
        <v>1.6072773973102801</v>
      </c>
      <c r="N8" s="10">
        <v>8.6671023209954097</v>
      </c>
      <c r="O8" s="10">
        <v>5.2164770969061101E-2</v>
      </c>
      <c r="P8" s="10">
        <v>72.959707673773906</v>
      </c>
      <c r="Q8" s="10">
        <v>0.19342376447288201</v>
      </c>
      <c r="R8" s="10">
        <v>0</v>
      </c>
      <c r="S8" s="10">
        <v>0</v>
      </c>
      <c r="T8" s="10">
        <v>14.8194005535819</v>
      </c>
      <c r="U8" s="11" t="s">
        <v>65</v>
      </c>
      <c r="V8" s="12">
        <f>SUM(Table227278[[#This Row],[Islet]:[Necrosis]])</f>
        <v>99.999999999999929</v>
      </c>
      <c r="Y8" s="13" t="s">
        <v>33</v>
      </c>
      <c r="Z8" s="27" t="s">
        <v>66</v>
      </c>
      <c r="AA8" s="15">
        <f>(COUNTIFS(Table227278[Study_Cohort],Table411185[[#This Row],[Study_Cohort]],Table227278[Genotype],Table411185[[#This Row],[Genotype]]))</f>
        <v>3</v>
      </c>
      <c r="AB8" s="16">
        <f>AVERAGEIFS(Table227278[Islet],Table227278[Study_Cohort],Table411185[[#This Row],[Study_Cohort]],Table227278[Genotype],Table411185[[#This Row],[Genotype]])</f>
        <v>0.45129569254971669</v>
      </c>
      <c r="AC8" s="16">
        <f>AVERAGEIFS(Table227278[Ductal Epithelium],Table227278[Study_Cohort],Table411185[[#This Row],[Study_Cohort]],Table227278[Genotype],Table411185[[#This Row],[Genotype]])</f>
        <v>0.28508637813306636</v>
      </c>
      <c r="AD8" s="16">
        <f>AVERAGEIFS(Table227278[Vasculature],Table227278[Study_Cohort],Table411185[[#This Row],[Study_Cohort]],Table227278[Genotype],Table411185[[#This Row],[Genotype]])</f>
        <v>1.3116579935837864</v>
      </c>
      <c r="AE8" s="16">
        <f>AVERAGEIFS(Table227278[Adipose],Table227278[Study_Cohort],Table411185[[#This Row],[Study_Cohort]],Table227278[Genotype],Table411185[[#This Row],[Genotype]])</f>
        <v>1.1510941179235523</v>
      </c>
      <c r="AF8" s="16">
        <f>AVERAGEIFS(Table227278[Acini],Table227278[Study_Cohort],Table411185[[#This Row],[Study_Cohort]],Table227278[Genotype],Table411185[[#This Row],[Genotype]])</f>
        <v>89.459386307284376</v>
      </c>
      <c r="AG8" s="16">
        <f>AVERAGEIFS(Table227278[Stroma/ECM],Table227278[Study_Cohort],Table411185[[#This Row],[Study_Cohort]],Table227278[Genotype],Table411185[[#This Row],[Genotype]])</f>
        <v>6.3049893114903339</v>
      </c>
      <c r="AH8" s="16">
        <f>AVERAGEIFS(Table227278[PanIN],Table227278[Study_Cohort],Table411185[[#This Row],[Study_Cohort]],Table227278[Genotype],Table411185[[#This Row],[Genotype]])</f>
        <v>1.2214349010718073E-2</v>
      </c>
      <c r="AI8" s="16">
        <f>AVERAGEIFS(Table227278[PDAc],Table227278[Study_Cohort],Table411185[[#This Row],[Study_Cohort]],Table227278[Genotype],Table411185[[#This Row],[Genotype]])</f>
        <v>3.0049209322544068E-2</v>
      </c>
      <c r="AJ8" s="16">
        <f>AVERAGEIFS(Table227278[Immune Hotspot],Table227278[Study_Cohort],Table411185[[#This Row],[Study_Cohort]],Table227278[Genotype],Table411185[[#This Row],[Genotype]])</f>
        <v>0.9942266407019057</v>
      </c>
      <c r="AK8" s="16">
        <f>AVERAGEIFS(Table227278[Duodenum],Table227278[Study_Cohort],Table411185[[#This Row],[Study_Cohort]],Table227278[Genotype],Table411185[[#This Row],[Genotype]])</f>
        <v>0</v>
      </c>
      <c r="AL8" s="16">
        <f>AVERAGEIFS(Table227278[Lymph Node],Table227278[Study_Cohort],Table411185[[#This Row],[Study_Cohort]],Table227278[Genotype],Table411185[[#This Row],[Genotype]])</f>
        <v>0</v>
      </c>
      <c r="AM8" s="16">
        <f>AVERAGEIFS(Table227278[Necrosis],Table227278[Study_Cohort],Table411185[[#This Row],[Study_Cohort]],Table227278[Genotype],Table411185[[#This Row],[Genotype]])</f>
        <v>0</v>
      </c>
      <c r="AN8" s="16">
        <f>SUM(Table411185[[#This Row],[Islet]:[Necrosis]])</f>
        <v>100</v>
      </c>
    </row>
    <row r="9" spans="1:40">
      <c r="A9" s="28" t="s">
        <v>67</v>
      </c>
      <c r="B9" s="21" t="s">
        <v>68</v>
      </c>
      <c r="C9" s="21" t="s">
        <v>68</v>
      </c>
      <c r="D9" s="20" t="s">
        <v>27</v>
      </c>
      <c r="E9" s="29" t="s">
        <v>69</v>
      </c>
      <c r="F9" s="20" t="s">
        <v>70</v>
      </c>
      <c r="G9" s="20" t="s">
        <v>71</v>
      </c>
      <c r="H9" s="22" t="s">
        <v>55</v>
      </c>
      <c r="I9" s="10">
        <v>2.2241527816125799E-3</v>
      </c>
      <c r="J9" s="10">
        <v>0.111403542144189</v>
      </c>
      <c r="K9" s="10">
        <v>5.2049197632639501</v>
      </c>
      <c r="L9" s="10">
        <v>2.2813564761719599E-2</v>
      </c>
      <c r="M9" s="10">
        <v>0</v>
      </c>
      <c r="N9" s="10">
        <v>5.4703775565300798</v>
      </c>
      <c r="O9" s="10">
        <v>1.05578691054352E-2</v>
      </c>
      <c r="P9" s="10">
        <v>49.609060417432097</v>
      </c>
      <c r="Q9" s="10">
        <v>1.2851593595019899</v>
      </c>
      <c r="R9" s="10">
        <v>0</v>
      </c>
      <c r="S9" s="10">
        <v>0</v>
      </c>
      <c r="T9" s="10">
        <v>38.283483774479002</v>
      </c>
      <c r="U9" s="30" t="s">
        <v>72</v>
      </c>
      <c r="V9" s="12">
        <f>SUM(Table227278[[#This Row],[Islet]:[Necrosis]])</f>
        <v>100.00000000000009</v>
      </c>
      <c r="Y9" s="13" t="s">
        <v>33</v>
      </c>
      <c r="Z9" s="31" t="s">
        <v>73</v>
      </c>
      <c r="AA9" s="15">
        <f>(COUNTIFS(Table227278[Study_Cohort],Table411185[[#This Row],[Study_Cohort]],Table227278[Genotype],Table411185[[#This Row],[Genotype]]))</f>
        <v>3</v>
      </c>
      <c r="AB9" s="16">
        <f>AVERAGEIFS(Table227278[Islet],Table227278[Study_Cohort],Table411185[[#This Row],[Study_Cohort]],Table227278[Genotype],Table411185[[#This Row],[Genotype]])</f>
        <v>0.24492150784909236</v>
      </c>
      <c r="AC9" s="16">
        <f>AVERAGEIFS(Table227278[Ductal Epithelium],Table227278[Study_Cohort],Table411185[[#This Row],[Study_Cohort]],Table227278[Genotype],Table411185[[#This Row],[Genotype]])</f>
        <v>0.34879817594795498</v>
      </c>
      <c r="AD9" s="16">
        <f>AVERAGEIFS(Table227278[Vasculature],Table227278[Study_Cohort],Table411185[[#This Row],[Study_Cohort]],Table227278[Genotype],Table411185[[#This Row],[Genotype]])</f>
        <v>1.6921277589905532</v>
      </c>
      <c r="AE9" s="16">
        <f>AVERAGEIFS(Table227278[Adipose],Table227278[Study_Cohort],Table411185[[#This Row],[Study_Cohort]],Table227278[Genotype],Table411185[[#This Row],[Genotype]])</f>
        <v>4.8801504362236097</v>
      </c>
      <c r="AF9" s="16">
        <f>AVERAGEIFS(Table227278[Acini],Table227278[Study_Cohort],Table411185[[#This Row],[Study_Cohort]],Table227278[Genotype],Table411185[[#This Row],[Genotype]])</f>
        <v>85.154603759329163</v>
      </c>
      <c r="AG9" s="16">
        <f>AVERAGEIFS(Table227278[Stroma/ECM],Table227278[Study_Cohort],Table411185[[#This Row],[Study_Cohort]],Table227278[Genotype],Table411185[[#This Row],[Genotype]])</f>
        <v>7.0583536348796541</v>
      </c>
      <c r="AH9" s="16">
        <f>AVERAGEIFS(Table227278[PanIN],Table227278[Study_Cohort],Table411185[[#This Row],[Study_Cohort]],Table227278[Genotype],Table411185[[#This Row],[Genotype]])</f>
        <v>1.3375998655884489E-3</v>
      </c>
      <c r="AI9" s="16">
        <f>AVERAGEIFS(Table227278[PDAc],Table227278[Study_Cohort],Table411185[[#This Row],[Study_Cohort]],Table227278[Genotype],Table411185[[#This Row],[Genotype]])</f>
        <v>9.9280946441191231E-2</v>
      </c>
      <c r="AJ9" s="16">
        <f>AVERAGEIFS(Table227278[Immune Hotspot],Table227278[Study_Cohort],Table411185[[#This Row],[Study_Cohort]],Table227278[Genotype],Table411185[[#This Row],[Genotype]])</f>
        <v>0.27166113041066003</v>
      </c>
      <c r="AK9" s="16">
        <f>AVERAGEIFS(Table227278[Duodenum],Table227278[Study_Cohort],Table411185[[#This Row],[Study_Cohort]],Table227278[Genotype],Table411185[[#This Row],[Genotype]])</f>
        <v>0.24876505006250002</v>
      </c>
      <c r="AL9" s="16">
        <f>AVERAGEIFS(Table227278[Lymph Node],Table227278[Study_Cohort],Table411185[[#This Row],[Study_Cohort]],Table227278[Genotype],Table411185[[#This Row],[Genotype]])</f>
        <v>0</v>
      </c>
      <c r="AM9" s="16">
        <f>AVERAGEIFS(Table227278[Necrosis],Table227278[Study_Cohort],Table411185[[#This Row],[Study_Cohort]],Table227278[Genotype],Table411185[[#This Row],[Genotype]])</f>
        <v>0</v>
      </c>
      <c r="AN9" s="16">
        <f>SUM(Table411185[[#This Row],[Islet]:[Necrosis]])</f>
        <v>99.999999999999986</v>
      </c>
    </row>
    <row r="10" spans="1:40">
      <c r="A10" s="20" t="s">
        <v>74</v>
      </c>
      <c r="B10" s="21" t="s">
        <v>75</v>
      </c>
      <c r="C10" s="21" t="s">
        <v>75</v>
      </c>
      <c r="D10" s="20" t="s">
        <v>27</v>
      </c>
      <c r="E10" s="20" t="s">
        <v>76</v>
      </c>
      <c r="F10" s="20" t="s">
        <v>70</v>
      </c>
      <c r="G10" s="20" t="s">
        <v>71</v>
      </c>
      <c r="H10" s="22" t="s">
        <v>55</v>
      </c>
      <c r="I10" s="10">
        <v>1.3973622264846001E-2</v>
      </c>
      <c r="J10" s="10">
        <v>0.16620241091344001</v>
      </c>
      <c r="K10" s="10">
        <v>9.5663167763550891</v>
      </c>
      <c r="L10" s="10">
        <v>1.3251556052687201E-3</v>
      </c>
      <c r="M10" s="10">
        <v>0</v>
      </c>
      <c r="N10" s="10">
        <v>0.16558906489799799</v>
      </c>
      <c r="O10" s="10">
        <v>2.89852147096703E-3</v>
      </c>
      <c r="P10" s="10">
        <v>43.182915453923599</v>
      </c>
      <c r="Q10" s="10">
        <v>0.14074342296144299</v>
      </c>
      <c r="R10" s="10">
        <v>0</v>
      </c>
      <c r="S10" s="10">
        <v>0</v>
      </c>
      <c r="T10" s="10">
        <v>46.760035571607297</v>
      </c>
      <c r="U10" s="11" t="s">
        <v>77</v>
      </c>
      <c r="V10" s="12">
        <f>SUM(Table227278[[#This Row],[Islet]:[Necrosis]])</f>
        <v>99.999999999999943</v>
      </c>
      <c r="Y10" s="13" t="s">
        <v>33</v>
      </c>
      <c r="Z10" s="32" t="s">
        <v>78</v>
      </c>
      <c r="AA10" s="15">
        <f>(COUNTIFS(Table227278[Study_Cohort],Table411185[[#This Row],[Study_Cohort]],Table227278[Genotype],Table411185[[#This Row],[Genotype]]))</f>
        <v>3</v>
      </c>
      <c r="AB10" s="16">
        <f>AVERAGEIFS(Table227278[Islet],Table227278[Study_Cohort],Table411185[[#This Row],[Study_Cohort]],Table227278[Genotype],Table411185[[#This Row],[Genotype]])</f>
        <v>0.57642664610583871</v>
      </c>
      <c r="AC10" s="16">
        <f>AVERAGEIFS(Table227278[Ductal Epithelium],Table227278[Study_Cohort],Table411185[[#This Row],[Study_Cohort]],Table227278[Genotype],Table411185[[#This Row],[Genotype]])</f>
        <v>0.91528595841250704</v>
      </c>
      <c r="AD10" s="16">
        <f>AVERAGEIFS(Table227278[Vasculature],Table227278[Study_Cohort],Table411185[[#This Row],[Study_Cohort]],Table227278[Genotype],Table411185[[#This Row],[Genotype]])</f>
        <v>1.8987031466325066</v>
      </c>
      <c r="AE10" s="16">
        <f>AVERAGEIFS(Table227278[Adipose],Table227278[Study_Cohort],Table411185[[#This Row],[Study_Cohort]],Table227278[Genotype],Table411185[[#This Row],[Genotype]])</f>
        <v>3.6392743500042495</v>
      </c>
      <c r="AF10" s="16">
        <f>AVERAGEIFS(Table227278[Acini],Table227278[Study_Cohort],Table411185[[#This Row],[Study_Cohort]],Table227278[Genotype],Table411185[[#This Row],[Genotype]])</f>
        <v>65.862555253841023</v>
      </c>
      <c r="AG10" s="16">
        <f>AVERAGEIFS(Table227278[Stroma/ECM],Table227278[Study_Cohort],Table411185[[#This Row],[Study_Cohort]],Table227278[Genotype],Table411185[[#This Row],[Genotype]])</f>
        <v>11.338139900022277</v>
      </c>
      <c r="AH10" s="16">
        <f>AVERAGEIFS(Table227278[PanIN],Table227278[Study_Cohort],Table411185[[#This Row],[Study_Cohort]],Table227278[Genotype],Table411185[[#This Row],[Genotype]])</f>
        <v>2.5803613206805812E-2</v>
      </c>
      <c r="AI10" s="16">
        <f>AVERAGEIFS(Table227278[PDAc],Table227278[Study_Cohort],Table411185[[#This Row],[Study_Cohort]],Table227278[Genotype],Table411185[[#This Row],[Genotype]])</f>
        <v>2.6456050079907506E-2</v>
      </c>
      <c r="AJ10" s="16">
        <f>AVERAGEIFS(Table227278[Immune Hotspot],Table227278[Study_Cohort],Table411185[[#This Row],[Study_Cohort]],Table227278[Genotype],Table411185[[#This Row],[Genotype]])</f>
        <v>0.26480936124795001</v>
      </c>
      <c r="AK10" s="16">
        <f>AVERAGEIFS(Table227278[Duodenum],Table227278[Study_Cohort],Table411185[[#This Row],[Study_Cohort]],Table227278[Genotype],Table411185[[#This Row],[Genotype]])</f>
        <v>3.3687982152531331</v>
      </c>
      <c r="AL10" s="16">
        <f>AVERAGEIFS(Table227278[Lymph Node],Table227278[Study_Cohort],Table411185[[#This Row],[Study_Cohort]],Table227278[Genotype],Table411185[[#This Row],[Genotype]])</f>
        <v>12.083747505193768</v>
      </c>
      <c r="AM10" s="16">
        <f>AVERAGEIFS(Table227278[Necrosis],Table227278[Study_Cohort],Table411185[[#This Row],[Study_Cohort]],Table227278[Genotype],Table411185[[#This Row],[Genotype]])</f>
        <v>0</v>
      </c>
      <c r="AN10" s="16">
        <f>SUM(Table411185[[#This Row],[Islet]:[Necrosis]])</f>
        <v>99.999999999999972</v>
      </c>
    </row>
    <row r="11" spans="1:40">
      <c r="A11" s="28" t="s">
        <v>79</v>
      </c>
      <c r="B11" s="21" t="s">
        <v>80</v>
      </c>
      <c r="C11" s="21" t="s">
        <v>80</v>
      </c>
      <c r="D11" s="20" t="s">
        <v>27</v>
      </c>
      <c r="E11" s="29" t="s">
        <v>81</v>
      </c>
      <c r="F11" s="20" t="s">
        <v>70</v>
      </c>
      <c r="G11" s="20" t="s">
        <v>71</v>
      </c>
      <c r="H11" s="22" t="s">
        <v>55</v>
      </c>
      <c r="I11" s="10">
        <v>6.3069323504430994E-2</v>
      </c>
      <c r="J11" s="10">
        <v>0.34286544295831001</v>
      </c>
      <c r="K11" s="10">
        <v>2.21966637928004</v>
      </c>
      <c r="L11" s="10">
        <v>4.7294799755340497E-2</v>
      </c>
      <c r="M11" s="10">
        <v>0</v>
      </c>
      <c r="N11" s="10">
        <v>0.60487856720714495</v>
      </c>
      <c r="O11" s="10">
        <v>0.25532817875825298</v>
      </c>
      <c r="P11" s="10">
        <v>72.637276506508798</v>
      </c>
      <c r="Q11" s="10">
        <v>2.3530875335349699</v>
      </c>
      <c r="R11" s="10">
        <v>0</v>
      </c>
      <c r="S11" s="10">
        <v>0</v>
      </c>
      <c r="T11" s="10">
        <v>21.476533268492702</v>
      </c>
      <c r="U11" s="30" t="s">
        <v>82</v>
      </c>
      <c r="V11" s="12">
        <f>SUM(Table227278[[#This Row],[Islet]:[Necrosis]])</f>
        <v>100</v>
      </c>
      <c r="Y11" s="13"/>
      <c r="Z11" s="31"/>
      <c r="AA11" s="15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>
      <c r="A12" s="20" t="s">
        <v>83</v>
      </c>
      <c r="B12" s="21" t="s">
        <v>84</v>
      </c>
      <c r="C12" s="21" t="s">
        <v>84</v>
      </c>
      <c r="D12" s="20" t="s">
        <v>27</v>
      </c>
      <c r="E12" s="20" t="s">
        <v>85</v>
      </c>
      <c r="F12" s="20" t="s">
        <v>70</v>
      </c>
      <c r="G12" s="20" t="s">
        <v>71</v>
      </c>
      <c r="H12" s="22" t="s">
        <v>55</v>
      </c>
      <c r="I12" s="10">
        <v>5.2097275326085102E-3</v>
      </c>
      <c r="J12" s="10">
        <v>0.69695643234598204</v>
      </c>
      <c r="K12" s="10">
        <v>4.8490362581413899</v>
      </c>
      <c r="L12" s="10">
        <v>0.107066013904335</v>
      </c>
      <c r="M12" s="10">
        <v>0</v>
      </c>
      <c r="N12" s="10">
        <v>1.85996697290853</v>
      </c>
      <c r="O12" s="10">
        <v>0.35818320159696199</v>
      </c>
      <c r="P12" s="10">
        <v>62.826372109441799</v>
      </c>
      <c r="Q12" s="10">
        <v>2.1552870345911601</v>
      </c>
      <c r="R12" s="10">
        <v>0</v>
      </c>
      <c r="S12" s="10">
        <v>0</v>
      </c>
      <c r="T12" s="10">
        <v>27.141922249537298</v>
      </c>
      <c r="U12" s="11" t="s">
        <v>86</v>
      </c>
      <c r="V12" s="12">
        <f>SUM(Table227278[[#This Row],[Islet]:[Necrosis]])</f>
        <v>100.00000000000006</v>
      </c>
      <c r="Y12" s="33" t="s">
        <v>87</v>
      </c>
      <c r="Z12" s="14" t="s">
        <v>30</v>
      </c>
      <c r="AA12" s="15">
        <f>(COUNTIFS(Table227278[Study_Cohort],Table411185[[#This Row],[Study_Cohort]],Table227278[Genotype],Table411185[[#This Row],[Genotype]]))</f>
        <v>1</v>
      </c>
      <c r="AB12" s="16">
        <f>AVERAGEIFS(Table227278[Islet],Table227278[Study_Cohort],Table411185[[#This Row],[Study_Cohort]],Table227278[Genotype],Table411185[[#This Row],[Genotype]])</f>
        <v>0.55904972176925405</v>
      </c>
      <c r="AC12" s="16">
        <f>AVERAGEIFS(Table227278[Ductal Epithelium],Table227278[Study_Cohort],Table411185[[#This Row],[Study_Cohort]],Table227278[Genotype],Table411185[[#This Row],[Genotype]])</f>
        <v>10.6387760798722</v>
      </c>
      <c r="AD12" s="16">
        <f>AVERAGEIFS(Table227278[Vasculature],Table227278[Study_Cohort],Table411185[[#This Row],[Study_Cohort]],Table227278[Genotype],Table411185[[#This Row],[Genotype]])</f>
        <v>1.6274576314349301</v>
      </c>
      <c r="AE12" s="16">
        <f>AVERAGEIFS(Table227278[Adipose],Table227278[Study_Cohort],Table411185[[#This Row],[Study_Cohort]],Table227278[Genotype],Table411185[[#This Row],[Genotype]])</f>
        <v>0.344657473401076</v>
      </c>
      <c r="AF12" s="16">
        <f>AVERAGEIFS(Table227278[Acini],Table227278[Study_Cohort],Table411185[[#This Row],[Study_Cohort]],Table227278[Genotype],Table411185[[#This Row],[Genotype]])</f>
        <v>37.0028810673737</v>
      </c>
      <c r="AG12" s="16">
        <f>AVERAGEIFS(Table227278[Stroma/ECM],Table227278[Study_Cohort],Table411185[[#This Row],[Study_Cohort]],Table227278[Genotype],Table411185[[#This Row],[Genotype]])</f>
        <v>41.3297182030987</v>
      </c>
      <c r="AH12" s="16">
        <f>AVERAGEIFS(Table227278[PanIN],Table227278[Study_Cohort],Table411185[[#This Row],[Study_Cohort]],Table227278[Genotype],Table411185[[#This Row],[Genotype]])</f>
        <v>3.1509985752026601</v>
      </c>
      <c r="AI12" s="16">
        <f>AVERAGEIFS(Table227278[PDAc],Table227278[Study_Cohort],Table411185[[#This Row],[Study_Cohort]],Table227278[Genotype],Table411185[[#This Row],[Genotype]])</f>
        <v>3.7241755763180802</v>
      </c>
      <c r="AJ12" s="16">
        <f>AVERAGEIFS(Table227278[Immune Hotspot],Table227278[Study_Cohort],Table411185[[#This Row],[Study_Cohort]],Table227278[Genotype],Table411185[[#This Row],[Genotype]])</f>
        <v>0.58858433491407702</v>
      </c>
      <c r="AK12" s="16">
        <f>AVERAGEIFS(Table227278[Duodenum],Table227278[Study_Cohort],Table411185[[#This Row],[Study_Cohort]],Table227278[Genotype],Table411185[[#This Row],[Genotype]])</f>
        <v>0</v>
      </c>
      <c r="AL12" s="16">
        <f>AVERAGEIFS(Table227278[Lymph Node],Table227278[Study_Cohort],Table411185[[#This Row],[Study_Cohort]],Table227278[Genotype],Table411185[[#This Row],[Genotype]])</f>
        <v>1.0337013366153101</v>
      </c>
      <c r="AM12" s="16">
        <f>AVERAGEIFS(Table227278[Necrosis],Table227278[Study_Cohort],Table411185[[#This Row],[Study_Cohort]],Table227278[Genotype],Table411185[[#This Row],[Genotype]])</f>
        <v>0</v>
      </c>
      <c r="AN12" s="16">
        <f>SUM(Table411185[[#This Row],[Islet]:[Necrosis]])</f>
        <v>99.999999999999972</v>
      </c>
    </row>
    <row r="13" spans="1:40">
      <c r="A13" s="20" t="s">
        <v>88</v>
      </c>
      <c r="B13" s="21" t="s">
        <v>89</v>
      </c>
      <c r="C13" s="21" t="s">
        <v>89</v>
      </c>
      <c r="D13" s="20" t="s">
        <v>27</v>
      </c>
      <c r="E13" s="20" t="s">
        <v>90</v>
      </c>
      <c r="F13" s="20" t="s">
        <v>91</v>
      </c>
      <c r="G13" s="20" t="s">
        <v>92</v>
      </c>
      <c r="H13" s="22" t="s">
        <v>55</v>
      </c>
      <c r="I13" s="10">
        <v>3.2027831816499597E-2</v>
      </c>
      <c r="J13" s="10">
        <v>0.56249077493245203</v>
      </c>
      <c r="K13" s="10">
        <v>1.8201741320765901</v>
      </c>
      <c r="L13" s="10">
        <v>0.36926982037524297</v>
      </c>
      <c r="M13" s="10">
        <v>0.32819293887747503</v>
      </c>
      <c r="N13" s="10">
        <v>38.752970777617598</v>
      </c>
      <c r="O13" s="10">
        <v>1.89621121236483E-3</v>
      </c>
      <c r="P13" s="10">
        <v>58.097959933301098</v>
      </c>
      <c r="Q13" s="10">
        <v>3.5017579790638603E-2</v>
      </c>
      <c r="R13" s="10">
        <v>0</v>
      </c>
      <c r="S13" s="10">
        <v>0</v>
      </c>
      <c r="T13" s="10">
        <v>0</v>
      </c>
      <c r="U13" s="11" t="s">
        <v>93</v>
      </c>
      <c r="V13" s="12">
        <f>SUM(Table227278[[#This Row],[Islet]:[Necrosis]])</f>
        <v>99.999999999999943</v>
      </c>
      <c r="Y13" s="34" t="s">
        <v>37</v>
      </c>
      <c r="Z13" s="14" t="s">
        <v>30</v>
      </c>
      <c r="AA13" s="15">
        <f>(COUNTIFS(Table227278[Study_Cohort],Table411185[[#This Row],[Study_Cohort]],Table227278[Genotype],Table411185[[#This Row],[Genotype]]))</f>
        <v>3</v>
      </c>
      <c r="AB13" s="16">
        <f>AVERAGEIFS(Table227278[Islet],Table227278[Study_Cohort],Table411185[[#This Row],[Study_Cohort]],Table227278[Genotype],Table411185[[#This Row],[Genotype]])</f>
        <v>0.51660212117002879</v>
      </c>
      <c r="AC13" s="16">
        <f>AVERAGEIFS(Table227278[Ductal Epithelium],Table227278[Study_Cohort],Table411185[[#This Row],[Study_Cohort]],Table227278[Genotype],Table411185[[#This Row],[Genotype]])</f>
        <v>5.1076481303219028</v>
      </c>
      <c r="AD13" s="16">
        <f>AVERAGEIFS(Table227278[Vasculature],Table227278[Study_Cohort],Table411185[[#This Row],[Study_Cohort]],Table227278[Genotype],Table411185[[#This Row],[Genotype]])</f>
        <v>1.7064099253954199</v>
      </c>
      <c r="AE13" s="16">
        <f>AVERAGEIFS(Table227278[Adipose],Table227278[Study_Cohort],Table411185[[#This Row],[Study_Cohort]],Table227278[Genotype],Table411185[[#This Row],[Genotype]])</f>
        <v>8.1487616247931367</v>
      </c>
      <c r="AF13" s="16">
        <f>AVERAGEIFS(Table227278[Acini],Table227278[Study_Cohort],Table411185[[#This Row],[Study_Cohort]],Table227278[Genotype],Table411185[[#This Row],[Genotype]])</f>
        <v>49.120848041555099</v>
      </c>
      <c r="AG13" s="16">
        <f>AVERAGEIFS(Table227278[Stroma/ECM],Table227278[Study_Cohort],Table411185[[#This Row],[Study_Cohort]],Table227278[Genotype],Table411185[[#This Row],[Genotype]])</f>
        <v>30.300816423265999</v>
      </c>
      <c r="AH13" s="16">
        <f>AVERAGEIFS(Table227278[PanIN],Table227278[Study_Cohort],Table411185[[#This Row],[Study_Cohort]],Table227278[Genotype],Table411185[[#This Row],[Genotype]])</f>
        <v>3.2826032353076005</v>
      </c>
      <c r="AI13" s="16">
        <f>AVERAGEIFS(Table227278[PDAc],Table227278[Study_Cohort],Table411185[[#This Row],[Study_Cohort]],Table227278[Genotype],Table411185[[#This Row],[Genotype]])</f>
        <v>0.11805519124075607</v>
      </c>
      <c r="AJ13" s="16">
        <f>AVERAGEIFS(Table227278[Immune Hotspot],Table227278[Study_Cohort],Table411185[[#This Row],[Study_Cohort]],Table227278[Genotype],Table411185[[#This Row],[Genotype]])</f>
        <v>0.26998425083480765</v>
      </c>
      <c r="AK13" s="16">
        <f>AVERAGEIFS(Table227278[Duodenum],Table227278[Study_Cohort],Table411185[[#This Row],[Study_Cohort]],Table227278[Genotype],Table411185[[#This Row],[Genotype]])</f>
        <v>1.204282451047088</v>
      </c>
      <c r="AL13" s="16">
        <f>AVERAGEIFS(Table227278[Lymph Node],Table227278[Study_Cohort],Table411185[[#This Row],[Study_Cohort]],Table227278[Genotype],Table411185[[#This Row],[Genotype]])</f>
        <v>0.22398860506815566</v>
      </c>
      <c r="AM13" s="16">
        <f>AVERAGEIFS(Table227278[Necrosis],Table227278[Study_Cohort],Table411185[[#This Row],[Study_Cohort]],Table227278[Genotype],Table411185[[#This Row],[Genotype]])</f>
        <v>0</v>
      </c>
      <c r="AN13" s="16">
        <f>SUM(Table411185[[#This Row],[Islet]:[Necrosis]])</f>
        <v>100.00000000000001</v>
      </c>
    </row>
    <row r="14" spans="1:40">
      <c r="A14" s="20" t="s">
        <v>94</v>
      </c>
      <c r="B14" s="21" t="s">
        <v>95</v>
      </c>
      <c r="C14" s="21" t="s">
        <v>95</v>
      </c>
      <c r="D14" s="20" t="s">
        <v>27</v>
      </c>
      <c r="E14" s="20" t="s">
        <v>96</v>
      </c>
      <c r="F14" s="20" t="s">
        <v>91</v>
      </c>
      <c r="G14" s="20" t="s">
        <v>92</v>
      </c>
      <c r="H14" s="22" t="s">
        <v>55</v>
      </c>
      <c r="I14" s="10">
        <v>0.17356121015056999</v>
      </c>
      <c r="J14" s="10">
        <v>0.85636421235650195</v>
      </c>
      <c r="K14" s="10">
        <v>0.90186832227215097</v>
      </c>
      <c r="L14" s="10">
        <v>0.30760387647127502</v>
      </c>
      <c r="M14" s="10">
        <v>4.7729332791406902</v>
      </c>
      <c r="N14" s="10">
        <v>12.8297123455595</v>
      </c>
      <c r="O14" s="10">
        <v>9.9718273705938602E-3</v>
      </c>
      <c r="P14" s="10">
        <v>78.425001785875395</v>
      </c>
      <c r="Q14" s="10">
        <v>1.72298314080333</v>
      </c>
      <c r="R14" s="10">
        <v>0</v>
      </c>
      <c r="S14" s="10">
        <v>0</v>
      </c>
      <c r="T14" s="10">
        <v>0</v>
      </c>
      <c r="U14" s="11" t="s">
        <v>97</v>
      </c>
      <c r="V14" s="12">
        <f>SUM(Table227278[[#This Row],[Islet]:[Necrosis]])</f>
        <v>100.00000000000001</v>
      </c>
      <c r="Y14" s="13"/>
      <c r="Z14" s="35" t="s">
        <v>98</v>
      </c>
      <c r="AA14" s="36">
        <f>SUM(Table411185[Sent_'#])-AA7</f>
        <v>52</v>
      </c>
    </row>
    <row r="15" spans="1:40">
      <c r="A15" s="20" t="s">
        <v>99</v>
      </c>
      <c r="B15" s="21" t="s">
        <v>100</v>
      </c>
      <c r="C15" s="21" t="s">
        <v>100</v>
      </c>
      <c r="D15" s="20" t="s">
        <v>27</v>
      </c>
      <c r="E15" s="20" t="s">
        <v>101</v>
      </c>
      <c r="F15" s="20" t="s">
        <v>91</v>
      </c>
      <c r="G15" s="20" t="s">
        <v>92</v>
      </c>
      <c r="H15" s="22" t="s">
        <v>55</v>
      </c>
      <c r="I15" s="10">
        <v>9.7221371325344003E-2</v>
      </c>
      <c r="J15" s="10">
        <v>1.12509496362339</v>
      </c>
      <c r="K15" s="10">
        <v>1.78832707824061</v>
      </c>
      <c r="L15" s="10">
        <v>1.7258150790249501E-2</v>
      </c>
      <c r="M15" s="10">
        <v>5.0580895068380602</v>
      </c>
      <c r="N15" s="10">
        <v>11.880438673194799</v>
      </c>
      <c r="O15" s="10">
        <v>1.08675162743152E-2</v>
      </c>
      <c r="P15" s="10">
        <v>79.542355977508294</v>
      </c>
      <c r="Q15" s="10">
        <v>0.48034676220487099</v>
      </c>
      <c r="R15" s="10">
        <v>0</v>
      </c>
      <c r="S15" s="10">
        <v>0</v>
      </c>
      <c r="T15" s="10">
        <v>0</v>
      </c>
      <c r="U15" s="11" t="s">
        <v>102</v>
      </c>
      <c r="V15" s="12">
        <f>SUM(Table227278[[#This Row],[Islet]:[Necrosis]])</f>
        <v>99.999999999999943</v>
      </c>
    </row>
    <row r="16" spans="1:40">
      <c r="A16" s="20" t="s">
        <v>103</v>
      </c>
      <c r="B16" s="21" t="s">
        <v>104</v>
      </c>
      <c r="C16" s="21" t="s">
        <v>104</v>
      </c>
      <c r="D16" s="20" t="s">
        <v>27</v>
      </c>
      <c r="E16" s="20" t="s">
        <v>105</v>
      </c>
      <c r="F16" s="20" t="s">
        <v>91</v>
      </c>
      <c r="G16" s="20" t="s">
        <v>92</v>
      </c>
      <c r="H16" s="22" t="s">
        <v>55</v>
      </c>
      <c r="I16" s="10">
        <v>0.21716928851492501</v>
      </c>
      <c r="J16" s="10">
        <v>2.1682528642974499</v>
      </c>
      <c r="K16" s="10">
        <v>1.3911036953781699</v>
      </c>
      <c r="L16" s="10">
        <v>0.234343765683592</v>
      </c>
      <c r="M16" s="10">
        <v>8.28555747549796</v>
      </c>
      <c r="N16" s="10">
        <v>12.823844589736</v>
      </c>
      <c r="O16" s="10">
        <v>7.7434083920300503E-2</v>
      </c>
      <c r="P16" s="10">
        <v>72.997837556164697</v>
      </c>
      <c r="Q16" s="10">
        <v>1.3561476785375699</v>
      </c>
      <c r="R16" s="10">
        <v>0.44830900226931197</v>
      </c>
      <c r="S16" s="10">
        <v>0</v>
      </c>
      <c r="T16" s="10">
        <v>0</v>
      </c>
      <c r="U16" s="11" t="s">
        <v>106</v>
      </c>
      <c r="V16" s="12">
        <f>SUM(Table227278[[#This Row],[Islet]:[Necrosis]])</f>
        <v>99.999999999999972</v>
      </c>
      <c r="Y16" s="4" t="s">
        <v>7</v>
      </c>
      <c r="Z16" s="4" t="s">
        <v>6</v>
      </c>
      <c r="AA16" s="5" t="s">
        <v>22</v>
      </c>
      <c r="AB16" s="3" t="s">
        <v>8</v>
      </c>
      <c r="AC16" s="3" t="s">
        <v>23</v>
      </c>
      <c r="AD16" s="3" t="s">
        <v>10</v>
      </c>
      <c r="AE16" s="3" t="s">
        <v>11</v>
      </c>
      <c r="AF16" s="3" t="s">
        <v>12</v>
      </c>
      <c r="AG16" s="3" t="s">
        <v>24</v>
      </c>
      <c r="AH16" s="3" t="s">
        <v>14</v>
      </c>
      <c r="AI16" s="3" t="s">
        <v>15</v>
      </c>
      <c r="AJ16" s="3" t="s">
        <v>16</v>
      </c>
      <c r="AK16" s="3" t="s">
        <v>17</v>
      </c>
      <c r="AL16" s="3" t="s">
        <v>18</v>
      </c>
      <c r="AM16" s="3" t="s">
        <v>19</v>
      </c>
      <c r="AN16" s="6" t="s">
        <v>21</v>
      </c>
    </row>
    <row r="17" spans="1:40">
      <c r="A17" s="20" t="s">
        <v>107</v>
      </c>
      <c r="B17" s="21" t="s">
        <v>108</v>
      </c>
      <c r="C17" s="21" t="s">
        <v>108</v>
      </c>
      <c r="D17" s="20" t="s">
        <v>27</v>
      </c>
      <c r="E17" s="20" t="s">
        <v>109</v>
      </c>
      <c r="F17" s="20" t="s">
        <v>91</v>
      </c>
      <c r="G17" s="20" t="s">
        <v>92</v>
      </c>
      <c r="H17" s="22" t="s">
        <v>55</v>
      </c>
      <c r="I17" s="10">
        <v>1.4434095729987999</v>
      </c>
      <c r="J17" s="10">
        <v>0.14331100546492301</v>
      </c>
      <c r="K17" s="10">
        <v>0.67844882696665398</v>
      </c>
      <c r="L17" s="10">
        <v>7.8875127158322594E-2</v>
      </c>
      <c r="M17" s="10">
        <v>23.633344409883001</v>
      </c>
      <c r="N17" s="10">
        <v>14.49260804022</v>
      </c>
      <c r="O17" s="10">
        <v>5.4431424513083998E-2</v>
      </c>
      <c r="P17" s="10">
        <v>58.577208041839</v>
      </c>
      <c r="Q17" s="10">
        <v>0.89836355095616505</v>
      </c>
      <c r="R17" s="10">
        <v>0</v>
      </c>
      <c r="S17" s="10">
        <v>0</v>
      </c>
      <c r="T17" s="10">
        <v>0</v>
      </c>
      <c r="U17" s="11" t="s">
        <v>110</v>
      </c>
      <c r="V17" s="12">
        <f>SUM(Table227278[[#This Row],[Islet]:[Necrosis]])</f>
        <v>99.999999999999943</v>
      </c>
      <c r="Y17" s="23" t="s">
        <v>111</v>
      </c>
      <c r="Z17" s="24"/>
      <c r="AA17" s="25">
        <f>SUM(AA18:AA19)</f>
        <v>6</v>
      </c>
      <c r="AB17" s="26">
        <f t="shared" ref="AB17:AM17" si="1">((AB18*$AA$18)+(AB19*$AA$19))/($AA$19+$AA$18)</f>
        <v>0.89489569012182635</v>
      </c>
      <c r="AC17" s="26">
        <f t="shared" si="1"/>
        <v>7.0067312336537944</v>
      </c>
      <c r="AD17" s="26">
        <f t="shared" si="1"/>
        <v>3.5957435777140496</v>
      </c>
      <c r="AE17" s="26">
        <f t="shared" si="1"/>
        <v>1.6915425593927178</v>
      </c>
      <c r="AF17" s="26">
        <f t="shared" si="1"/>
        <v>3.408606030814866</v>
      </c>
      <c r="AG17" s="26">
        <f t="shared" si="1"/>
        <v>31.72725765773443</v>
      </c>
      <c r="AH17" s="26">
        <f t="shared" si="1"/>
        <v>1.4016181879711931</v>
      </c>
      <c r="AI17" s="26">
        <f t="shared" si="1"/>
        <v>28.213200883004017</v>
      </c>
      <c r="AJ17" s="26">
        <f t="shared" si="1"/>
        <v>0.91659327976527682</v>
      </c>
      <c r="AK17" s="26">
        <f t="shared" si="1"/>
        <v>0</v>
      </c>
      <c r="AL17" s="26">
        <f t="shared" si="1"/>
        <v>2.6156606083071652</v>
      </c>
      <c r="AM17" s="26">
        <f t="shared" si="1"/>
        <v>18.528150291520664</v>
      </c>
      <c r="AN17" s="26">
        <f>SUM(Table41112196[[#This Row],[Islet]:[Necrosis]])</f>
        <v>100</v>
      </c>
    </row>
    <row r="18" spans="1:40">
      <c r="A18" s="20" t="s">
        <v>112</v>
      </c>
      <c r="B18" s="21" t="s">
        <v>113</v>
      </c>
      <c r="C18" s="21" t="s">
        <v>113</v>
      </c>
      <c r="D18" s="20" t="s">
        <v>27</v>
      </c>
      <c r="E18" s="20" t="s">
        <v>114</v>
      </c>
      <c r="F18" s="20" t="s">
        <v>115</v>
      </c>
      <c r="G18" s="20" t="s">
        <v>116</v>
      </c>
      <c r="H18" s="22" t="s">
        <v>55</v>
      </c>
      <c r="I18" s="10">
        <v>4.6124306557764498E-2</v>
      </c>
      <c r="J18" s="10">
        <v>2.1227033807246599E-2</v>
      </c>
      <c r="K18" s="10">
        <v>1.5048180592901701</v>
      </c>
      <c r="L18" s="10">
        <v>1.5048947086436001E-2</v>
      </c>
      <c r="M18" s="10">
        <v>9.7859643454593206E-2</v>
      </c>
      <c r="N18" s="10">
        <v>11.8023870722099</v>
      </c>
      <c r="O18" s="10">
        <v>1.7000156840948799E-2</v>
      </c>
      <c r="P18" s="10">
        <v>86.040272225164699</v>
      </c>
      <c r="Q18" s="10">
        <v>0.455262555588269</v>
      </c>
      <c r="R18" s="10">
        <v>0</v>
      </c>
      <c r="S18" s="10">
        <v>0</v>
      </c>
      <c r="T18" s="10">
        <v>0</v>
      </c>
      <c r="U18" s="11" t="s">
        <v>117</v>
      </c>
      <c r="V18" s="12">
        <f>SUM(Table227278[[#This Row],[Islet]:[Necrosis]])</f>
        <v>100.00000000000003</v>
      </c>
      <c r="Y18" s="37" t="s">
        <v>118</v>
      </c>
      <c r="Z18" s="31" t="s">
        <v>119</v>
      </c>
      <c r="AA18" s="15">
        <f>(COUNTIFS(Table227278[Study_Cohort],Table41112196[[#This Row],[Study_Cohort]],Table227278[Genotype],Table41112196[[#This Row],[Genotype]]))</f>
        <v>1</v>
      </c>
      <c r="AB18" s="16">
        <f>AVERAGEIFS(Table227278[Islet],Table227278[Study_Cohort],Table41112196[[#This Row],[Study_Cohort]],Table227278[Genotype],Table41112196[[#This Row],[Genotype]])</f>
        <v>0.17934647275111901</v>
      </c>
      <c r="AC18" s="16">
        <f>AVERAGEIFS(Table227278[Ductal Epithelium],Table227278[Study_Cohort],Table41112196[[#This Row],[Study_Cohort]],Table227278[Genotype],Table41112196[[#This Row],[Genotype]])</f>
        <v>6.5598180230742802</v>
      </c>
      <c r="AD18" s="16">
        <f>AVERAGEIFS(Table227278[Vasculature],Table227278[Study_Cohort],Table41112196[[#This Row],[Study_Cohort]],Table227278[Genotype],Table41112196[[#This Row],[Genotype]])</f>
        <v>10.783497095154599</v>
      </c>
      <c r="AE18" s="16">
        <f>AVERAGEIFS(Table227278[Adipose],Table227278[Study_Cohort],Table41112196[[#This Row],[Study_Cohort]],Table227278[Genotype],Table41112196[[#This Row],[Genotype]])</f>
        <v>0.60124342980047996</v>
      </c>
      <c r="AF18" s="16">
        <f>AVERAGEIFS(Table227278[Acini],Table227278[Study_Cohort],Table41112196[[#This Row],[Study_Cohort]],Table227278[Genotype],Table41112196[[#This Row],[Genotype]])</f>
        <v>1.2378986389623401</v>
      </c>
      <c r="AG18" s="16">
        <f>AVERAGEIFS(Table227278[Stroma/ECM],Table227278[Study_Cohort],Table41112196[[#This Row],[Study_Cohort]],Table227278[Genotype],Table41112196[[#This Row],[Genotype]])</f>
        <v>34.329203497957799</v>
      </c>
      <c r="AH18" s="16">
        <f>AVERAGEIFS(Table227278[PanIN],Table227278[Study_Cohort],Table41112196[[#This Row],[Study_Cohort]],Table227278[Genotype],Table41112196[[#This Row],[Genotype]])</f>
        <v>2.0389408191394498</v>
      </c>
      <c r="AI18" s="16">
        <f>AVERAGEIFS(Table227278[PDAc],Table227278[Study_Cohort],Table41112196[[#This Row],[Study_Cohort]],Table227278[Genotype],Table41112196[[#This Row],[Genotype]])</f>
        <v>35.841871650027201</v>
      </c>
      <c r="AJ18" s="16">
        <f>AVERAGEIFS(Table227278[Immune Hotspot],Table227278[Study_Cohort],Table41112196[[#This Row],[Study_Cohort]],Table227278[Genotype],Table41112196[[#This Row],[Genotype]])</f>
        <v>0.61173774928515201</v>
      </c>
      <c r="AK18" s="16">
        <f>AVERAGEIFS(Table227278[Duodenum],Table227278[Study_Cohort],Table41112196[[#This Row],[Study_Cohort]],Table227278[Genotype],Table41112196[[#This Row],[Genotype]])</f>
        <v>0</v>
      </c>
      <c r="AL18" s="16">
        <f>AVERAGEIFS(Table227278[Lymph Node],Table227278[Study_Cohort],Table41112196[[#This Row],[Study_Cohort]],Table227278[Genotype],Table41112196[[#This Row],[Genotype]])</f>
        <v>4.8439804475022497</v>
      </c>
      <c r="AM18" s="16">
        <f>AVERAGEIFS(Table227278[Necrosis],Table227278[Study_Cohort],Table41112196[[#This Row],[Study_Cohort]],Table227278[Genotype],Table41112196[[#This Row],[Genotype]])</f>
        <v>2.9724621763452901</v>
      </c>
      <c r="AN18" s="16">
        <f>SUM(Table41112196[[#This Row],[Islet]:[Necrosis]])</f>
        <v>99.999999999999957</v>
      </c>
    </row>
    <row r="19" spans="1:40">
      <c r="A19" s="20" t="s">
        <v>120</v>
      </c>
      <c r="B19" s="21" t="s">
        <v>121</v>
      </c>
      <c r="C19" s="21" t="s">
        <v>121</v>
      </c>
      <c r="D19" s="20" t="s">
        <v>27</v>
      </c>
      <c r="E19" s="20" t="s">
        <v>122</v>
      </c>
      <c r="F19" s="20" t="s">
        <v>123</v>
      </c>
      <c r="G19" s="20" t="s">
        <v>124</v>
      </c>
      <c r="H19" s="22" t="s">
        <v>55</v>
      </c>
      <c r="I19" s="10">
        <v>1.21722091533079</v>
      </c>
      <c r="J19" s="10">
        <v>3.9359512942986701</v>
      </c>
      <c r="K19" s="10">
        <v>6.6096947077536798</v>
      </c>
      <c r="L19" s="10">
        <v>1.8089690950469899E-2</v>
      </c>
      <c r="M19" s="10">
        <v>9.3579322417803592</v>
      </c>
      <c r="N19" s="10">
        <v>26.327417147048301</v>
      </c>
      <c r="O19" s="10">
        <v>0.370563961641179</v>
      </c>
      <c r="P19" s="10">
        <v>34.115402290125601</v>
      </c>
      <c r="Q19" s="10">
        <v>0.162802741915299</v>
      </c>
      <c r="R19" s="10">
        <v>0</v>
      </c>
      <c r="S19" s="10">
        <v>3.08123028602675</v>
      </c>
      <c r="T19" s="10">
        <v>14.803694723128899</v>
      </c>
      <c r="U19" s="11" t="s">
        <v>125</v>
      </c>
      <c r="V19" s="12">
        <f>SUM(Table227278[[#This Row],[Islet]:[Necrosis]])</f>
        <v>100</v>
      </c>
      <c r="Y19" s="37" t="s">
        <v>126</v>
      </c>
      <c r="Z19" s="31" t="s">
        <v>119</v>
      </c>
      <c r="AA19" s="15">
        <f>(COUNTIFS(Table227278[Study_Cohort],Table41112196[[#This Row],[Study_Cohort]],Table227278[Genotype],Table41112196[[#This Row],[Genotype]]))</f>
        <v>5</v>
      </c>
      <c r="AB19" s="16">
        <f>AVERAGEIFS(Table227278[Islet],Table227278[Study_Cohort],Table41112196[[#This Row],[Study_Cohort]],Table227278[Genotype],Table41112196[[#This Row],[Genotype]])</f>
        <v>1.0380055335959679</v>
      </c>
      <c r="AC19" s="16">
        <f>AVERAGEIFS(Table227278[Ductal Epithelium],Table227278[Study_Cohort],Table41112196[[#This Row],[Study_Cohort]],Table227278[Genotype],Table41112196[[#This Row],[Genotype]])</f>
        <v>7.0961138757696975</v>
      </c>
      <c r="AD19" s="16">
        <f>AVERAGEIFS(Table227278[Vasculature],Table227278[Study_Cohort],Table41112196[[#This Row],[Study_Cohort]],Table227278[Genotype],Table41112196[[#This Row],[Genotype]])</f>
        <v>2.1581928742259402</v>
      </c>
      <c r="AE19" s="16">
        <f>AVERAGEIFS(Table227278[Adipose],Table227278[Study_Cohort],Table41112196[[#This Row],[Study_Cohort]],Table227278[Genotype],Table41112196[[#This Row],[Genotype]])</f>
        <v>1.9096023853111652</v>
      </c>
      <c r="AF19" s="16">
        <f>AVERAGEIFS(Table227278[Acini],Table227278[Study_Cohort],Table41112196[[#This Row],[Study_Cohort]],Table227278[Genotype],Table41112196[[#This Row],[Genotype]])</f>
        <v>3.8427475091853713</v>
      </c>
      <c r="AG19" s="16">
        <f>AVERAGEIFS(Table227278[Stroma/ECM],Table227278[Study_Cohort],Table41112196[[#This Row],[Study_Cohort]],Table227278[Genotype],Table41112196[[#This Row],[Genotype]])</f>
        <v>31.206868489689761</v>
      </c>
      <c r="AH19" s="16">
        <f>AVERAGEIFS(Table227278[PanIN],Table227278[Study_Cohort],Table41112196[[#This Row],[Study_Cohort]],Table227278[Genotype],Table41112196[[#This Row],[Genotype]])</f>
        <v>1.2741536617375417</v>
      </c>
      <c r="AI19" s="16">
        <f>AVERAGEIFS(Table227278[PDAc],Table227278[Study_Cohort],Table41112196[[#This Row],[Study_Cohort]],Table227278[Genotype],Table41112196[[#This Row],[Genotype]])</f>
        <v>26.687466729599379</v>
      </c>
      <c r="AJ19" s="16">
        <f>AVERAGEIFS(Table227278[Immune Hotspot],Table227278[Study_Cohort],Table41112196[[#This Row],[Study_Cohort]],Table227278[Genotype],Table41112196[[#This Row],[Genotype]])</f>
        <v>0.97756438586130179</v>
      </c>
      <c r="AK19" s="16">
        <f>AVERAGEIFS(Table227278[Duodenum],Table227278[Study_Cohort],Table41112196[[#This Row],[Study_Cohort]],Table227278[Genotype],Table41112196[[#This Row],[Genotype]])</f>
        <v>0</v>
      </c>
      <c r="AL19" s="16">
        <f>AVERAGEIFS(Table227278[Lymph Node],Table227278[Study_Cohort],Table41112196[[#This Row],[Study_Cohort]],Table227278[Genotype],Table41112196[[#This Row],[Genotype]])</f>
        <v>2.1699966404681481</v>
      </c>
      <c r="AM19" s="16">
        <f>AVERAGEIFS(Table227278[Necrosis],Table227278[Study_Cohort],Table41112196[[#This Row],[Study_Cohort]],Table227278[Genotype],Table41112196[[#This Row],[Genotype]])</f>
        <v>21.639287914555741</v>
      </c>
      <c r="AN19" s="16">
        <f>SUM(Table41112196[[#This Row],[Islet]:[Necrosis]])</f>
        <v>100</v>
      </c>
    </row>
    <row r="20" spans="1:40">
      <c r="A20" s="20" t="s">
        <v>127</v>
      </c>
      <c r="B20" s="21" t="s">
        <v>128</v>
      </c>
      <c r="C20" s="21" t="s">
        <v>128</v>
      </c>
      <c r="D20" s="20" t="s">
        <v>27</v>
      </c>
      <c r="E20" s="20" t="s">
        <v>129</v>
      </c>
      <c r="F20" s="20" t="s">
        <v>123</v>
      </c>
      <c r="G20" s="20" t="s">
        <v>124</v>
      </c>
      <c r="H20" s="22" t="s">
        <v>55</v>
      </c>
      <c r="I20" s="10">
        <v>1.1618300321388799</v>
      </c>
      <c r="J20" s="10">
        <v>1.3039428295087701</v>
      </c>
      <c r="K20" s="10">
        <v>1.7876553216303099</v>
      </c>
      <c r="L20" s="10">
        <v>9.4947465310550507E-3</v>
      </c>
      <c r="M20" s="10">
        <v>1.3778630399906899</v>
      </c>
      <c r="N20" s="10">
        <v>25.384839357638501</v>
      </c>
      <c r="O20" s="10">
        <v>4.9194723872303101E-2</v>
      </c>
      <c r="P20" s="10">
        <v>67.269091282964396</v>
      </c>
      <c r="Q20" s="10">
        <v>0.389209922033947</v>
      </c>
      <c r="R20" s="10">
        <v>0</v>
      </c>
      <c r="S20" s="10">
        <v>0</v>
      </c>
      <c r="T20" s="10">
        <v>1.26687874369109</v>
      </c>
      <c r="U20" s="11" t="s">
        <v>130</v>
      </c>
      <c r="V20" s="12">
        <f>SUM(Table227278[[#This Row],[Islet]:[Necrosis]])</f>
        <v>99.999999999999943</v>
      </c>
      <c r="Y20" s="38" t="s">
        <v>131</v>
      </c>
      <c r="Z20" s="31" t="s">
        <v>119</v>
      </c>
      <c r="AA20" s="15">
        <f>(COUNTIFS(Table227278[Study_Cohort],Table41112196[[#This Row],[Study_Cohort]],Table227278[Genotype],Table41112196[[#This Row],[Genotype]]))</f>
        <v>3</v>
      </c>
      <c r="AB20" s="16">
        <f>AVERAGEIFS(Table227278[Islet],Table227278[Study_Cohort],Table41112196[[#This Row],[Study_Cohort]],Table227278[Genotype],Table41112196[[#This Row],[Genotype]])</f>
        <v>0.47179095174193969</v>
      </c>
      <c r="AC20" s="16">
        <f>AVERAGEIFS(Table227278[Ductal Epithelium],Table227278[Study_Cohort],Table41112196[[#This Row],[Study_Cohort]],Table227278[Genotype],Table41112196[[#This Row],[Genotype]])</f>
        <v>16.641418165656628</v>
      </c>
      <c r="AD20" s="16">
        <f>AVERAGEIFS(Table227278[Vasculature],Table227278[Study_Cohort],Table41112196[[#This Row],[Study_Cohort]],Table227278[Genotype],Table41112196[[#This Row],[Genotype]])</f>
        <v>1.4550312408977966</v>
      </c>
      <c r="AE20" s="16">
        <f>AVERAGEIFS(Table227278[Adipose],Table227278[Study_Cohort],Table41112196[[#This Row],[Study_Cohort]],Table227278[Genotype],Table41112196[[#This Row],[Genotype]])</f>
        <v>1.9732662590312755</v>
      </c>
      <c r="AF20" s="16">
        <f>AVERAGEIFS(Table227278[Acini],Table227278[Study_Cohort],Table41112196[[#This Row],[Study_Cohort]],Table227278[Genotype],Table41112196[[#This Row],[Genotype]])</f>
        <v>10.898607090654723</v>
      </c>
      <c r="AG20" s="16">
        <f>AVERAGEIFS(Table227278[Stroma/ECM],Table227278[Study_Cohort],Table41112196[[#This Row],[Study_Cohort]],Table227278[Genotype],Table41112196[[#This Row],[Genotype]])</f>
        <v>39.893447344251733</v>
      </c>
      <c r="AH20" s="16">
        <f>AVERAGEIFS(Table227278[PanIN],Table227278[Study_Cohort],Table41112196[[#This Row],[Study_Cohort]],Table227278[Genotype],Table41112196[[#This Row],[Genotype]])</f>
        <v>2.4142961241887204</v>
      </c>
      <c r="AI20" s="16">
        <f>AVERAGEIFS(Table227278[PDAc],Table227278[Study_Cohort],Table41112196[[#This Row],[Study_Cohort]],Table227278[Genotype],Table41112196[[#This Row],[Genotype]])</f>
        <v>14.211771641917627</v>
      </c>
      <c r="AJ20" s="16">
        <f>AVERAGEIFS(Table227278[Immune Hotspot],Table227278[Study_Cohort],Table41112196[[#This Row],[Study_Cohort]],Table227278[Genotype],Table41112196[[#This Row],[Genotype]])</f>
        <v>0.30651888661275478</v>
      </c>
      <c r="AK20" s="16">
        <f>AVERAGEIFS(Table227278[Duodenum],Table227278[Study_Cohort],Table41112196[[#This Row],[Study_Cohort]],Table227278[Genotype],Table41112196[[#This Row],[Genotype]])</f>
        <v>0</v>
      </c>
      <c r="AL20" s="16">
        <f>AVERAGEIFS(Table227278[Lymph Node],Table227278[Study_Cohort],Table41112196[[#This Row],[Study_Cohort]],Table227278[Genotype],Table41112196[[#This Row],[Genotype]])</f>
        <v>1.8707110668470168</v>
      </c>
      <c r="AM20" s="16">
        <f>AVERAGEIFS(Table227278[Necrosis],Table227278[Study_Cohort],Table41112196[[#This Row],[Study_Cohort]],Table227278[Genotype],Table41112196[[#This Row],[Genotype]])</f>
        <v>9.8631412281998241</v>
      </c>
      <c r="AN20" s="16">
        <f>SUM(Table41112196[[#This Row],[Islet]:[Necrosis]])</f>
        <v>100.00000000000004</v>
      </c>
    </row>
    <row r="21" spans="1:40">
      <c r="A21" s="20" t="s">
        <v>132</v>
      </c>
      <c r="B21" s="21" t="s">
        <v>133</v>
      </c>
      <c r="C21" s="21" t="s">
        <v>133</v>
      </c>
      <c r="D21" s="20" t="s">
        <v>27</v>
      </c>
      <c r="E21" s="20" t="s">
        <v>134</v>
      </c>
      <c r="F21" s="20" t="s">
        <v>123</v>
      </c>
      <c r="G21" s="20" t="s">
        <v>124</v>
      </c>
      <c r="H21" s="22" t="s">
        <v>55</v>
      </c>
      <c r="I21" s="10">
        <v>0.44578172460063797</v>
      </c>
      <c r="J21" s="10">
        <v>2.7340954398075601</v>
      </c>
      <c r="K21" s="10">
        <v>6.4200407428755497</v>
      </c>
      <c r="L21" s="10">
        <v>0.15042609685767899</v>
      </c>
      <c r="M21" s="10">
        <v>10.0710930951217</v>
      </c>
      <c r="N21" s="10">
        <v>28.002411350924501</v>
      </c>
      <c r="O21" s="10">
        <v>0.21343947768520599</v>
      </c>
      <c r="P21" s="10">
        <v>37.133759553560999</v>
      </c>
      <c r="Q21" s="10">
        <v>0.23430069800766401</v>
      </c>
      <c r="R21" s="10">
        <v>0</v>
      </c>
      <c r="S21" s="10">
        <v>0</v>
      </c>
      <c r="T21" s="10">
        <v>14.5946518205586</v>
      </c>
      <c r="U21" s="11" t="s">
        <v>135</v>
      </c>
      <c r="V21" s="12">
        <f>SUM(Table227278[[#This Row],[Islet]:[Necrosis]])</f>
        <v>100.00000000000009</v>
      </c>
      <c r="Y21" s="39"/>
      <c r="Z21" s="31"/>
      <c r="AA21" s="15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>
      <c r="A22" s="20" t="s">
        <v>136</v>
      </c>
      <c r="B22" s="21" t="s">
        <v>137</v>
      </c>
      <c r="C22" s="21" t="s">
        <v>137</v>
      </c>
      <c r="D22" s="20" t="s">
        <v>27</v>
      </c>
      <c r="E22" s="20" t="s">
        <v>138</v>
      </c>
      <c r="F22" s="20" t="s">
        <v>123</v>
      </c>
      <c r="G22" s="20" t="s">
        <v>124</v>
      </c>
      <c r="H22" s="22" t="s">
        <v>55</v>
      </c>
      <c r="I22" s="10">
        <v>0.26245923095525198</v>
      </c>
      <c r="J22" s="10">
        <v>3.61392603409515</v>
      </c>
      <c r="K22" s="10">
        <v>1.15554845956007</v>
      </c>
      <c r="L22" s="10">
        <v>1.1776773478354501</v>
      </c>
      <c r="M22" s="10">
        <v>6.1646938830898703</v>
      </c>
      <c r="N22" s="10">
        <v>14.809273131436701</v>
      </c>
      <c r="O22" s="10">
        <v>3.9032747623534897E-2</v>
      </c>
      <c r="P22" s="10">
        <v>66.533468615295106</v>
      </c>
      <c r="Q22" s="10">
        <v>1.3108413954378599</v>
      </c>
      <c r="R22" s="10">
        <v>0</v>
      </c>
      <c r="S22" s="10">
        <v>0</v>
      </c>
      <c r="T22" s="10">
        <v>4.93307915467095</v>
      </c>
      <c r="U22" s="11" t="s">
        <v>139</v>
      </c>
      <c r="V22" s="12">
        <f>SUM(Table227278[[#This Row],[Islet]:[Necrosis]])</f>
        <v>99.999999999999943</v>
      </c>
      <c r="Y22" s="13" t="s">
        <v>33</v>
      </c>
      <c r="Z22" s="14" t="s">
        <v>30</v>
      </c>
      <c r="AA22" s="15">
        <f>(COUNTIFS(Table227278[Study_Cohort],Table41112196[[#This Row],[Study_Cohort]],Table227278[Genotype],Table41112196[[#This Row],[Genotype]]))</f>
        <v>17</v>
      </c>
      <c r="AB22" s="16">
        <f>AVERAGEIFS(Table227278[Islet],Table227278[Study_Cohort],Table41112196[[#This Row],[Study_Cohort]],Table227278[Genotype],Table41112196[[#This Row],[Genotype]])</f>
        <v>0.46951141087202647</v>
      </c>
      <c r="AC22" s="16">
        <f>AVERAGEIFS(Table227278[Ductal Epithelium],Table227278[Study_Cohort],Table41112196[[#This Row],[Study_Cohort]],Table227278[Genotype],Table41112196[[#This Row],[Genotype]])</f>
        <v>9.7224095077638459</v>
      </c>
      <c r="AD22" s="16">
        <f>AVERAGEIFS(Table227278[Vasculature],Table227278[Study_Cohort],Table41112196[[#This Row],[Study_Cohort]],Table227278[Genotype],Table41112196[[#This Row],[Genotype]])</f>
        <v>2.0159034675689109</v>
      </c>
      <c r="AE22" s="16">
        <f>AVERAGEIFS(Table227278[Adipose],Table227278[Study_Cohort],Table41112196[[#This Row],[Study_Cohort]],Table227278[Genotype],Table41112196[[#This Row],[Genotype]])</f>
        <v>5.4657488412139585</v>
      </c>
      <c r="AF22" s="16">
        <f>AVERAGEIFS(Table227278[Acini],Table227278[Study_Cohort],Table41112196[[#This Row],[Study_Cohort]],Table227278[Genotype],Table41112196[[#This Row],[Genotype]])</f>
        <v>10.212986684715773</v>
      </c>
      <c r="AG22" s="16">
        <f>AVERAGEIFS(Table227278[Stroma/ECM],Table227278[Study_Cohort],Table41112196[[#This Row],[Study_Cohort]],Table227278[Genotype],Table41112196[[#This Row],[Genotype]])</f>
        <v>40.52289047400722</v>
      </c>
      <c r="AH22" s="16">
        <f>AVERAGEIFS(Table227278[PanIN],Table227278[Study_Cohort],Table41112196[[#This Row],[Study_Cohort]],Table227278[Genotype],Table41112196[[#This Row],[Genotype]])</f>
        <v>3.2701256615992169</v>
      </c>
      <c r="AI22" s="16">
        <f>AVERAGEIFS(Table227278[PDAc],Table227278[Study_Cohort],Table41112196[[#This Row],[Study_Cohort]],Table227278[Genotype],Table41112196[[#This Row],[Genotype]])</f>
        <v>15.712359899084166</v>
      </c>
      <c r="AJ22" s="16">
        <f>AVERAGEIFS(Table227278[Immune Hotspot],Table227278[Study_Cohort],Table41112196[[#This Row],[Study_Cohort]],Table227278[Genotype],Table41112196[[#This Row],[Genotype]])</f>
        <v>3.5250940417047523</v>
      </c>
      <c r="AK22" s="16">
        <f>AVERAGEIFS(Table227278[Duodenum],Table227278[Study_Cohort],Table41112196[[#This Row],[Study_Cohort]],Table227278[Genotype],Table41112196[[#This Row],[Genotype]])</f>
        <v>7.7285344453661753E-2</v>
      </c>
      <c r="AL22" s="16">
        <f>AVERAGEIFS(Table227278[Lymph Node],Table227278[Study_Cohort],Table41112196[[#This Row],[Study_Cohort]],Table227278[Genotype],Table41112196[[#This Row],[Genotype]])</f>
        <v>1.0670062219879553</v>
      </c>
      <c r="AM22" s="16">
        <f>AVERAGEIFS(Table227278[Necrosis],Table227278[Study_Cohort],Table41112196[[#This Row],[Study_Cohort]],Table227278[Genotype],Table41112196[[#This Row],[Genotype]])</f>
        <v>7.9386784450285361</v>
      </c>
      <c r="AN22" s="16">
        <f>SUM(Table41112196[[#This Row],[Islet]:[Necrosis]])</f>
        <v>100.00000000000003</v>
      </c>
    </row>
    <row r="23" spans="1:40">
      <c r="A23" s="20" t="s">
        <v>140</v>
      </c>
      <c r="B23" s="21" t="s">
        <v>141</v>
      </c>
      <c r="C23" s="21" t="s">
        <v>141</v>
      </c>
      <c r="D23" s="20" t="s">
        <v>27</v>
      </c>
      <c r="E23" s="20" t="s">
        <v>142</v>
      </c>
      <c r="F23" s="20" t="s">
        <v>123</v>
      </c>
      <c r="G23" s="20" t="s">
        <v>124</v>
      </c>
      <c r="H23" s="22" t="s">
        <v>55</v>
      </c>
      <c r="I23" s="10">
        <v>0.165008773666216</v>
      </c>
      <c r="J23" s="10">
        <v>1.4068760530759801</v>
      </c>
      <c r="K23" s="10">
        <v>2.6915550183274402</v>
      </c>
      <c r="L23" s="10">
        <v>0.262007330111304</v>
      </c>
      <c r="M23" s="10">
        <v>29.981114406301501</v>
      </c>
      <c r="N23" s="10">
        <v>3.1127166341482502</v>
      </c>
      <c r="O23" s="10">
        <v>2.2324038645655402E-2</v>
      </c>
      <c r="P23" s="10">
        <v>42.783118432204503</v>
      </c>
      <c r="Q23" s="10">
        <v>0.87610851339337503</v>
      </c>
      <c r="R23" s="10">
        <v>0</v>
      </c>
      <c r="S23" s="10">
        <v>0</v>
      </c>
      <c r="T23" s="10">
        <v>18.699170800125799</v>
      </c>
      <c r="U23" s="11" t="s">
        <v>143</v>
      </c>
      <c r="V23" s="12">
        <f>SUM(Table227278[[#This Row],[Islet]:[Necrosis]])</f>
        <v>100.00000000000003</v>
      </c>
      <c r="Y23" s="13" t="s">
        <v>33</v>
      </c>
      <c r="Z23" s="19" t="s">
        <v>39</v>
      </c>
      <c r="AA23" s="15">
        <f>(COUNTIFS(Table227278[Study_Cohort],Table41112196[[#This Row],[Study_Cohort]],Table227278[Genotype],Table41112196[[#This Row],[Genotype]]))</f>
        <v>11</v>
      </c>
      <c r="AB23" s="16">
        <f>AVERAGEIFS(Table227278[Islet],Table227278[Study_Cohort],Table41112196[[#This Row],[Study_Cohort]],Table227278[Genotype],Table41112196[[#This Row],[Genotype]])</f>
        <v>0.58555835098016384</v>
      </c>
      <c r="AC23" s="16">
        <f>AVERAGEIFS(Table227278[Ductal Epithelium],Table227278[Study_Cohort],Table41112196[[#This Row],[Study_Cohort]],Table227278[Genotype],Table41112196[[#This Row],[Genotype]])</f>
        <v>10.046830135965926</v>
      </c>
      <c r="AD23" s="16">
        <f>AVERAGEIFS(Table227278[Vasculature],Table227278[Study_Cohort],Table41112196[[#This Row],[Study_Cohort]],Table227278[Genotype],Table41112196[[#This Row],[Genotype]])</f>
        <v>2.3489873780387622</v>
      </c>
      <c r="AE23" s="16">
        <f>AVERAGEIFS(Table227278[Adipose],Table227278[Study_Cohort],Table41112196[[#This Row],[Study_Cohort]],Table227278[Genotype],Table41112196[[#This Row],[Genotype]])</f>
        <v>6.6670498316437659</v>
      </c>
      <c r="AF23" s="16">
        <f>AVERAGEIFS(Table227278[Acini],Table227278[Study_Cohort],Table41112196[[#This Row],[Study_Cohort]],Table227278[Genotype],Table41112196[[#This Row],[Genotype]])</f>
        <v>8.1957907208624174</v>
      </c>
      <c r="AG23" s="16">
        <f>AVERAGEIFS(Table227278[Stroma/ECM],Table227278[Study_Cohort],Table41112196[[#This Row],[Study_Cohort]],Table227278[Genotype],Table41112196[[#This Row],[Genotype]])</f>
        <v>36.265734819759857</v>
      </c>
      <c r="AH23" s="16">
        <f>AVERAGEIFS(Table227278[PanIN],Table227278[Study_Cohort],Table41112196[[#This Row],[Study_Cohort]],Table227278[Genotype],Table41112196[[#This Row],[Genotype]])</f>
        <v>2.6663600760200734</v>
      </c>
      <c r="AI23" s="16">
        <f>AVERAGEIFS(Table227278[PDAc],Table227278[Study_Cohort],Table41112196[[#This Row],[Study_Cohort]],Table227278[Genotype],Table41112196[[#This Row],[Genotype]])</f>
        <v>20.077588868595249</v>
      </c>
      <c r="AJ23" s="16">
        <f>AVERAGEIFS(Table227278[Immune Hotspot],Table227278[Study_Cohort],Table41112196[[#This Row],[Study_Cohort]],Table227278[Genotype],Table41112196[[#This Row],[Genotype]])</f>
        <v>4.0474004433795434</v>
      </c>
      <c r="AK23" s="16">
        <f>AVERAGEIFS(Table227278[Duodenum],Table227278[Study_Cohort],Table41112196[[#This Row],[Study_Cohort]],Table227278[Genotype],Table41112196[[#This Row],[Genotype]])</f>
        <v>0</v>
      </c>
      <c r="AL23" s="16">
        <f>AVERAGEIFS(Table227278[Lymph Node],Table227278[Study_Cohort],Table41112196[[#This Row],[Study_Cohort]],Table227278[Genotype],Table41112196[[#This Row],[Genotype]])</f>
        <v>7.4246656660613697</v>
      </c>
      <c r="AM23" s="16">
        <f>AVERAGEIFS(Table227278[Necrosis],Table227278[Study_Cohort],Table41112196[[#This Row],[Study_Cohort]],Table227278[Genotype],Table41112196[[#This Row],[Genotype]])</f>
        <v>1.6740337086929045</v>
      </c>
      <c r="AN23" s="16">
        <f>SUM(Table41112196[[#This Row],[Islet]:[Necrosis]])</f>
        <v>100.00000000000003</v>
      </c>
    </row>
    <row r="24" spans="1:40">
      <c r="A24" s="20" t="s">
        <v>144</v>
      </c>
      <c r="B24" s="21" t="s">
        <v>145</v>
      </c>
      <c r="C24" s="21" t="s">
        <v>145</v>
      </c>
      <c r="D24" s="20" t="s">
        <v>27</v>
      </c>
      <c r="E24" s="20" t="s">
        <v>146</v>
      </c>
      <c r="F24" s="20" t="s">
        <v>147</v>
      </c>
      <c r="G24" s="20" t="s">
        <v>148</v>
      </c>
      <c r="H24" s="22" t="s">
        <v>55</v>
      </c>
      <c r="I24" s="10">
        <v>7.7485439611490903E-2</v>
      </c>
      <c r="J24" s="10">
        <v>0.123370318445223</v>
      </c>
      <c r="K24" s="10">
        <v>0.27029987083696599</v>
      </c>
      <c r="L24" s="10">
        <v>0.490587336789502</v>
      </c>
      <c r="M24" s="10">
        <v>8.3179219141998804</v>
      </c>
      <c r="N24" s="10">
        <v>4.7519870233762598</v>
      </c>
      <c r="O24" s="10">
        <v>1.05202632980512E-3</v>
      </c>
      <c r="P24" s="10">
        <v>84.415704213300799</v>
      </c>
      <c r="Q24" s="10">
        <v>0.133898190086225</v>
      </c>
      <c r="R24" s="10">
        <v>0</v>
      </c>
      <c r="S24" s="10">
        <v>1.41769366702387</v>
      </c>
      <c r="T24" s="10">
        <v>0</v>
      </c>
      <c r="U24" s="11" t="s">
        <v>149</v>
      </c>
      <c r="V24" s="12">
        <f>SUM(Table227278[[#This Row],[Islet]:[Necrosis]])</f>
        <v>100.00000000000003</v>
      </c>
      <c r="Y24" s="13" t="s">
        <v>33</v>
      </c>
      <c r="Z24" s="14" t="s">
        <v>44</v>
      </c>
      <c r="AA24" s="15">
        <f>(COUNTIFS(Table227278[Study_Cohort],Table41112196[[#This Row],[Study_Cohort]],Table227278[Genotype],Table41112196[[#This Row],[Genotype]]))</f>
        <v>7</v>
      </c>
      <c r="AB24" s="16">
        <f>AVERAGEIFS(Table227278[Islet],Table227278[Study_Cohort],Table41112196[[#This Row],[Study_Cohort]],Table227278[Genotype],Table41112196[[#This Row],[Genotype]])</f>
        <v>0.30029001408292727</v>
      </c>
      <c r="AC24" s="16">
        <f>AVERAGEIFS(Table227278[Ductal Epithelium],Table227278[Study_Cohort],Table41112196[[#This Row],[Study_Cohort]],Table227278[Genotype],Table41112196[[#This Row],[Genotype]])</f>
        <v>5.2956892273330061</v>
      </c>
      <c r="AD24" s="16">
        <f>AVERAGEIFS(Table227278[Vasculature],Table227278[Study_Cohort],Table41112196[[#This Row],[Study_Cohort]],Table227278[Genotype],Table41112196[[#This Row],[Genotype]])</f>
        <v>2.0103926385510129</v>
      </c>
      <c r="AE24" s="16">
        <f>AVERAGEIFS(Table227278[Adipose],Table227278[Study_Cohort],Table41112196[[#This Row],[Study_Cohort]],Table227278[Genotype],Table41112196[[#This Row],[Genotype]])</f>
        <v>4.3736876224591956</v>
      </c>
      <c r="AF24" s="16">
        <f>AVERAGEIFS(Table227278[Acini],Table227278[Study_Cohort],Table41112196[[#This Row],[Study_Cohort]],Table227278[Genotype],Table41112196[[#This Row],[Genotype]])</f>
        <v>38.585929177210836</v>
      </c>
      <c r="AG24" s="16">
        <f>AVERAGEIFS(Table227278[Stroma/ECM],Table227278[Study_Cohort],Table41112196[[#This Row],[Study_Cohort]],Table227278[Genotype],Table41112196[[#This Row],[Genotype]])</f>
        <v>25.715382790193058</v>
      </c>
      <c r="AH24" s="16">
        <f>AVERAGEIFS(Table227278[PanIN],Table227278[Study_Cohort],Table41112196[[#This Row],[Study_Cohort]],Table227278[Genotype],Table41112196[[#This Row],[Genotype]])</f>
        <v>4.6855873015874607</v>
      </c>
      <c r="AI24" s="16">
        <f>AVERAGEIFS(Table227278[PDAc],Table227278[Study_Cohort],Table41112196[[#This Row],[Study_Cohort]],Table227278[Genotype],Table41112196[[#This Row],[Genotype]])</f>
        <v>10.847892138465637</v>
      </c>
      <c r="AJ24" s="16">
        <f>AVERAGEIFS(Table227278[Immune Hotspot],Table227278[Study_Cohort],Table41112196[[#This Row],[Study_Cohort]],Table227278[Genotype],Table41112196[[#This Row],[Genotype]])</f>
        <v>0.89869997121119927</v>
      </c>
      <c r="AK24" s="16">
        <f>AVERAGEIFS(Table227278[Duodenum],Table227278[Study_Cohort],Table41112196[[#This Row],[Study_Cohort]],Table227278[Genotype],Table41112196[[#This Row],[Genotype]])</f>
        <v>0.43670091726157612</v>
      </c>
      <c r="AL24" s="16">
        <f>AVERAGEIFS(Table227278[Lymph Node],Table227278[Study_Cohort],Table41112196[[#This Row],[Study_Cohort]],Table227278[Genotype],Table41112196[[#This Row],[Genotype]])</f>
        <v>4.099685726833953</v>
      </c>
      <c r="AM24" s="16">
        <f>AVERAGEIFS(Table227278[Necrosis],Table227278[Study_Cohort],Table41112196[[#This Row],[Study_Cohort]],Table227278[Genotype],Table41112196[[#This Row],[Genotype]])</f>
        <v>2.7500624748101572</v>
      </c>
      <c r="AN24" s="16">
        <f>SUM(Table41112196[[#This Row],[Islet]:[Necrosis]])</f>
        <v>100.00000000000003</v>
      </c>
    </row>
    <row r="25" spans="1:40">
      <c r="A25" s="20" t="s">
        <v>150</v>
      </c>
      <c r="B25" s="21" t="s">
        <v>151</v>
      </c>
      <c r="C25" s="21" t="s">
        <v>151</v>
      </c>
      <c r="D25" s="20" t="s">
        <v>27</v>
      </c>
      <c r="E25" s="20" t="s">
        <v>152</v>
      </c>
      <c r="F25" s="20" t="s">
        <v>147</v>
      </c>
      <c r="G25" s="20" t="s">
        <v>148</v>
      </c>
      <c r="H25" s="22" t="s">
        <v>55</v>
      </c>
      <c r="I25" s="10">
        <v>0.24889702943331299</v>
      </c>
      <c r="J25" s="10">
        <v>0.24258485035642499</v>
      </c>
      <c r="K25" s="10">
        <v>0.99744394449709495</v>
      </c>
      <c r="L25" s="10">
        <v>0.42666815830768101</v>
      </c>
      <c r="M25" s="10">
        <v>36.121140967778402</v>
      </c>
      <c r="N25" s="10">
        <v>7.2354466601113199</v>
      </c>
      <c r="O25" s="10">
        <v>4.7903762033802699E-3</v>
      </c>
      <c r="P25" s="10">
        <v>54.610050664195299</v>
      </c>
      <c r="Q25" s="10">
        <v>0.11297734911710899</v>
      </c>
      <c r="R25" s="10">
        <v>0</v>
      </c>
      <c r="S25" s="10">
        <v>0</v>
      </c>
      <c r="T25" s="10">
        <v>0</v>
      </c>
      <c r="U25" s="11" t="s">
        <v>153</v>
      </c>
      <c r="V25" s="12">
        <f>SUM(Table227278[[#This Row],[Islet]:[Necrosis]])</f>
        <v>100.00000000000003</v>
      </c>
      <c r="Y25" s="13" t="s">
        <v>33</v>
      </c>
      <c r="Z25" s="14" t="s">
        <v>49</v>
      </c>
      <c r="AA25" s="15">
        <f>(COUNTIFS(Table227278[Study_Cohort],Table41112196[[#This Row],[Study_Cohort]],Table227278[Genotype],Table41112196[[#This Row],[Genotype]]))</f>
        <v>4</v>
      </c>
      <c r="AB25" s="16">
        <f>AVERAGEIFS(Table227278[Islet],Table227278[Study_Cohort],Table41112196[[#This Row],[Study_Cohort]],Table227278[Genotype],Table41112196[[#This Row],[Genotype]])</f>
        <v>0.38587417017762848</v>
      </c>
      <c r="AC25" s="16">
        <f>AVERAGEIFS(Table227278[Ductal Epithelium],Table227278[Study_Cohort],Table41112196[[#This Row],[Study_Cohort]],Table227278[Genotype],Table41112196[[#This Row],[Genotype]])</f>
        <v>0.85482397403781774</v>
      </c>
      <c r="AD25" s="16">
        <f>AVERAGEIFS(Table227278[Vasculature],Table227278[Study_Cohort],Table41112196[[#This Row],[Study_Cohort]],Table227278[Genotype],Table41112196[[#This Row],[Genotype]])</f>
        <v>1.8202659986607868</v>
      </c>
      <c r="AE25" s="16">
        <f>AVERAGEIFS(Table227278[Adipose],Table227278[Study_Cohort],Table41112196[[#This Row],[Study_Cohort]],Table227278[Genotype],Table41112196[[#This Row],[Genotype]])</f>
        <v>1.8556851633801144</v>
      </c>
      <c r="AF25" s="16">
        <f>AVERAGEIFS(Table227278[Acini],Table227278[Study_Cohort],Table41112196[[#This Row],[Study_Cohort]],Table227278[Genotype],Table41112196[[#This Row],[Genotype]])</f>
        <v>48.360102633164978</v>
      </c>
      <c r="AG25" s="16">
        <f>AVERAGEIFS(Table227278[Stroma/ECM],Table227278[Study_Cohort],Table41112196[[#This Row],[Study_Cohort]],Table227278[Genotype],Table41112196[[#This Row],[Genotype]])</f>
        <v>17.549216170577214</v>
      </c>
      <c r="AH25" s="16">
        <f>AVERAGEIFS(Table227278[PanIN],Table227278[Study_Cohort],Table41112196[[#This Row],[Study_Cohort]],Table227278[Genotype],Table41112196[[#This Row],[Genotype]])</f>
        <v>0.25897811200440413</v>
      </c>
      <c r="AI25" s="16">
        <f>AVERAGEIFS(Table227278[PDAc],Table227278[Study_Cohort],Table41112196[[#This Row],[Study_Cohort]],Table227278[Genotype],Table41112196[[#This Row],[Genotype]])</f>
        <v>14.586328533843266</v>
      </c>
      <c r="AJ25" s="16">
        <f>AVERAGEIFS(Table227278[Immune Hotspot],Table227278[Study_Cohort],Table41112196[[#This Row],[Study_Cohort]],Table227278[Genotype],Table41112196[[#This Row],[Genotype]])</f>
        <v>9.9207764317105447</v>
      </c>
      <c r="AK25" s="16">
        <f>AVERAGEIFS(Table227278[Duodenum],Table227278[Study_Cohort],Table41112196[[#This Row],[Study_Cohort]],Table227278[Genotype],Table41112196[[#This Row],[Genotype]])</f>
        <v>1.2209908075301474</v>
      </c>
      <c r="AL25" s="16">
        <f>AVERAGEIFS(Table227278[Lymph Node],Table227278[Study_Cohort],Table41112196[[#This Row],[Study_Cohort]],Table227278[Genotype],Table41112196[[#This Row],[Genotype]])</f>
        <v>3.1869580049130999</v>
      </c>
      <c r="AM25" s="16">
        <f>AVERAGEIFS(Table227278[Necrosis],Table227278[Study_Cohort],Table41112196[[#This Row],[Study_Cohort]],Table227278[Genotype],Table41112196[[#This Row],[Genotype]])</f>
        <v>0</v>
      </c>
      <c r="AN25" s="16">
        <f>SUM(Table41112196[[#This Row],[Islet]:[Necrosis]])</f>
        <v>100</v>
      </c>
    </row>
    <row r="26" spans="1:40">
      <c r="A26" s="7" t="s">
        <v>154</v>
      </c>
      <c r="B26" s="21" t="s">
        <v>155</v>
      </c>
      <c r="C26" s="21" t="s">
        <v>155</v>
      </c>
      <c r="D26" s="7" t="s">
        <v>27</v>
      </c>
      <c r="E26" s="7" t="s">
        <v>156</v>
      </c>
      <c r="F26" s="7" t="s">
        <v>157</v>
      </c>
      <c r="G26" s="7" t="s">
        <v>44</v>
      </c>
      <c r="H26" s="7" t="s">
        <v>33</v>
      </c>
      <c r="I26" s="10">
        <v>0.14710842317322401</v>
      </c>
      <c r="J26" s="10">
        <v>8.0774140243338906E-3</v>
      </c>
      <c r="K26" s="10">
        <v>1.0132269142060499</v>
      </c>
      <c r="L26" s="10">
        <v>3.7847122405459697E-2</v>
      </c>
      <c r="M26" s="10">
        <v>6.3794335213675696E-2</v>
      </c>
      <c r="N26" s="10">
        <v>15.015143510542201</v>
      </c>
      <c r="O26" s="10">
        <v>1.5660455225855598E-2</v>
      </c>
      <c r="P26" s="10">
        <v>64.368462762796298</v>
      </c>
      <c r="Q26" s="10">
        <v>8.0241738741848895E-2</v>
      </c>
      <c r="R26" s="10">
        <v>0</v>
      </c>
      <c r="S26" s="10">
        <v>0</v>
      </c>
      <c r="T26" s="10">
        <v>19.2504373236711</v>
      </c>
      <c r="U26" s="11" t="s">
        <v>158</v>
      </c>
      <c r="V26" s="12">
        <f>SUM(Table227278[[#This Row],[Islet]:[Necrosis]])</f>
        <v>100.00000000000006</v>
      </c>
      <c r="AA26" s="40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</row>
    <row r="27" spans="1:40">
      <c r="A27" s="7" t="s">
        <v>159</v>
      </c>
      <c r="B27" s="21" t="s">
        <v>160</v>
      </c>
      <c r="C27" s="21" t="s">
        <v>160</v>
      </c>
      <c r="D27" s="7" t="s">
        <v>27</v>
      </c>
      <c r="E27" s="7" t="s">
        <v>161</v>
      </c>
      <c r="F27" s="7" t="s">
        <v>157</v>
      </c>
      <c r="G27" s="7" t="s">
        <v>44</v>
      </c>
      <c r="H27" s="7" t="s">
        <v>33</v>
      </c>
      <c r="I27" s="10">
        <v>0.57585533357653995</v>
      </c>
      <c r="J27" s="10">
        <v>15.0497691354484</v>
      </c>
      <c r="K27" s="10">
        <v>4.2614548959269598</v>
      </c>
      <c r="L27" s="10">
        <v>6.2990715924143803</v>
      </c>
      <c r="M27" s="10">
        <v>21.283038419972002</v>
      </c>
      <c r="N27" s="10">
        <v>44.8859916890273</v>
      </c>
      <c r="O27" s="10">
        <v>4.25923047230122</v>
      </c>
      <c r="P27" s="10">
        <v>0.26626738467050498</v>
      </c>
      <c r="Q27" s="10">
        <v>0.67684014229912304</v>
      </c>
      <c r="R27" s="10">
        <v>0</v>
      </c>
      <c r="S27" s="10">
        <v>2.4424809343635299</v>
      </c>
      <c r="T27" s="10">
        <v>0</v>
      </c>
      <c r="U27" s="11" t="s">
        <v>162</v>
      </c>
      <c r="V27" s="12">
        <f>SUM(Table227278[[#This Row],[Islet]:[Necrosis]])</f>
        <v>99.999999999999972</v>
      </c>
      <c r="Y27" s="23" t="s">
        <v>61</v>
      </c>
      <c r="Z27" s="24"/>
      <c r="AA27" s="25">
        <f>SUM(AA28:AA30)</f>
        <v>9</v>
      </c>
      <c r="AB27" s="26">
        <f t="shared" ref="AB27:AM27" si="2">((AB28*$AA$28)+(AB29*$AA$29)+(AB30*$AA$30))/($AA$30+$AA$29+$AA$28)</f>
        <v>0.42421461550154926</v>
      </c>
      <c r="AC27" s="26">
        <f t="shared" si="2"/>
        <v>0.51639017083117611</v>
      </c>
      <c r="AD27" s="26">
        <f t="shared" si="2"/>
        <v>1.6341629664022821</v>
      </c>
      <c r="AE27" s="26">
        <f t="shared" si="2"/>
        <v>3.2235063013838041</v>
      </c>
      <c r="AF27" s="26">
        <f t="shared" si="2"/>
        <v>80.158848440151516</v>
      </c>
      <c r="AG27" s="26">
        <f t="shared" si="2"/>
        <v>8.2338276154640866</v>
      </c>
      <c r="AH27" s="26">
        <f t="shared" si="2"/>
        <v>1.3118520694370778E-2</v>
      </c>
      <c r="AI27" s="26">
        <f t="shared" si="2"/>
        <v>5.1928735281214271E-2</v>
      </c>
      <c r="AJ27" s="26">
        <f t="shared" si="2"/>
        <v>0.51023237745350525</v>
      </c>
      <c r="AK27" s="26">
        <f t="shared" si="2"/>
        <v>1.2058544217718776</v>
      </c>
      <c r="AL27" s="26">
        <f t="shared" si="2"/>
        <v>4.0279158350645892</v>
      </c>
      <c r="AM27" s="26">
        <f t="shared" si="2"/>
        <v>0</v>
      </c>
      <c r="AN27" s="26">
        <f>SUM(Table41112196[[#This Row],[Islet]:[Necrosis]])</f>
        <v>99.999999999999972</v>
      </c>
    </row>
    <row r="28" spans="1:40">
      <c r="A28" s="7" t="s">
        <v>163</v>
      </c>
      <c r="B28" s="21" t="s">
        <v>164</v>
      </c>
      <c r="C28" s="21" t="s">
        <v>164</v>
      </c>
      <c r="D28" s="7" t="s">
        <v>27</v>
      </c>
      <c r="E28" s="7" t="s">
        <v>165</v>
      </c>
      <c r="F28" s="7" t="s">
        <v>157</v>
      </c>
      <c r="G28" s="7" t="s">
        <v>44</v>
      </c>
      <c r="H28" s="7" t="s">
        <v>33</v>
      </c>
      <c r="I28" s="10">
        <v>0.21303695997719799</v>
      </c>
      <c r="J28" s="10">
        <v>3.2726540273410998</v>
      </c>
      <c r="K28" s="10">
        <v>2.1647578784669599</v>
      </c>
      <c r="L28" s="10">
        <v>4.2655051610469101</v>
      </c>
      <c r="M28" s="10">
        <v>53.460959965999301</v>
      </c>
      <c r="N28" s="10">
        <v>28.314129123678502</v>
      </c>
      <c r="O28" s="10">
        <v>4.98703071407179</v>
      </c>
      <c r="P28" s="10">
        <v>0.607158754145109</v>
      </c>
      <c r="Q28" s="10">
        <v>0.60751793749152805</v>
      </c>
      <c r="R28" s="10">
        <v>2.1072494777816</v>
      </c>
      <c r="S28" s="10">
        <v>0</v>
      </c>
      <c r="T28" s="10">
        <v>0</v>
      </c>
      <c r="U28" s="11" t="s">
        <v>166</v>
      </c>
      <c r="V28" s="12">
        <f>SUM(Table227278[[#This Row],[Islet]:[Necrosis]])</f>
        <v>99.999999999999986</v>
      </c>
      <c r="Y28" s="13" t="s">
        <v>33</v>
      </c>
      <c r="Z28" s="27" t="s">
        <v>66</v>
      </c>
      <c r="AA28" s="15">
        <f>(COUNTIFS(Table227278[Study_Cohort],Table41112196[[#This Row],[Study_Cohort]],Table227278[Genotype],Table41112196[[#This Row],[Genotype]]))</f>
        <v>3</v>
      </c>
      <c r="AB28" s="16">
        <f>AVERAGEIFS(Table227278[Islet],Table227278[Study_Cohort],Table41112196[[#This Row],[Study_Cohort]],Table227278[Genotype],Table41112196[[#This Row],[Genotype]])</f>
        <v>0.45129569254971669</v>
      </c>
      <c r="AC28" s="16">
        <f>AVERAGEIFS(Table227278[Ductal Epithelium],Table227278[Study_Cohort],Table41112196[[#This Row],[Study_Cohort]],Table227278[Genotype],Table41112196[[#This Row],[Genotype]])</f>
        <v>0.28508637813306636</v>
      </c>
      <c r="AD28" s="16">
        <f>AVERAGEIFS(Table227278[Vasculature],Table227278[Study_Cohort],Table41112196[[#This Row],[Study_Cohort]],Table227278[Genotype],Table41112196[[#This Row],[Genotype]])</f>
        <v>1.3116579935837864</v>
      </c>
      <c r="AE28" s="16">
        <f>AVERAGEIFS(Table227278[Adipose],Table227278[Study_Cohort],Table41112196[[#This Row],[Study_Cohort]],Table227278[Genotype],Table41112196[[#This Row],[Genotype]])</f>
        <v>1.1510941179235523</v>
      </c>
      <c r="AF28" s="16">
        <f>AVERAGEIFS(Table227278[Acini],Table227278[Study_Cohort],Table41112196[[#This Row],[Study_Cohort]],Table227278[Genotype],Table41112196[[#This Row],[Genotype]])</f>
        <v>89.459386307284376</v>
      </c>
      <c r="AG28" s="16">
        <f>AVERAGEIFS(Table227278[Stroma/ECM],Table227278[Study_Cohort],Table41112196[[#This Row],[Study_Cohort]],Table227278[Genotype],Table41112196[[#This Row],[Genotype]])</f>
        <v>6.3049893114903339</v>
      </c>
      <c r="AH28" s="16">
        <f>AVERAGEIFS(Table227278[PanIN],Table227278[Study_Cohort],Table41112196[[#This Row],[Study_Cohort]],Table227278[Genotype],Table41112196[[#This Row],[Genotype]])</f>
        <v>1.2214349010718073E-2</v>
      </c>
      <c r="AI28" s="16">
        <f>AVERAGEIFS(Table227278[PDAc],Table227278[Study_Cohort],Table41112196[[#This Row],[Study_Cohort]],Table227278[Genotype],Table41112196[[#This Row],[Genotype]])</f>
        <v>3.0049209322544068E-2</v>
      </c>
      <c r="AJ28" s="16">
        <f>AVERAGEIFS(Table227278[Immune Hotspot],Table227278[Study_Cohort],Table41112196[[#This Row],[Study_Cohort]],Table227278[Genotype],Table41112196[[#This Row],[Genotype]])</f>
        <v>0.9942266407019057</v>
      </c>
      <c r="AK28" s="16">
        <f>AVERAGEIFS(Table227278[Duodenum],Table227278[Study_Cohort],Table41112196[[#This Row],[Study_Cohort]],Table227278[Genotype],Table41112196[[#This Row],[Genotype]])</f>
        <v>0</v>
      </c>
      <c r="AL28" s="16">
        <f>AVERAGEIFS(Table227278[Lymph Node],Table227278[Study_Cohort],Table41112196[[#This Row],[Study_Cohort]],Table227278[Genotype],Table41112196[[#This Row],[Genotype]])</f>
        <v>0</v>
      </c>
      <c r="AM28" s="16">
        <f>AVERAGEIFS(Table227278[Necrosis],Table227278[Study_Cohort],Table41112196[[#This Row],[Study_Cohort]],Table227278[Genotype],Table41112196[[#This Row],[Genotype]])</f>
        <v>0</v>
      </c>
      <c r="AN28" s="16">
        <f>SUM(Table41112196[[#This Row],[Islet]:[Necrosis]])</f>
        <v>100</v>
      </c>
    </row>
    <row r="29" spans="1:40">
      <c r="A29" s="11" t="s">
        <v>167</v>
      </c>
      <c r="B29" s="41" t="s">
        <v>168</v>
      </c>
      <c r="C29" s="41" t="s">
        <v>168</v>
      </c>
      <c r="D29" s="11" t="s">
        <v>27</v>
      </c>
      <c r="E29" s="11" t="s">
        <v>169</v>
      </c>
      <c r="F29" s="11" t="s">
        <v>170</v>
      </c>
      <c r="G29" s="7" t="s">
        <v>44</v>
      </c>
      <c r="H29" s="7" t="s">
        <v>33</v>
      </c>
      <c r="I29" s="10">
        <v>0.34606843975366097</v>
      </c>
      <c r="J29" s="10">
        <v>6.4861736912351198</v>
      </c>
      <c r="K29" s="10">
        <v>2.1805746718121202</v>
      </c>
      <c r="L29" s="10">
        <v>1.6470029356737901</v>
      </c>
      <c r="M29" s="10">
        <v>17.228279916230701</v>
      </c>
      <c r="N29" s="10">
        <v>32.961964961896498</v>
      </c>
      <c r="O29" s="10">
        <v>12.023159661018299</v>
      </c>
      <c r="P29" s="10">
        <v>4.7375129504721301</v>
      </c>
      <c r="Q29" s="10">
        <v>1.50830622347551</v>
      </c>
      <c r="R29" s="10">
        <v>0</v>
      </c>
      <c r="S29" s="10">
        <v>20.880956548432199</v>
      </c>
      <c r="T29" s="10">
        <v>0</v>
      </c>
      <c r="U29" s="11" t="s">
        <v>171</v>
      </c>
      <c r="V29" s="12">
        <f>SUM(Table227278[[#This Row],[Islet]:[Necrosis]])</f>
        <v>100.00000000000003</v>
      </c>
      <c r="Y29" s="13" t="s">
        <v>33</v>
      </c>
      <c r="Z29" s="31" t="s">
        <v>73</v>
      </c>
      <c r="AA29" s="15">
        <f>(COUNTIFS(Table227278[Study_Cohort],Table41112196[[#This Row],[Study_Cohort]],Table227278[Genotype],Table41112196[[#This Row],[Genotype]]))</f>
        <v>3</v>
      </c>
      <c r="AB29" s="16">
        <f>AVERAGEIFS(Table227278[Islet],Table227278[Study_Cohort],Table41112196[[#This Row],[Study_Cohort]],Table227278[Genotype],Table41112196[[#This Row],[Genotype]])</f>
        <v>0.24492150784909236</v>
      </c>
      <c r="AC29" s="16">
        <f>AVERAGEIFS(Table227278[Ductal Epithelium],Table227278[Study_Cohort],Table41112196[[#This Row],[Study_Cohort]],Table227278[Genotype],Table41112196[[#This Row],[Genotype]])</f>
        <v>0.34879817594795498</v>
      </c>
      <c r="AD29" s="16">
        <f>AVERAGEIFS(Table227278[Vasculature],Table227278[Study_Cohort],Table41112196[[#This Row],[Study_Cohort]],Table227278[Genotype],Table41112196[[#This Row],[Genotype]])</f>
        <v>1.6921277589905532</v>
      </c>
      <c r="AE29" s="16">
        <f>AVERAGEIFS(Table227278[Adipose],Table227278[Study_Cohort],Table41112196[[#This Row],[Study_Cohort]],Table227278[Genotype],Table41112196[[#This Row],[Genotype]])</f>
        <v>4.8801504362236097</v>
      </c>
      <c r="AF29" s="16">
        <f>AVERAGEIFS(Table227278[Acini],Table227278[Study_Cohort],Table41112196[[#This Row],[Study_Cohort]],Table227278[Genotype],Table41112196[[#This Row],[Genotype]])</f>
        <v>85.154603759329163</v>
      </c>
      <c r="AG29" s="16">
        <f>AVERAGEIFS(Table227278[Stroma/ECM],Table227278[Study_Cohort],Table41112196[[#This Row],[Study_Cohort]],Table227278[Genotype],Table41112196[[#This Row],[Genotype]])</f>
        <v>7.0583536348796541</v>
      </c>
      <c r="AH29" s="16">
        <f>AVERAGEIFS(Table227278[PanIN],Table227278[Study_Cohort],Table41112196[[#This Row],[Study_Cohort]],Table227278[Genotype],Table41112196[[#This Row],[Genotype]])</f>
        <v>1.3375998655884489E-3</v>
      </c>
      <c r="AI29" s="16">
        <f>AVERAGEIFS(Table227278[PDAc],Table227278[Study_Cohort],Table41112196[[#This Row],[Study_Cohort]],Table227278[Genotype],Table41112196[[#This Row],[Genotype]])</f>
        <v>9.9280946441191231E-2</v>
      </c>
      <c r="AJ29" s="16">
        <f>AVERAGEIFS(Table227278[Immune Hotspot],Table227278[Study_Cohort],Table41112196[[#This Row],[Study_Cohort]],Table227278[Genotype],Table41112196[[#This Row],[Genotype]])</f>
        <v>0.27166113041066003</v>
      </c>
      <c r="AK29" s="16">
        <f>AVERAGEIFS(Table227278[Duodenum],Table227278[Study_Cohort],Table41112196[[#This Row],[Study_Cohort]],Table227278[Genotype],Table41112196[[#This Row],[Genotype]])</f>
        <v>0.24876505006250002</v>
      </c>
      <c r="AL29" s="16">
        <f>AVERAGEIFS(Table227278[Lymph Node],Table227278[Study_Cohort],Table41112196[[#This Row],[Study_Cohort]],Table227278[Genotype],Table41112196[[#This Row],[Genotype]])</f>
        <v>0</v>
      </c>
      <c r="AM29" s="16">
        <f>AVERAGEIFS(Table227278[Necrosis],Table227278[Study_Cohort],Table41112196[[#This Row],[Study_Cohort]],Table227278[Genotype],Table41112196[[#This Row],[Genotype]])</f>
        <v>0</v>
      </c>
      <c r="AN29" s="16">
        <f>SUM(Table41112196[[#This Row],[Islet]:[Necrosis]])</f>
        <v>99.999999999999986</v>
      </c>
    </row>
    <row r="30" spans="1:40">
      <c r="A30" s="7" t="s">
        <v>172</v>
      </c>
      <c r="B30" s="21" t="s">
        <v>173</v>
      </c>
      <c r="C30" s="21" t="s">
        <v>173</v>
      </c>
      <c r="D30" s="7" t="s">
        <v>27</v>
      </c>
      <c r="E30" s="7" t="s">
        <v>174</v>
      </c>
      <c r="F30" s="7" t="s">
        <v>157</v>
      </c>
      <c r="G30" s="7" t="s">
        <v>44</v>
      </c>
      <c r="H30" s="7" t="s">
        <v>33</v>
      </c>
      <c r="I30" s="10">
        <v>0.117332313167981</v>
      </c>
      <c r="J30" s="10">
        <v>11.0233458890153</v>
      </c>
      <c r="K30" s="10">
        <v>1.3345773296283101</v>
      </c>
      <c r="L30" s="10">
        <v>8.3672899158699501</v>
      </c>
      <c r="M30" s="10">
        <v>9.3970980286983394</v>
      </c>
      <c r="N30" s="10">
        <v>45.240411049706097</v>
      </c>
      <c r="O30" s="10">
        <v>11.4137515612348</v>
      </c>
      <c r="P30" s="10">
        <v>5.8469052964407497</v>
      </c>
      <c r="Q30" s="10">
        <v>0.935269068147209</v>
      </c>
      <c r="R30" s="10">
        <v>0.94965694304943304</v>
      </c>
      <c r="S30" s="10">
        <v>5.3743626050419397</v>
      </c>
      <c r="T30" s="10">
        <v>0</v>
      </c>
      <c r="U30" s="11" t="s">
        <v>175</v>
      </c>
      <c r="V30" s="12">
        <f>SUM(Table227278[[#This Row],[Islet]:[Necrosis]])</f>
        <v>100.00000000000011</v>
      </c>
      <c r="Y30" s="13" t="s">
        <v>33</v>
      </c>
      <c r="Z30" s="32" t="s">
        <v>78</v>
      </c>
      <c r="AA30" s="15">
        <f>(COUNTIFS(Table227278[Study_Cohort],Table41112196[[#This Row],[Study_Cohort]],Table227278[Genotype],Table41112196[[#This Row],[Genotype]]))</f>
        <v>3</v>
      </c>
      <c r="AB30" s="16">
        <f>AVERAGEIFS(Table227278[Islet],Table227278[Study_Cohort],Table41112196[[#This Row],[Study_Cohort]],Table227278[Genotype],Table41112196[[#This Row],[Genotype]])</f>
        <v>0.57642664610583871</v>
      </c>
      <c r="AC30" s="16">
        <f>AVERAGEIFS(Table227278[Ductal Epithelium],Table227278[Study_Cohort],Table41112196[[#This Row],[Study_Cohort]],Table227278[Genotype],Table41112196[[#This Row],[Genotype]])</f>
        <v>0.91528595841250704</v>
      </c>
      <c r="AD30" s="16">
        <f>AVERAGEIFS(Table227278[Vasculature],Table227278[Study_Cohort],Table41112196[[#This Row],[Study_Cohort]],Table227278[Genotype],Table41112196[[#This Row],[Genotype]])</f>
        <v>1.8987031466325066</v>
      </c>
      <c r="AE30" s="16">
        <f>AVERAGEIFS(Table227278[Adipose],Table227278[Study_Cohort],Table41112196[[#This Row],[Study_Cohort]],Table227278[Genotype],Table41112196[[#This Row],[Genotype]])</f>
        <v>3.6392743500042495</v>
      </c>
      <c r="AF30" s="16">
        <f>AVERAGEIFS(Table227278[Acini],Table227278[Study_Cohort],Table41112196[[#This Row],[Study_Cohort]],Table227278[Genotype],Table41112196[[#This Row],[Genotype]])</f>
        <v>65.862555253841023</v>
      </c>
      <c r="AG30" s="16">
        <f>AVERAGEIFS(Table227278[Stroma/ECM],Table227278[Study_Cohort],Table41112196[[#This Row],[Study_Cohort]],Table227278[Genotype],Table41112196[[#This Row],[Genotype]])</f>
        <v>11.338139900022277</v>
      </c>
      <c r="AH30" s="16">
        <f>AVERAGEIFS(Table227278[PanIN],Table227278[Study_Cohort],Table41112196[[#This Row],[Study_Cohort]],Table227278[Genotype],Table41112196[[#This Row],[Genotype]])</f>
        <v>2.5803613206805812E-2</v>
      </c>
      <c r="AI30" s="16">
        <f>AVERAGEIFS(Table227278[PDAc],Table227278[Study_Cohort],Table41112196[[#This Row],[Study_Cohort]],Table227278[Genotype],Table41112196[[#This Row],[Genotype]])</f>
        <v>2.6456050079907506E-2</v>
      </c>
      <c r="AJ30" s="16">
        <f>AVERAGEIFS(Table227278[Immune Hotspot],Table227278[Study_Cohort],Table41112196[[#This Row],[Study_Cohort]],Table227278[Genotype],Table41112196[[#This Row],[Genotype]])</f>
        <v>0.26480936124795001</v>
      </c>
      <c r="AK30" s="16">
        <f>AVERAGEIFS(Table227278[Duodenum],Table227278[Study_Cohort],Table41112196[[#This Row],[Study_Cohort]],Table227278[Genotype],Table41112196[[#This Row],[Genotype]])</f>
        <v>3.3687982152531331</v>
      </c>
      <c r="AL30" s="16">
        <f>AVERAGEIFS(Table227278[Lymph Node],Table227278[Study_Cohort],Table41112196[[#This Row],[Study_Cohort]],Table227278[Genotype],Table41112196[[#This Row],[Genotype]])</f>
        <v>12.083747505193768</v>
      </c>
      <c r="AM30" s="16">
        <f>AVERAGEIFS(Table227278[Necrosis],Table227278[Study_Cohort],Table41112196[[#This Row],[Study_Cohort]],Table227278[Genotype],Table41112196[[#This Row],[Genotype]])</f>
        <v>0</v>
      </c>
      <c r="AN30" s="16">
        <f>SUM(Table41112196[[#This Row],[Islet]:[Necrosis]])</f>
        <v>99.999999999999972</v>
      </c>
    </row>
    <row r="31" spans="1:40">
      <c r="A31" s="7" t="s">
        <v>176</v>
      </c>
      <c r="B31" s="42" t="s">
        <v>177</v>
      </c>
      <c r="C31" s="42" t="s">
        <v>177</v>
      </c>
      <c r="D31" s="7" t="s">
        <v>27</v>
      </c>
      <c r="E31" s="7" t="s">
        <v>178</v>
      </c>
      <c r="F31" s="7" t="s">
        <v>157</v>
      </c>
      <c r="G31" s="7" t="s">
        <v>44</v>
      </c>
      <c r="H31" s="7" t="s">
        <v>33</v>
      </c>
      <c r="I31" s="10">
        <v>0.310200137004294</v>
      </c>
      <c r="J31" s="10">
        <v>0.34567566181345499</v>
      </c>
      <c r="K31" s="10">
        <v>1.88470904438424</v>
      </c>
      <c r="L31" s="10">
        <v>2.8877982169850598</v>
      </c>
      <c r="M31" s="10">
        <v>86.857656874528402</v>
      </c>
      <c r="N31" s="10">
        <v>5.76301504120981</v>
      </c>
      <c r="O31" s="10">
        <v>1.07304201469158E-2</v>
      </c>
      <c r="P31" s="10">
        <v>9.7369363909594303E-2</v>
      </c>
      <c r="Q31" s="10">
        <v>1.8428452400181901</v>
      </c>
      <c r="R31" s="10">
        <v>0</v>
      </c>
      <c r="S31" s="10">
        <v>0</v>
      </c>
      <c r="T31" s="10">
        <v>0</v>
      </c>
      <c r="U31" s="11" t="s">
        <v>179</v>
      </c>
      <c r="V31" s="12">
        <f>SUM(Table227278[[#This Row],[Islet]:[Necrosis]])</f>
        <v>99.999999999999957</v>
      </c>
      <c r="Y31" s="13"/>
      <c r="Z31" s="31"/>
      <c r="AA31" s="15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>
      <c r="A32" s="7" t="s">
        <v>180</v>
      </c>
      <c r="B32" s="21" t="s">
        <v>181</v>
      </c>
      <c r="C32" s="21" t="s">
        <v>181</v>
      </c>
      <c r="D32" s="7" t="s">
        <v>27</v>
      </c>
      <c r="E32" s="7" t="s">
        <v>182</v>
      </c>
      <c r="F32" s="7" t="s">
        <v>157</v>
      </c>
      <c r="G32" s="7" t="s">
        <v>44</v>
      </c>
      <c r="H32" s="7" t="s">
        <v>33</v>
      </c>
      <c r="I32" s="10">
        <v>0.39242849192759299</v>
      </c>
      <c r="J32" s="10">
        <v>0.88412877245333799</v>
      </c>
      <c r="K32" s="10">
        <v>1.23344773543245</v>
      </c>
      <c r="L32" s="10">
        <v>7.1112984128188197</v>
      </c>
      <c r="M32" s="10">
        <v>81.810676699833394</v>
      </c>
      <c r="N32" s="10">
        <v>7.82702415529101</v>
      </c>
      <c r="O32" s="10">
        <v>8.9547827113353004E-2</v>
      </c>
      <c r="P32" s="10">
        <v>1.15684568250712E-2</v>
      </c>
      <c r="Q32" s="10">
        <v>0.639879448304986</v>
      </c>
      <c r="R32" s="10">
        <v>0</v>
      </c>
      <c r="S32" s="10">
        <v>0</v>
      </c>
      <c r="T32" s="10">
        <v>0</v>
      </c>
      <c r="U32" s="11" t="s">
        <v>183</v>
      </c>
      <c r="V32" s="12">
        <f>SUM(Table227278[[#This Row],[Islet]:[Necrosis]])</f>
        <v>100.00000000000001</v>
      </c>
      <c r="Y32" s="33" t="s">
        <v>87</v>
      </c>
      <c r="Z32" s="14" t="s">
        <v>30</v>
      </c>
      <c r="AA32" s="15">
        <f>(COUNTIFS(Table227278[Study_Cohort],Table41112196[[#This Row],[Study_Cohort]],Table227278[Genotype],Table41112196[[#This Row],[Genotype]]))</f>
        <v>1</v>
      </c>
      <c r="AB32" s="16">
        <f>AVERAGEIFS(Table227278[Islet],Table227278[Study_Cohort],Table41112196[[#This Row],[Study_Cohort]],Table227278[Genotype],Table41112196[[#This Row],[Genotype]])</f>
        <v>0.55904972176925405</v>
      </c>
      <c r="AC32" s="16">
        <f>AVERAGEIFS(Table227278[Ductal Epithelium],Table227278[Study_Cohort],Table41112196[[#This Row],[Study_Cohort]],Table227278[Genotype],Table41112196[[#This Row],[Genotype]])</f>
        <v>10.6387760798722</v>
      </c>
      <c r="AD32" s="16">
        <f>AVERAGEIFS(Table227278[Vasculature],Table227278[Study_Cohort],Table41112196[[#This Row],[Study_Cohort]],Table227278[Genotype],Table41112196[[#This Row],[Genotype]])</f>
        <v>1.6274576314349301</v>
      </c>
      <c r="AE32" s="16">
        <f>AVERAGEIFS(Table227278[Adipose],Table227278[Study_Cohort],Table41112196[[#This Row],[Study_Cohort]],Table227278[Genotype],Table41112196[[#This Row],[Genotype]])</f>
        <v>0.344657473401076</v>
      </c>
      <c r="AF32" s="16">
        <f>AVERAGEIFS(Table227278[Acini],Table227278[Study_Cohort],Table41112196[[#This Row],[Study_Cohort]],Table227278[Genotype],Table41112196[[#This Row],[Genotype]])</f>
        <v>37.0028810673737</v>
      </c>
      <c r="AG32" s="16">
        <f>AVERAGEIFS(Table227278[Stroma/ECM],Table227278[Study_Cohort],Table41112196[[#This Row],[Study_Cohort]],Table227278[Genotype],Table41112196[[#This Row],[Genotype]])</f>
        <v>41.3297182030987</v>
      </c>
      <c r="AH32" s="16">
        <f>AVERAGEIFS(Table227278[PanIN],Table227278[Study_Cohort],Table41112196[[#This Row],[Study_Cohort]],Table227278[Genotype],Table41112196[[#This Row],[Genotype]])</f>
        <v>3.1509985752026601</v>
      </c>
      <c r="AI32" s="16">
        <f>AVERAGEIFS(Table227278[PDAc],Table227278[Study_Cohort],Table41112196[[#This Row],[Study_Cohort]],Table227278[Genotype],Table41112196[[#This Row],[Genotype]])</f>
        <v>3.7241755763180802</v>
      </c>
      <c r="AJ32" s="16">
        <f>AVERAGEIFS(Table227278[Immune Hotspot],Table227278[Study_Cohort],Table41112196[[#This Row],[Study_Cohort]],Table227278[Genotype],Table41112196[[#This Row],[Genotype]])</f>
        <v>0.58858433491407702</v>
      </c>
      <c r="AK32" s="16">
        <f>AVERAGEIFS(Table227278[Duodenum],Table227278[Study_Cohort],Table41112196[[#This Row],[Study_Cohort]],Table227278[Genotype],Table41112196[[#This Row],[Genotype]])</f>
        <v>0</v>
      </c>
      <c r="AL32" s="16">
        <f>AVERAGEIFS(Table227278[Lymph Node],Table227278[Study_Cohort],Table41112196[[#This Row],[Study_Cohort]],Table227278[Genotype],Table41112196[[#This Row],[Genotype]])</f>
        <v>1.0337013366153101</v>
      </c>
      <c r="AM32" s="16">
        <f>AVERAGEIFS(Table227278[Necrosis],Table227278[Study_Cohort],Table41112196[[#This Row],[Study_Cohort]],Table227278[Genotype],Table41112196[[#This Row],[Genotype]])</f>
        <v>0</v>
      </c>
      <c r="AN32" s="16">
        <f>SUM(Table41112196[[#This Row],[Islet]:[Necrosis]])</f>
        <v>99.999999999999972</v>
      </c>
    </row>
    <row r="33" spans="1:40">
      <c r="A33" s="7" t="s">
        <v>184</v>
      </c>
      <c r="B33" s="21" t="s">
        <v>185</v>
      </c>
      <c r="C33" s="21" t="s">
        <v>185</v>
      </c>
      <c r="D33" s="7" t="s">
        <v>27</v>
      </c>
      <c r="E33" s="7" t="s">
        <v>186</v>
      </c>
      <c r="F33" s="7" t="s">
        <v>187</v>
      </c>
      <c r="G33" s="20" t="s">
        <v>39</v>
      </c>
      <c r="H33" s="7" t="s">
        <v>33</v>
      </c>
      <c r="I33" s="10">
        <v>0.32347958499599699</v>
      </c>
      <c r="J33" s="10">
        <v>10.6749602070786</v>
      </c>
      <c r="K33" s="10">
        <v>3.8169239971267102</v>
      </c>
      <c r="L33" s="10">
        <v>9.4265999986975206</v>
      </c>
      <c r="M33" s="10">
        <v>15.1673325203055</v>
      </c>
      <c r="N33" s="10">
        <v>49.452354573655697</v>
      </c>
      <c r="O33" s="10">
        <v>1.1606078352222999</v>
      </c>
      <c r="P33" s="10">
        <v>4.9608654132115797</v>
      </c>
      <c r="Q33" s="10">
        <v>1.19237876761435</v>
      </c>
      <c r="R33" s="10">
        <v>0</v>
      </c>
      <c r="S33" s="10">
        <v>3.8244971020917999</v>
      </c>
      <c r="T33" s="10">
        <v>0</v>
      </c>
      <c r="U33" s="11" t="s">
        <v>188</v>
      </c>
      <c r="V33" s="12">
        <f>SUM(Table227278[[#This Row],[Islet]:[Necrosis]])</f>
        <v>100.00000000000003</v>
      </c>
      <c r="Y33" s="34" t="s">
        <v>37</v>
      </c>
      <c r="Z33" s="14" t="s">
        <v>30</v>
      </c>
      <c r="AA33" s="15">
        <f>(COUNTIFS(Table227278[Study_Cohort],Table41112196[[#This Row],[Study_Cohort]],Table227278[Genotype],Table41112196[[#This Row],[Genotype]]))</f>
        <v>3</v>
      </c>
      <c r="AB33" s="16">
        <f>AVERAGEIFS(Table227278[Islet],Table227278[Study_Cohort],Table41112196[[#This Row],[Study_Cohort]],Table227278[Genotype],Table41112196[[#This Row],[Genotype]])</f>
        <v>0.51660212117002879</v>
      </c>
      <c r="AC33" s="16">
        <f>AVERAGEIFS(Table227278[Ductal Epithelium],Table227278[Study_Cohort],Table41112196[[#This Row],[Study_Cohort]],Table227278[Genotype],Table41112196[[#This Row],[Genotype]])</f>
        <v>5.1076481303219028</v>
      </c>
      <c r="AD33" s="16">
        <f>AVERAGEIFS(Table227278[Vasculature],Table227278[Study_Cohort],Table41112196[[#This Row],[Study_Cohort]],Table227278[Genotype],Table41112196[[#This Row],[Genotype]])</f>
        <v>1.7064099253954199</v>
      </c>
      <c r="AE33" s="16">
        <f>AVERAGEIFS(Table227278[Adipose],Table227278[Study_Cohort],Table41112196[[#This Row],[Study_Cohort]],Table227278[Genotype],Table41112196[[#This Row],[Genotype]])</f>
        <v>8.1487616247931367</v>
      </c>
      <c r="AF33" s="16">
        <f>AVERAGEIFS(Table227278[Acini],Table227278[Study_Cohort],Table41112196[[#This Row],[Study_Cohort]],Table227278[Genotype],Table41112196[[#This Row],[Genotype]])</f>
        <v>49.120848041555099</v>
      </c>
      <c r="AG33" s="16">
        <f>AVERAGEIFS(Table227278[Stroma/ECM],Table227278[Study_Cohort],Table41112196[[#This Row],[Study_Cohort]],Table227278[Genotype],Table41112196[[#This Row],[Genotype]])</f>
        <v>30.300816423265999</v>
      </c>
      <c r="AH33" s="16">
        <f>AVERAGEIFS(Table227278[PanIN],Table227278[Study_Cohort],Table41112196[[#This Row],[Study_Cohort]],Table227278[Genotype],Table41112196[[#This Row],[Genotype]])</f>
        <v>3.2826032353076005</v>
      </c>
      <c r="AI33" s="16">
        <f>AVERAGEIFS(Table227278[PDAc],Table227278[Study_Cohort],Table41112196[[#This Row],[Study_Cohort]],Table227278[Genotype],Table41112196[[#This Row],[Genotype]])</f>
        <v>0.11805519124075607</v>
      </c>
      <c r="AJ33" s="16">
        <f>AVERAGEIFS(Table227278[Immune Hotspot],Table227278[Study_Cohort],Table41112196[[#This Row],[Study_Cohort]],Table227278[Genotype],Table41112196[[#This Row],[Genotype]])</f>
        <v>0.26998425083480765</v>
      </c>
      <c r="AK33" s="16">
        <f>AVERAGEIFS(Table227278[Duodenum],Table227278[Study_Cohort],Table41112196[[#This Row],[Study_Cohort]],Table227278[Genotype],Table41112196[[#This Row],[Genotype]])</f>
        <v>1.204282451047088</v>
      </c>
      <c r="AL33" s="16">
        <f>AVERAGEIFS(Table227278[Lymph Node],Table227278[Study_Cohort],Table41112196[[#This Row],[Study_Cohort]],Table227278[Genotype],Table41112196[[#This Row],[Genotype]])</f>
        <v>0.22398860506815566</v>
      </c>
      <c r="AM33" s="16">
        <f>AVERAGEIFS(Table227278[Necrosis],Table227278[Study_Cohort],Table41112196[[#This Row],[Study_Cohort]],Table227278[Genotype],Table41112196[[#This Row],[Genotype]])</f>
        <v>0</v>
      </c>
      <c r="AN33" s="16">
        <f>SUM(Table41112196[[#This Row],[Islet]:[Necrosis]])</f>
        <v>100.00000000000001</v>
      </c>
    </row>
    <row r="34" spans="1:40">
      <c r="A34" s="11" t="s">
        <v>189</v>
      </c>
      <c r="B34" s="41" t="s">
        <v>190</v>
      </c>
      <c r="C34" s="41" t="s">
        <v>190</v>
      </c>
      <c r="D34" s="11" t="s">
        <v>27</v>
      </c>
      <c r="E34" s="11" t="s">
        <v>191</v>
      </c>
      <c r="F34" s="11" t="s">
        <v>192</v>
      </c>
      <c r="G34" s="20" t="s">
        <v>39</v>
      </c>
      <c r="H34" s="7" t="s">
        <v>33</v>
      </c>
      <c r="I34" s="10">
        <v>0.35337578897789002</v>
      </c>
      <c r="J34" s="10">
        <v>1.9869132530321301</v>
      </c>
      <c r="K34" s="10">
        <v>2.48535360918321</v>
      </c>
      <c r="L34" s="10">
        <v>3.56582924343512</v>
      </c>
      <c r="M34" s="10">
        <v>18.1470335755468</v>
      </c>
      <c r="N34" s="10">
        <v>37.9994990946903</v>
      </c>
      <c r="O34" s="10">
        <v>2.2904939604162302</v>
      </c>
      <c r="P34" s="10">
        <v>4.3614226655371899</v>
      </c>
      <c r="Q34" s="10">
        <v>11.619155009813801</v>
      </c>
      <c r="R34" s="10">
        <v>0</v>
      </c>
      <c r="S34" s="10">
        <v>17.190923799367301</v>
      </c>
      <c r="T34" s="10">
        <v>0</v>
      </c>
      <c r="U34" s="11" t="s">
        <v>193</v>
      </c>
      <c r="V34" s="12">
        <f>SUM(Table227278[[#This Row],[Islet]:[Necrosis]])</f>
        <v>99.999999999999957</v>
      </c>
      <c r="Y34" s="13"/>
      <c r="Z34" s="35"/>
      <c r="AA34" s="3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>
      <c r="A35" s="7" t="s">
        <v>194</v>
      </c>
      <c r="B35" s="21" t="s">
        <v>195</v>
      </c>
      <c r="C35" s="21" t="s">
        <v>196</v>
      </c>
      <c r="D35" s="7" t="s">
        <v>27</v>
      </c>
      <c r="E35" s="7" t="s">
        <v>197</v>
      </c>
      <c r="F35" s="7" t="s">
        <v>187</v>
      </c>
      <c r="G35" s="20" t="s">
        <v>39</v>
      </c>
      <c r="H35" s="7" t="s">
        <v>33</v>
      </c>
      <c r="I35" s="10">
        <v>0.18060075385353699</v>
      </c>
      <c r="J35" s="10">
        <v>11.252978707862701</v>
      </c>
      <c r="K35" s="10">
        <v>2.2423457786400101</v>
      </c>
      <c r="L35" s="10">
        <v>16.182146689768</v>
      </c>
      <c r="M35" s="10">
        <v>1.06362529958327</v>
      </c>
      <c r="N35" s="10">
        <v>31.8071612847904</v>
      </c>
      <c r="O35" s="10">
        <v>0.216384635306896</v>
      </c>
      <c r="P35" s="10">
        <v>29.191474831767302</v>
      </c>
      <c r="Q35" s="10">
        <v>0.716506626342579</v>
      </c>
      <c r="R35" s="10">
        <v>0</v>
      </c>
      <c r="S35" s="10">
        <v>7.1467753920853498</v>
      </c>
      <c r="T35" s="10">
        <v>0</v>
      </c>
      <c r="U35" s="11" t="s">
        <v>198</v>
      </c>
      <c r="V35" s="12">
        <f>SUM(Table227278[[#This Row],[Islet]:[Necrosis]])</f>
        <v>100.00000000000003</v>
      </c>
      <c r="Y35" s="43" t="s">
        <v>55</v>
      </c>
      <c r="Z35" s="19" t="s">
        <v>54</v>
      </c>
      <c r="AA35" s="15">
        <f>(COUNTIFS(Table227278[Study_Cohort],Table41112196[[#This Row],[Study_Cohort]],Table227278[Genotype],Table41112196[[#This Row],[Genotype]]))</f>
        <v>3</v>
      </c>
      <c r="AB35" s="16">
        <f>AVERAGEIFS(Table227278[Islet],Table227278[Study_Cohort],Table41112196[[#This Row],[Study_Cohort]],Table227278[Genotype],Table41112196[[#This Row],[Genotype]])</f>
        <v>1.1597675196843367</v>
      </c>
      <c r="AC35" s="16">
        <f>AVERAGEIFS(Table227278[Ductal Epithelium],Table227278[Study_Cohort],Table41112196[[#This Row],[Study_Cohort]],Table227278[Genotype],Table41112196[[#This Row],[Genotype]])</f>
        <v>1.9769117938475735</v>
      </c>
      <c r="AD35" s="16">
        <f>AVERAGEIFS(Table227278[Vasculature],Table227278[Study_Cohort],Table41112196[[#This Row],[Study_Cohort]],Table227278[Genotype],Table41112196[[#This Row],[Genotype]])</f>
        <v>2.8936561802847831</v>
      </c>
      <c r="AE35" s="16">
        <f>AVERAGEIFS(Table227278[Adipose],Table227278[Study_Cohort],Table41112196[[#This Row],[Study_Cohort]],Table227278[Genotype],Table41112196[[#This Row],[Genotype]])</f>
        <v>1.7925648206788614</v>
      </c>
      <c r="AF35" s="16">
        <f>AVERAGEIFS(Table227278[Acini],Table227278[Study_Cohort],Table41112196[[#This Row],[Study_Cohort]],Table227278[Genotype],Table41112196[[#This Row],[Genotype]])</f>
        <v>17.091819405914826</v>
      </c>
      <c r="AG35" s="16">
        <f>AVERAGEIFS(Table227278[Stroma/ECM],Table227278[Study_Cohort],Table41112196[[#This Row],[Study_Cohort]],Table227278[Genotype],Table41112196[[#This Row],[Genotype]])</f>
        <v>9.1037336584075934</v>
      </c>
      <c r="AH35" s="16">
        <f>AVERAGEIFS(Table227278[PanIN],Table227278[Study_Cohort],Table41112196[[#This Row],[Study_Cohort]],Table227278[Genotype],Table41112196[[#This Row],[Genotype]])</f>
        <v>3.7182470154931334E-2</v>
      </c>
      <c r="AI35" s="16">
        <f>AVERAGEIFS(Table227278[PDAc],Table227278[Study_Cohort],Table41112196[[#This Row],[Study_Cohort]],Table227278[Genotype],Table41112196[[#This Row],[Genotype]])</f>
        <v>48.8867502402559</v>
      </c>
      <c r="AJ35" s="16">
        <f>AVERAGEIFS(Table227278[Immune Hotspot],Table227278[Study_Cohort],Table41112196[[#This Row],[Study_Cohort]],Table227278[Genotype],Table41112196[[#This Row],[Genotype]])</f>
        <v>0.55437838799671024</v>
      </c>
      <c r="AK35" s="16">
        <f>AVERAGEIFS(Table227278[Duodenum],Table227278[Study_Cohort],Table41112196[[#This Row],[Study_Cohort]],Table227278[Genotype],Table41112196[[#This Row],[Genotype]])</f>
        <v>0</v>
      </c>
      <c r="AL35" s="16">
        <f>AVERAGEIFS(Table227278[Lymph Node],Table227278[Study_Cohort],Table41112196[[#This Row],[Study_Cohort]],Table227278[Genotype],Table41112196[[#This Row],[Genotype]])</f>
        <v>2.7123448955308729</v>
      </c>
      <c r="AM35" s="16">
        <f>AVERAGEIFS(Table227278[Necrosis],Table227278[Study_Cohort],Table41112196[[#This Row],[Study_Cohort]],Table227278[Genotype],Table41112196[[#This Row],[Genotype]])</f>
        <v>13.790890627243565</v>
      </c>
      <c r="AN35" s="16">
        <f>SUM(Table41112196[[#This Row],[Islet]:[Necrosis]])</f>
        <v>99.999999999999957</v>
      </c>
    </row>
    <row r="36" spans="1:40">
      <c r="A36" s="7" t="s">
        <v>199</v>
      </c>
      <c r="B36" s="21" t="s">
        <v>200</v>
      </c>
      <c r="C36" s="21" t="s">
        <v>200</v>
      </c>
      <c r="D36" s="7" t="s">
        <v>27</v>
      </c>
      <c r="E36" s="7" t="s">
        <v>201</v>
      </c>
      <c r="F36" s="7" t="s">
        <v>187</v>
      </c>
      <c r="G36" s="20" t="s">
        <v>39</v>
      </c>
      <c r="H36" s="7" t="s">
        <v>33</v>
      </c>
      <c r="I36" s="10">
        <v>0.90784214621412496</v>
      </c>
      <c r="J36" s="10">
        <v>0.47340224828027799</v>
      </c>
      <c r="K36" s="10">
        <v>2.2903126501408</v>
      </c>
      <c r="L36" s="10">
        <v>1.03909730058686</v>
      </c>
      <c r="M36" s="10">
        <v>45.373452572391798</v>
      </c>
      <c r="N36" s="10">
        <v>5.7818003030149301</v>
      </c>
      <c r="O36" s="10">
        <v>4.71127661670614E-2</v>
      </c>
      <c r="P36" s="10">
        <v>5.4600133287870597E-2</v>
      </c>
      <c r="Q36" s="10">
        <v>0.89326233651401798</v>
      </c>
      <c r="R36" s="10">
        <v>0</v>
      </c>
      <c r="S36" s="10">
        <v>43.1391175434022</v>
      </c>
      <c r="T36" s="10">
        <v>0</v>
      </c>
      <c r="U36" s="11" t="s">
        <v>202</v>
      </c>
      <c r="V36" s="12">
        <f>SUM(Table227278[[#This Row],[Islet]:[Necrosis]])</f>
        <v>99.999999999999943</v>
      </c>
      <c r="Y36" s="43" t="s">
        <v>55</v>
      </c>
      <c r="Z36" s="19" t="s">
        <v>71</v>
      </c>
      <c r="AA36" s="15">
        <f>(COUNTIFS(Table227278[Study_Cohort],Table41112196[[#This Row],[Study_Cohort]],Table227278[Genotype],Table41112196[[#This Row],[Genotype]]))</f>
        <v>4</v>
      </c>
      <c r="AB36" s="16">
        <f>AVERAGEIFS(Table227278[Islet],Table227278[Study_Cohort],Table41112196[[#This Row],[Study_Cohort]],Table227278[Genotype],Table41112196[[#This Row],[Genotype]])</f>
        <v>2.1119206520874522E-2</v>
      </c>
      <c r="AC36" s="16">
        <f>AVERAGEIFS(Table227278[Ductal Epithelium],Table227278[Study_Cohort],Table41112196[[#This Row],[Study_Cohort]],Table227278[Genotype],Table41112196[[#This Row],[Genotype]])</f>
        <v>0.3293569570904803</v>
      </c>
      <c r="AD36" s="16">
        <f>AVERAGEIFS(Table227278[Vasculature],Table227278[Study_Cohort],Table41112196[[#This Row],[Study_Cohort]],Table227278[Genotype],Table41112196[[#This Row],[Genotype]])</f>
        <v>5.4599847942601167</v>
      </c>
      <c r="AE36" s="16">
        <f>AVERAGEIFS(Table227278[Adipose],Table227278[Study_Cohort],Table41112196[[#This Row],[Study_Cohort]],Table227278[Genotype],Table41112196[[#This Row],[Genotype]])</f>
        <v>4.4624883506665949E-2</v>
      </c>
      <c r="AF36" s="16">
        <f>AVERAGEIFS(Table227278[Acini],Table227278[Study_Cohort],Table41112196[[#This Row],[Study_Cohort]],Table227278[Genotype],Table41112196[[#This Row],[Genotype]])</f>
        <v>0</v>
      </c>
      <c r="AG36" s="16">
        <f>AVERAGEIFS(Table227278[Stroma/ECM],Table227278[Study_Cohort],Table41112196[[#This Row],[Study_Cohort]],Table227278[Genotype],Table41112196[[#This Row],[Genotype]])</f>
        <v>2.025203040385938</v>
      </c>
      <c r="AH36" s="16">
        <f>AVERAGEIFS(Table227278[PanIN],Table227278[Study_Cohort],Table41112196[[#This Row],[Study_Cohort]],Table227278[Genotype],Table41112196[[#This Row],[Genotype]])</f>
        <v>0.15674194273290432</v>
      </c>
      <c r="AI36" s="16">
        <f>AVERAGEIFS(Table227278[PDAc],Table227278[Study_Cohort],Table41112196[[#This Row],[Study_Cohort]],Table227278[Genotype],Table41112196[[#This Row],[Genotype]])</f>
        <v>57.06390612182657</v>
      </c>
      <c r="AJ36" s="16">
        <f>AVERAGEIFS(Table227278[Immune Hotspot],Table227278[Study_Cohort],Table41112196[[#This Row],[Study_Cohort]],Table227278[Genotype],Table41112196[[#This Row],[Genotype]])</f>
        <v>1.4835693376473906</v>
      </c>
      <c r="AK36" s="16">
        <f>AVERAGEIFS(Table227278[Duodenum],Table227278[Study_Cohort],Table41112196[[#This Row],[Study_Cohort]],Table227278[Genotype],Table41112196[[#This Row],[Genotype]])</f>
        <v>0</v>
      </c>
      <c r="AL36" s="16">
        <f>AVERAGEIFS(Table227278[Lymph Node],Table227278[Study_Cohort],Table41112196[[#This Row],[Study_Cohort]],Table227278[Genotype],Table41112196[[#This Row],[Genotype]])</f>
        <v>0</v>
      </c>
      <c r="AM36" s="16">
        <f>AVERAGEIFS(Table227278[Necrosis],Table227278[Study_Cohort],Table41112196[[#This Row],[Study_Cohort]],Table227278[Genotype],Table41112196[[#This Row],[Genotype]])</f>
        <v>33.415493716029076</v>
      </c>
      <c r="AN36" s="16">
        <f>SUM(Table41112196[[#This Row],[Islet]:[Necrosis]])</f>
        <v>100.00000000000001</v>
      </c>
    </row>
    <row r="37" spans="1:40">
      <c r="A37" s="7" t="s">
        <v>203</v>
      </c>
      <c r="B37" s="21" t="s">
        <v>204</v>
      </c>
      <c r="C37" s="21" t="s">
        <v>204</v>
      </c>
      <c r="D37" s="7" t="s">
        <v>27</v>
      </c>
      <c r="E37" s="7" t="s">
        <v>205</v>
      </c>
      <c r="F37" s="7" t="s">
        <v>187</v>
      </c>
      <c r="G37" s="20" t="s">
        <v>39</v>
      </c>
      <c r="H37" s="7" t="s">
        <v>33</v>
      </c>
      <c r="I37" s="10">
        <v>0.10935580752997601</v>
      </c>
      <c r="J37" s="10">
        <v>15.579122356487099</v>
      </c>
      <c r="K37" s="10">
        <v>1.9160183135507101</v>
      </c>
      <c r="L37" s="10">
        <v>0.13756373044985401</v>
      </c>
      <c r="M37" s="10">
        <v>2.9843851241832202</v>
      </c>
      <c r="N37" s="10">
        <v>54.6012463980164</v>
      </c>
      <c r="O37" s="10">
        <v>11.4683672998804</v>
      </c>
      <c r="P37" s="10">
        <v>9.1577749793661098</v>
      </c>
      <c r="Q37" s="10">
        <v>1.75365916448518</v>
      </c>
      <c r="R37" s="10">
        <v>0</v>
      </c>
      <c r="S37" s="10">
        <v>0</v>
      </c>
      <c r="T37" s="10">
        <v>2.2925068260510399</v>
      </c>
      <c r="U37" s="11" t="s">
        <v>206</v>
      </c>
      <c r="V37" s="12">
        <f>SUM(Table227278[[#This Row],[Islet]:[Necrosis]])</f>
        <v>99.999999999999986</v>
      </c>
      <c r="Y37" s="43" t="s">
        <v>55</v>
      </c>
      <c r="Z37" s="19" t="s">
        <v>92</v>
      </c>
      <c r="AA37" s="15">
        <f>(COUNTIFS(Table227278[Study_Cohort],Table41112196[[#This Row],[Study_Cohort]],Table227278[Genotype],Table41112196[[#This Row],[Genotype]]))</f>
        <v>5</v>
      </c>
      <c r="AB37" s="16">
        <f>AVERAGEIFS(Table227278[Islet],Table227278[Study_Cohort],Table41112196[[#This Row],[Study_Cohort]],Table227278[Genotype],Table41112196[[#This Row],[Genotype]])</f>
        <v>0.3926778549612277</v>
      </c>
      <c r="AC37" s="16">
        <f>AVERAGEIFS(Table227278[Ductal Epithelium],Table227278[Study_Cohort],Table41112196[[#This Row],[Study_Cohort]],Table227278[Genotype],Table41112196[[#This Row],[Genotype]])</f>
        <v>0.97110276413494356</v>
      </c>
      <c r="AD37" s="16">
        <f>AVERAGEIFS(Table227278[Vasculature],Table227278[Study_Cohort],Table41112196[[#This Row],[Study_Cohort]],Table227278[Genotype],Table41112196[[#This Row],[Genotype]])</f>
        <v>1.3159844109868351</v>
      </c>
      <c r="AE37" s="16">
        <f>AVERAGEIFS(Table227278[Adipose],Table227278[Study_Cohort],Table41112196[[#This Row],[Study_Cohort]],Table227278[Genotype],Table41112196[[#This Row],[Genotype]])</f>
        <v>0.20147014809573643</v>
      </c>
      <c r="AF37" s="16">
        <f>AVERAGEIFS(Table227278[Acini],Table227278[Study_Cohort],Table41112196[[#This Row],[Study_Cohort]],Table227278[Genotype],Table41112196[[#This Row],[Genotype]])</f>
        <v>8.4156235220474365</v>
      </c>
      <c r="AG37" s="16">
        <f>AVERAGEIFS(Table227278[Stroma/ECM],Table227278[Study_Cohort],Table41112196[[#This Row],[Study_Cohort]],Table227278[Genotype],Table41112196[[#This Row],[Genotype]])</f>
        <v>18.155914885265581</v>
      </c>
      <c r="AH37" s="16">
        <f>AVERAGEIFS(Table227278[PanIN],Table227278[Study_Cohort],Table41112196[[#This Row],[Study_Cohort]],Table227278[Genotype],Table41112196[[#This Row],[Genotype]])</f>
        <v>3.092021265813168E-2</v>
      </c>
      <c r="AI37" s="16">
        <f>AVERAGEIFS(Table227278[PDAc],Table227278[Study_Cohort],Table41112196[[#This Row],[Study_Cohort]],Table227278[Genotype],Table41112196[[#This Row],[Genotype]])</f>
        <v>69.528072658937702</v>
      </c>
      <c r="AJ37" s="16">
        <f>AVERAGEIFS(Table227278[Immune Hotspot],Table227278[Study_Cohort],Table41112196[[#This Row],[Study_Cohort]],Table227278[Genotype],Table41112196[[#This Row],[Genotype]])</f>
        <v>0.8985717424585149</v>
      </c>
      <c r="AK37" s="16">
        <f>AVERAGEIFS(Table227278[Duodenum],Table227278[Study_Cohort],Table41112196[[#This Row],[Study_Cohort]],Table227278[Genotype],Table41112196[[#This Row],[Genotype]])</f>
        <v>8.9661800453862392E-2</v>
      </c>
      <c r="AL37" s="16">
        <f>AVERAGEIFS(Table227278[Lymph Node],Table227278[Study_Cohort],Table41112196[[#This Row],[Study_Cohort]],Table227278[Genotype],Table41112196[[#This Row],[Genotype]])</f>
        <v>0</v>
      </c>
      <c r="AM37" s="16">
        <f>AVERAGEIFS(Table227278[Necrosis],Table227278[Study_Cohort],Table41112196[[#This Row],[Study_Cohort]],Table227278[Genotype],Table41112196[[#This Row],[Genotype]])</f>
        <v>0</v>
      </c>
      <c r="AN37" s="16">
        <f>SUM(Table41112196[[#This Row],[Islet]:[Necrosis]])</f>
        <v>99.999999999999972</v>
      </c>
    </row>
    <row r="38" spans="1:40">
      <c r="A38" s="7" t="s">
        <v>207</v>
      </c>
      <c r="B38" s="21" t="s">
        <v>208</v>
      </c>
      <c r="C38" s="21" t="s">
        <v>208</v>
      </c>
      <c r="D38" s="7" t="s">
        <v>27</v>
      </c>
      <c r="E38" s="7" t="s">
        <v>209</v>
      </c>
      <c r="F38" s="7" t="s">
        <v>187</v>
      </c>
      <c r="G38" s="20" t="s">
        <v>39</v>
      </c>
      <c r="H38" s="7" t="s">
        <v>33</v>
      </c>
      <c r="I38" s="10">
        <v>0.49623635545143502</v>
      </c>
      <c r="J38" s="10">
        <v>8.6170528045058798</v>
      </c>
      <c r="K38" s="10">
        <v>4.5799042248427799</v>
      </c>
      <c r="L38" s="10">
        <v>0.142734068368709</v>
      </c>
      <c r="M38" s="10">
        <v>5.2170649748112403</v>
      </c>
      <c r="N38" s="10">
        <v>51.685464974104001</v>
      </c>
      <c r="O38" s="10">
        <v>1.86997189502349</v>
      </c>
      <c r="P38" s="10">
        <v>21.539695474035099</v>
      </c>
      <c r="Q38" s="10">
        <v>1.1652983725085699</v>
      </c>
      <c r="R38" s="10">
        <v>0</v>
      </c>
      <c r="S38" s="10">
        <v>0</v>
      </c>
      <c r="T38" s="10">
        <v>4.6865768563488102</v>
      </c>
      <c r="U38" s="11" t="s">
        <v>210</v>
      </c>
      <c r="V38" s="12">
        <f>SUM(Table227278[[#This Row],[Islet]:[Necrosis]])</f>
        <v>100.00000000000001</v>
      </c>
      <c r="Y38" s="43" t="s">
        <v>55</v>
      </c>
      <c r="Z38" s="19" t="s">
        <v>116</v>
      </c>
      <c r="AA38" s="15">
        <f>(COUNTIFS(Table227278[Study_Cohort],Table41112196[[#This Row],[Study_Cohort]],Table227278[Genotype],Table41112196[[#This Row],[Genotype]]))</f>
        <v>1</v>
      </c>
      <c r="AB38" s="16">
        <f>AVERAGEIFS(Table227278[Islet],Table227278[Study_Cohort],Table41112196[[#This Row],[Study_Cohort]],Table227278[Genotype],Table41112196[[#This Row],[Genotype]])</f>
        <v>4.6124306557764498E-2</v>
      </c>
      <c r="AC38" s="16">
        <f>AVERAGEIFS(Table227278[Ductal Epithelium],Table227278[Study_Cohort],Table41112196[[#This Row],[Study_Cohort]],Table227278[Genotype],Table41112196[[#This Row],[Genotype]])</f>
        <v>2.1227033807246599E-2</v>
      </c>
      <c r="AD38" s="16">
        <f>AVERAGEIFS(Table227278[Vasculature],Table227278[Study_Cohort],Table41112196[[#This Row],[Study_Cohort]],Table227278[Genotype],Table41112196[[#This Row],[Genotype]])</f>
        <v>1.5048180592901701</v>
      </c>
      <c r="AE38" s="16">
        <f>AVERAGEIFS(Table227278[Adipose],Table227278[Study_Cohort],Table41112196[[#This Row],[Study_Cohort]],Table227278[Genotype],Table41112196[[#This Row],[Genotype]])</f>
        <v>1.5048947086436001E-2</v>
      </c>
      <c r="AF38" s="16">
        <f>AVERAGEIFS(Table227278[Acini],Table227278[Study_Cohort],Table41112196[[#This Row],[Study_Cohort]],Table227278[Genotype],Table41112196[[#This Row],[Genotype]])</f>
        <v>9.7859643454593206E-2</v>
      </c>
      <c r="AG38" s="16">
        <f>AVERAGEIFS(Table227278[Stroma/ECM],Table227278[Study_Cohort],Table41112196[[#This Row],[Study_Cohort]],Table227278[Genotype],Table41112196[[#This Row],[Genotype]])</f>
        <v>11.8023870722099</v>
      </c>
      <c r="AH38" s="16">
        <f>AVERAGEIFS(Table227278[PanIN],Table227278[Study_Cohort],Table41112196[[#This Row],[Study_Cohort]],Table227278[Genotype],Table41112196[[#This Row],[Genotype]])</f>
        <v>1.7000156840948799E-2</v>
      </c>
      <c r="AI38" s="16">
        <f>AVERAGEIFS(Table227278[PDAc],Table227278[Study_Cohort],Table41112196[[#This Row],[Study_Cohort]],Table227278[Genotype],Table41112196[[#This Row],[Genotype]])</f>
        <v>86.040272225164699</v>
      </c>
      <c r="AJ38" s="16">
        <f>AVERAGEIFS(Table227278[Immune Hotspot],Table227278[Study_Cohort],Table41112196[[#This Row],[Study_Cohort]],Table227278[Genotype],Table41112196[[#This Row],[Genotype]])</f>
        <v>0.455262555588269</v>
      </c>
      <c r="AK38" s="16">
        <f>AVERAGEIFS(Table227278[Duodenum],Table227278[Study_Cohort],Table41112196[[#This Row],[Study_Cohort]],Table227278[Genotype],Table41112196[[#This Row],[Genotype]])</f>
        <v>0</v>
      </c>
      <c r="AL38" s="16">
        <f>AVERAGEIFS(Table227278[Lymph Node],Table227278[Study_Cohort],Table41112196[[#This Row],[Study_Cohort]],Table227278[Genotype],Table41112196[[#This Row],[Genotype]])</f>
        <v>0</v>
      </c>
      <c r="AM38" s="16">
        <f>AVERAGEIFS(Table227278[Necrosis],Table227278[Study_Cohort],Table41112196[[#This Row],[Study_Cohort]],Table227278[Genotype],Table41112196[[#This Row],[Genotype]])</f>
        <v>0</v>
      </c>
      <c r="AN38" s="16">
        <f>SUM(Table41112196[[#This Row],[Islet]:[Necrosis]])</f>
        <v>100.00000000000003</v>
      </c>
    </row>
    <row r="39" spans="1:40">
      <c r="A39" s="7" t="s">
        <v>211</v>
      </c>
      <c r="B39" s="21" t="s">
        <v>212</v>
      </c>
      <c r="C39" s="21" t="s">
        <v>212</v>
      </c>
      <c r="D39" s="7" t="s">
        <v>27</v>
      </c>
      <c r="E39" s="7" t="s">
        <v>213</v>
      </c>
      <c r="F39" s="7" t="s">
        <v>187</v>
      </c>
      <c r="G39" s="20" t="s">
        <v>39</v>
      </c>
      <c r="H39" s="7" t="s">
        <v>33</v>
      </c>
      <c r="I39" s="10">
        <v>0.337414658988345</v>
      </c>
      <c r="J39" s="10">
        <v>22.957555692206501</v>
      </c>
      <c r="K39" s="10">
        <v>0.92343770836746397</v>
      </c>
      <c r="L39" s="10">
        <v>13.6412464198926</v>
      </c>
      <c r="M39" s="10">
        <v>0.964086588082957</v>
      </c>
      <c r="N39" s="10">
        <v>52.037544428060698</v>
      </c>
      <c r="O39" s="10">
        <v>2.8980578154152798</v>
      </c>
      <c r="P39" s="10">
        <v>5.2802081970267603E-2</v>
      </c>
      <c r="Q39" s="10">
        <v>0.37303812227855598</v>
      </c>
      <c r="R39" s="10">
        <v>0</v>
      </c>
      <c r="S39" s="10">
        <v>5.8148164847374</v>
      </c>
      <c r="T39" s="10">
        <v>0</v>
      </c>
      <c r="U39" s="11" t="s">
        <v>214</v>
      </c>
      <c r="V39" s="12">
        <f>SUM(Table227278[[#This Row],[Islet]:[Necrosis]])</f>
        <v>100.00000000000009</v>
      </c>
      <c r="Y39" s="43" t="s">
        <v>55</v>
      </c>
      <c r="Z39" s="19" t="s">
        <v>124</v>
      </c>
      <c r="AA39" s="15">
        <f>(COUNTIFS(Table227278[Study_Cohort],Table41112196[[#This Row],[Study_Cohort]],Table227278[Genotype],Table41112196[[#This Row],[Genotype]]))</f>
        <v>5</v>
      </c>
      <c r="AB39" s="16">
        <f>AVERAGEIFS(Table227278[Islet],Table227278[Study_Cohort],Table41112196[[#This Row],[Study_Cohort]],Table227278[Genotype],Table41112196[[#This Row],[Genotype]])</f>
        <v>0.65046013533835523</v>
      </c>
      <c r="AC39" s="16">
        <f>AVERAGEIFS(Table227278[Ductal Epithelium],Table227278[Study_Cohort],Table41112196[[#This Row],[Study_Cohort]],Table227278[Genotype],Table41112196[[#This Row],[Genotype]])</f>
        <v>2.5989583301572261</v>
      </c>
      <c r="AD39" s="16">
        <f>AVERAGEIFS(Table227278[Vasculature],Table227278[Study_Cohort],Table41112196[[#This Row],[Study_Cohort]],Table227278[Genotype],Table41112196[[#This Row],[Genotype]])</f>
        <v>3.73289885002941</v>
      </c>
      <c r="AE39" s="16">
        <f>AVERAGEIFS(Table227278[Adipose],Table227278[Study_Cohort],Table41112196[[#This Row],[Study_Cohort]],Table227278[Genotype],Table41112196[[#This Row],[Genotype]])</f>
        <v>0.32353904245719162</v>
      </c>
      <c r="AF39" s="16">
        <f>AVERAGEIFS(Table227278[Acini],Table227278[Study_Cohort],Table41112196[[#This Row],[Study_Cohort]],Table227278[Genotype],Table41112196[[#This Row],[Genotype]])</f>
        <v>11.390539333256825</v>
      </c>
      <c r="AG39" s="16">
        <f>AVERAGEIFS(Table227278[Stroma/ECM],Table227278[Study_Cohort],Table41112196[[#This Row],[Study_Cohort]],Table227278[Genotype],Table41112196[[#This Row],[Genotype]])</f>
        <v>19.527331524239251</v>
      </c>
      <c r="AH39" s="16">
        <f>AVERAGEIFS(Table227278[PanIN],Table227278[Study_Cohort],Table41112196[[#This Row],[Study_Cohort]],Table227278[Genotype],Table41112196[[#This Row],[Genotype]])</f>
        <v>0.13891098989357567</v>
      </c>
      <c r="AI39" s="16">
        <f>AVERAGEIFS(Table227278[PDAc],Table227278[Study_Cohort],Table41112196[[#This Row],[Study_Cohort]],Table227278[Genotype],Table41112196[[#This Row],[Genotype]])</f>
        <v>49.566968034830118</v>
      </c>
      <c r="AJ39" s="16">
        <f>AVERAGEIFS(Table227278[Immune Hotspot],Table227278[Study_Cohort],Table41112196[[#This Row],[Study_Cohort]],Table227278[Genotype],Table41112196[[#This Row],[Genotype]])</f>
        <v>0.59465265415762902</v>
      </c>
      <c r="AK39" s="16">
        <f>AVERAGEIFS(Table227278[Duodenum],Table227278[Study_Cohort],Table41112196[[#This Row],[Study_Cohort]],Table227278[Genotype],Table41112196[[#This Row],[Genotype]])</f>
        <v>0</v>
      </c>
      <c r="AL39" s="16">
        <f>AVERAGEIFS(Table227278[Lymph Node],Table227278[Study_Cohort],Table41112196[[#This Row],[Study_Cohort]],Table227278[Genotype],Table41112196[[#This Row],[Genotype]])</f>
        <v>0.61624605720534997</v>
      </c>
      <c r="AM39" s="16">
        <f>AVERAGEIFS(Table227278[Necrosis],Table227278[Study_Cohort],Table41112196[[#This Row],[Study_Cohort]],Table227278[Genotype],Table41112196[[#This Row],[Genotype]])</f>
        <v>10.859495048435068</v>
      </c>
      <c r="AN39" s="16">
        <f>SUM(Table41112196[[#This Row],[Islet]:[Necrosis]])</f>
        <v>100</v>
      </c>
    </row>
    <row r="40" spans="1:40">
      <c r="A40" s="7" t="s">
        <v>215</v>
      </c>
      <c r="B40" s="21" t="s">
        <v>216</v>
      </c>
      <c r="C40" s="21" t="s">
        <v>217</v>
      </c>
      <c r="D40" s="7" t="s">
        <v>27</v>
      </c>
      <c r="E40" s="7" t="s">
        <v>218</v>
      </c>
      <c r="F40" s="7" t="s">
        <v>187</v>
      </c>
      <c r="G40" s="20" t="s">
        <v>39</v>
      </c>
      <c r="H40" s="7" t="s">
        <v>33</v>
      </c>
      <c r="I40" s="10">
        <v>7.88846536499965E-2</v>
      </c>
      <c r="J40" s="10">
        <v>0.208161937204565</v>
      </c>
      <c r="K40" s="10">
        <v>0.69127804635119094</v>
      </c>
      <c r="L40" s="10">
        <v>2.3723816612342499</v>
      </c>
      <c r="M40" s="10">
        <v>0.212669250503843</v>
      </c>
      <c r="N40" s="10">
        <v>4.3020637713453098</v>
      </c>
      <c r="O40" s="10">
        <v>3.6698358097169301E-2</v>
      </c>
      <c r="P40" s="10">
        <v>85.687230358931998</v>
      </c>
      <c r="Q40" s="10">
        <v>6.4106319626816699</v>
      </c>
      <c r="R40" s="10">
        <v>0</v>
      </c>
      <c r="S40" s="10">
        <v>0</v>
      </c>
      <c r="T40" s="10">
        <v>0</v>
      </c>
      <c r="U40" s="11" t="s">
        <v>219</v>
      </c>
      <c r="V40" s="12">
        <f>SUM(Table227278[[#This Row],[Islet]:[Necrosis]])</f>
        <v>100</v>
      </c>
      <c r="Y40" s="43" t="s">
        <v>55</v>
      </c>
      <c r="Z40" s="19" t="s">
        <v>148</v>
      </c>
      <c r="AA40" s="15">
        <f>(COUNTIFS(Table227278[Study_Cohort],Table41112196[[#This Row],[Study_Cohort]],Table227278[Genotype],Table41112196[[#This Row],[Genotype]]))</f>
        <v>2</v>
      </c>
      <c r="AB40" s="16">
        <f>AVERAGEIFS(Table227278[Islet],Table227278[Study_Cohort],Table41112196[[#This Row],[Study_Cohort]],Table227278[Genotype],Table41112196[[#This Row],[Genotype]])</f>
        <v>0.16319123452240195</v>
      </c>
      <c r="AC40" s="16">
        <f>AVERAGEIFS(Table227278[Ductal Epithelium],Table227278[Study_Cohort],Table41112196[[#This Row],[Study_Cohort]],Table227278[Genotype],Table41112196[[#This Row],[Genotype]])</f>
        <v>0.18297758440082401</v>
      </c>
      <c r="AD40" s="16">
        <f>AVERAGEIFS(Table227278[Vasculature],Table227278[Study_Cohort],Table41112196[[#This Row],[Study_Cohort]],Table227278[Genotype],Table41112196[[#This Row],[Genotype]])</f>
        <v>0.6338719076670305</v>
      </c>
      <c r="AE40" s="16">
        <f>AVERAGEIFS(Table227278[Adipose],Table227278[Study_Cohort],Table41112196[[#This Row],[Study_Cohort]],Table227278[Genotype],Table41112196[[#This Row],[Genotype]])</f>
        <v>0.45862774754859148</v>
      </c>
      <c r="AF40" s="16">
        <f>AVERAGEIFS(Table227278[Acini],Table227278[Study_Cohort],Table41112196[[#This Row],[Study_Cohort]],Table227278[Genotype],Table41112196[[#This Row],[Genotype]])</f>
        <v>22.21953144098914</v>
      </c>
      <c r="AG40" s="16">
        <f>AVERAGEIFS(Table227278[Stroma/ECM],Table227278[Study_Cohort],Table41112196[[#This Row],[Study_Cohort]],Table227278[Genotype],Table41112196[[#This Row],[Genotype]])</f>
        <v>5.9937168417437903</v>
      </c>
      <c r="AH40" s="16">
        <f>AVERAGEIFS(Table227278[PanIN],Table227278[Study_Cohort],Table41112196[[#This Row],[Study_Cohort]],Table227278[Genotype],Table41112196[[#This Row],[Genotype]])</f>
        <v>2.921201266592695E-3</v>
      </c>
      <c r="AI40" s="16">
        <f>AVERAGEIFS(Table227278[PDAc],Table227278[Study_Cohort],Table41112196[[#This Row],[Study_Cohort]],Table227278[Genotype],Table41112196[[#This Row],[Genotype]])</f>
        <v>69.512877438748049</v>
      </c>
      <c r="AJ40" s="16">
        <f>AVERAGEIFS(Table227278[Immune Hotspot],Table227278[Study_Cohort],Table41112196[[#This Row],[Study_Cohort]],Table227278[Genotype],Table41112196[[#This Row],[Genotype]])</f>
        <v>0.123437769601667</v>
      </c>
      <c r="AK40" s="16">
        <f>AVERAGEIFS(Table227278[Duodenum],Table227278[Study_Cohort],Table41112196[[#This Row],[Study_Cohort]],Table227278[Genotype],Table41112196[[#This Row],[Genotype]])</f>
        <v>0</v>
      </c>
      <c r="AL40" s="16">
        <f>AVERAGEIFS(Table227278[Lymph Node],Table227278[Study_Cohort],Table41112196[[#This Row],[Study_Cohort]],Table227278[Genotype],Table41112196[[#This Row],[Genotype]])</f>
        <v>0.708846833511935</v>
      </c>
      <c r="AM40" s="16">
        <f>AVERAGEIFS(Table227278[Necrosis],Table227278[Study_Cohort],Table41112196[[#This Row],[Study_Cohort]],Table227278[Genotype],Table41112196[[#This Row],[Genotype]])</f>
        <v>0</v>
      </c>
      <c r="AN40" s="16">
        <f>SUM(Table41112196[[#This Row],[Islet]:[Necrosis]])</f>
        <v>100.00000000000003</v>
      </c>
    </row>
    <row r="41" spans="1:40">
      <c r="A41" s="7" t="s">
        <v>220</v>
      </c>
      <c r="B41" s="21" t="s">
        <v>221</v>
      </c>
      <c r="C41" s="21" t="s">
        <v>222</v>
      </c>
      <c r="D41" s="7" t="s">
        <v>223</v>
      </c>
      <c r="E41" s="7" t="s">
        <v>224</v>
      </c>
      <c r="F41" s="7" t="s">
        <v>187</v>
      </c>
      <c r="G41" s="20" t="s">
        <v>39</v>
      </c>
      <c r="H41" s="7" t="s">
        <v>33</v>
      </c>
      <c r="I41" s="10">
        <v>2.5640922971767601</v>
      </c>
      <c r="J41" s="10">
        <v>0.66201392561832195</v>
      </c>
      <c r="K41" s="10">
        <v>1.41245429941366</v>
      </c>
      <c r="L41" s="10">
        <v>7.7020247491956999</v>
      </c>
      <c r="M41" s="10">
        <v>0.348142287168002</v>
      </c>
      <c r="N41" s="10">
        <v>9.6832389902493805</v>
      </c>
      <c r="O41" s="10">
        <v>0.81481527769815998</v>
      </c>
      <c r="P41" s="10">
        <v>61.601040941231702</v>
      </c>
      <c r="Q41" s="10">
        <v>15.212177232248299</v>
      </c>
      <c r="R41" s="10">
        <v>0</v>
      </c>
      <c r="S41" s="10">
        <v>0</v>
      </c>
      <c r="T41" s="10">
        <v>0</v>
      </c>
      <c r="U41" s="11" t="s">
        <v>225</v>
      </c>
      <c r="V41" s="12">
        <f>SUM(Table227278[[#This Row],[Islet]:[Necrosis]])</f>
        <v>99.999999999999986</v>
      </c>
      <c r="Y41" s="13"/>
      <c r="Z41" s="35" t="s">
        <v>98</v>
      </c>
      <c r="AA41" s="36">
        <f>SUM(Table41112196[Sent_'#])-AA27-AA17</f>
        <v>81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40" ht="17" thickBot="1">
      <c r="A42" s="7" t="s">
        <v>226</v>
      </c>
      <c r="B42" s="21" t="s">
        <v>227</v>
      </c>
      <c r="C42" s="21" t="s">
        <v>227</v>
      </c>
      <c r="D42" s="7" t="s">
        <v>27</v>
      </c>
      <c r="E42" s="7" t="s">
        <v>228</v>
      </c>
      <c r="F42" s="7" t="s">
        <v>187</v>
      </c>
      <c r="G42" s="20" t="s">
        <v>39</v>
      </c>
      <c r="H42" s="7" t="s">
        <v>33</v>
      </c>
      <c r="I42" s="10">
        <v>1.00663495117047</v>
      </c>
      <c r="J42" s="10">
        <v>15.714307412992101</v>
      </c>
      <c r="K42" s="10">
        <v>4.8008575562629803</v>
      </c>
      <c r="L42" s="10">
        <v>4.4313837433304997</v>
      </c>
      <c r="M42" s="10">
        <v>0.28077404898646702</v>
      </c>
      <c r="N42" s="10">
        <v>48.973177196112303</v>
      </c>
      <c r="O42" s="10">
        <v>8.2856264644231192</v>
      </c>
      <c r="P42" s="10">
        <v>3.9661094921790001</v>
      </c>
      <c r="Q42" s="10">
        <v>1.10584202132103</v>
      </c>
      <c r="R42" s="10">
        <v>0</v>
      </c>
      <c r="S42" s="10">
        <v>0</v>
      </c>
      <c r="T42" s="10">
        <v>11.435287113222101</v>
      </c>
      <c r="U42" s="11" t="s">
        <v>229</v>
      </c>
      <c r="V42" s="12">
        <f>SUM(Table227278[[#This Row],[Islet]:[Necrosis]])</f>
        <v>100.00000000000006</v>
      </c>
      <c r="AA42" s="40"/>
    </row>
    <row r="43" spans="1:40">
      <c r="A43" s="7" t="s">
        <v>230</v>
      </c>
      <c r="B43" s="21" t="s">
        <v>231</v>
      </c>
      <c r="C43" s="21" t="s">
        <v>231</v>
      </c>
      <c r="D43" s="7" t="s">
        <v>27</v>
      </c>
      <c r="E43" s="7" t="s">
        <v>232</v>
      </c>
      <c r="F43" s="7" t="s">
        <v>187</v>
      </c>
      <c r="G43" s="20" t="s">
        <v>39</v>
      </c>
      <c r="H43" s="7" t="s">
        <v>33</v>
      </c>
      <c r="I43" s="10">
        <v>8.3224862773269806E-2</v>
      </c>
      <c r="J43" s="10">
        <v>22.388662950356998</v>
      </c>
      <c r="K43" s="10">
        <v>0.67997497454686795</v>
      </c>
      <c r="L43" s="10">
        <v>14.6965405431223</v>
      </c>
      <c r="M43" s="10">
        <v>0.39513168792348902</v>
      </c>
      <c r="N43" s="10">
        <v>52.599532003318899</v>
      </c>
      <c r="O43" s="10">
        <v>0.241824528570702</v>
      </c>
      <c r="P43" s="10">
        <v>0.28046118302960799</v>
      </c>
      <c r="Q43" s="10">
        <v>4.0794552613669204</v>
      </c>
      <c r="R43" s="10">
        <v>0</v>
      </c>
      <c r="S43" s="10">
        <v>4.5551920049910102</v>
      </c>
      <c r="T43" s="10">
        <v>0</v>
      </c>
      <c r="U43" s="11" t="s">
        <v>233</v>
      </c>
      <c r="V43" s="12">
        <f>SUM(Table227278[[#This Row],[Islet]:[Necrosis]])</f>
        <v>100.00000000000006</v>
      </c>
      <c r="Y43" s="44" t="s">
        <v>7</v>
      </c>
      <c r="Z43" s="45" t="s">
        <v>6</v>
      </c>
      <c r="AA43" s="45" t="s">
        <v>22</v>
      </c>
      <c r="AB43" s="46" t="s">
        <v>8</v>
      </c>
      <c r="AC43" s="46" t="s">
        <v>23</v>
      </c>
      <c r="AD43" s="46" t="s">
        <v>10</v>
      </c>
      <c r="AE43" s="46" t="s">
        <v>11</v>
      </c>
      <c r="AF43" s="46" t="s">
        <v>12</v>
      </c>
      <c r="AG43" s="46" t="s">
        <v>24</v>
      </c>
      <c r="AH43" s="46" t="s">
        <v>14</v>
      </c>
      <c r="AI43" s="46" t="s">
        <v>15</v>
      </c>
      <c r="AJ43" s="46" t="s">
        <v>16</v>
      </c>
      <c r="AK43" s="46" t="s">
        <v>17</v>
      </c>
      <c r="AL43" s="46" t="s">
        <v>18</v>
      </c>
      <c r="AM43" s="46" t="s">
        <v>19</v>
      </c>
      <c r="AN43" s="47" t="s">
        <v>21</v>
      </c>
    </row>
    <row r="44" spans="1:40" ht="17" thickBot="1">
      <c r="A44" s="7" t="s">
        <v>234</v>
      </c>
      <c r="B44" s="48" t="s">
        <v>235</v>
      </c>
      <c r="C44" s="48" t="s">
        <v>235</v>
      </c>
      <c r="D44" s="7" t="s">
        <v>27</v>
      </c>
      <c r="E44" s="7" t="s">
        <v>236</v>
      </c>
      <c r="F44" s="7" t="s">
        <v>29</v>
      </c>
      <c r="G44" s="7" t="s">
        <v>30</v>
      </c>
      <c r="H44" s="7" t="s">
        <v>33</v>
      </c>
      <c r="I44" s="10">
        <v>0.589547270622508</v>
      </c>
      <c r="J44" s="10">
        <v>9.6889857246706796</v>
      </c>
      <c r="K44" s="10">
        <v>3.2935752309613702</v>
      </c>
      <c r="L44" s="10">
        <v>3.3425089639254701</v>
      </c>
      <c r="M44" s="10">
        <v>9.5991090780600299</v>
      </c>
      <c r="N44" s="10">
        <v>50.675593310417597</v>
      </c>
      <c r="O44" s="10">
        <v>4.42512805459672</v>
      </c>
      <c r="P44" s="10">
        <v>16.379207319019599</v>
      </c>
      <c r="Q44" s="10">
        <v>1.28898391741461</v>
      </c>
      <c r="R44" s="10">
        <v>0</v>
      </c>
      <c r="S44" s="10">
        <v>0</v>
      </c>
      <c r="T44" s="10">
        <v>0.71736113031147197</v>
      </c>
      <c r="U44" s="11" t="s">
        <v>237</v>
      </c>
      <c r="V44" s="12">
        <f>SUM(Table227278[[#This Row],[Islet]:[Necrosis]])</f>
        <v>100.00000000000007</v>
      </c>
      <c r="Y44" s="49" t="s">
        <v>61</v>
      </c>
      <c r="Z44" s="50" t="s">
        <v>238</v>
      </c>
      <c r="AA44" s="51">
        <v>9</v>
      </c>
      <c r="AB44" s="52">
        <v>0.42421461550154926</v>
      </c>
      <c r="AC44" s="52">
        <v>0.51639017083117611</v>
      </c>
      <c r="AD44" s="52">
        <v>1.6341629664022821</v>
      </c>
      <c r="AE44" s="52">
        <v>3.2235063013838041</v>
      </c>
      <c r="AF44" s="52">
        <v>80.158848440151516</v>
      </c>
      <c r="AG44" s="52">
        <v>8.2338276154640866</v>
      </c>
      <c r="AH44" s="52">
        <v>1.3118520694370778E-2</v>
      </c>
      <c r="AI44" s="52">
        <v>5.1928735281214271E-2</v>
      </c>
      <c r="AJ44" s="52">
        <v>0.51023237745350525</v>
      </c>
      <c r="AK44" s="52">
        <v>1.2058544217718776</v>
      </c>
      <c r="AL44" s="52">
        <v>4.0279158350645892</v>
      </c>
      <c r="AM44" s="52">
        <v>0</v>
      </c>
      <c r="AN44" s="53">
        <v>99.999999999999972</v>
      </c>
    </row>
    <row r="45" spans="1:40">
      <c r="A45" s="7" t="s">
        <v>239</v>
      </c>
      <c r="B45" s="21" t="s">
        <v>240</v>
      </c>
      <c r="C45" s="21" t="s">
        <v>240</v>
      </c>
      <c r="D45" s="7" t="s">
        <v>27</v>
      </c>
      <c r="E45" s="7" t="s">
        <v>241</v>
      </c>
      <c r="F45" s="7" t="s">
        <v>29</v>
      </c>
      <c r="G45" s="7" t="s">
        <v>30</v>
      </c>
      <c r="H45" s="7" t="s">
        <v>33</v>
      </c>
      <c r="I45" s="10">
        <v>0.30037831147425598</v>
      </c>
      <c r="J45" s="10">
        <v>8.3041347788965503</v>
      </c>
      <c r="K45" s="10">
        <v>2.5999532252223498</v>
      </c>
      <c r="L45" s="10">
        <v>22.132397218287</v>
      </c>
      <c r="M45" s="10">
        <v>2.6552293331393502</v>
      </c>
      <c r="N45" s="10">
        <v>51.446396045592302</v>
      </c>
      <c r="O45" s="10">
        <v>10.6545734294696</v>
      </c>
      <c r="P45" s="10">
        <v>6.9923783046112395E-2</v>
      </c>
      <c r="Q45" s="10">
        <v>1.4422455926053499</v>
      </c>
      <c r="R45" s="10">
        <v>0</v>
      </c>
      <c r="S45" s="10">
        <v>0.39476828226712202</v>
      </c>
      <c r="T45" s="10">
        <v>0</v>
      </c>
      <c r="U45" s="11" t="s">
        <v>242</v>
      </c>
      <c r="V45" s="12">
        <f>SUM(Table227278[[#This Row],[Islet]:[Necrosis]])</f>
        <v>99.999999999999972</v>
      </c>
      <c r="Y45" s="54" t="s">
        <v>111</v>
      </c>
      <c r="Z45" s="55" t="s">
        <v>119</v>
      </c>
      <c r="AA45" s="56">
        <v>6</v>
      </c>
      <c r="AB45" s="57">
        <v>0.89489569012182635</v>
      </c>
      <c r="AC45" s="57">
        <v>7.0067312336537944</v>
      </c>
      <c r="AD45" s="57">
        <v>3.5957435777140496</v>
      </c>
      <c r="AE45" s="57">
        <v>1.6915425593927178</v>
      </c>
      <c r="AF45" s="57">
        <v>3.408606030814866</v>
      </c>
      <c r="AG45" s="57">
        <v>31.72725765773443</v>
      </c>
      <c r="AH45" s="57">
        <v>1.4016181879711931</v>
      </c>
      <c r="AI45" s="57">
        <v>28.213200883004017</v>
      </c>
      <c r="AJ45" s="57">
        <v>0.91659327976527682</v>
      </c>
      <c r="AK45" s="57">
        <v>0</v>
      </c>
      <c r="AL45" s="57">
        <v>2.6156606083071652</v>
      </c>
      <c r="AM45" s="57">
        <v>18.528150291520664</v>
      </c>
      <c r="AN45" s="58">
        <v>100</v>
      </c>
    </row>
    <row r="46" spans="1:40">
      <c r="A46" s="7" t="s">
        <v>243</v>
      </c>
      <c r="B46" s="21" t="s">
        <v>244</v>
      </c>
      <c r="C46" s="21" t="s">
        <v>244</v>
      </c>
      <c r="D46" s="7" t="s">
        <v>27</v>
      </c>
      <c r="E46" s="7" t="s">
        <v>245</v>
      </c>
      <c r="F46" s="7" t="s">
        <v>29</v>
      </c>
      <c r="G46" s="7" t="s">
        <v>30</v>
      </c>
      <c r="H46" s="7" t="s">
        <v>33</v>
      </c>
      <c r="I46" s="10">
        <v>0.41789169981822899</v>
      </c>
      <c r="J46" s="10">
        <v>12.9965090050152</v>
      </c>
      <c r="K46" s="10">
        <v>3.52398788483467</v>
      </c>
      <c r="L46" s="10">
        <v>1.81475897856135</v>
      </c>
      <c r="M46" s="10">
        <v>23.037624422741501</v>
      </c>
      <c r="N46" s="10">
        <v>50.687524768688398</v>
      </c>
      <c r="O46" s="10">
        <v>5.8182364292531803</v>
      </c>
      <c r="P46" s="10">
        <v>7.0204337216201895E-2</v>
      </c>
      <c r="Q46" s="10">
        <v>0.57052076659924</v>
      </c>
      <c r="R46" s="10">
        <v>0</v>
      </c>
      <c r="S46" s="10">
        <v>1.06274170727206</v>
      </c>
      <c r="T46" s="10">
        <v>0</v>
      </c>
      <c r="U46" s="11" t="s">
        <v>246</v>
      </c>
      <c r="V46" s="12">
        <f>SUM(Table227278[[#This Row],[Islet]:[Necrosis]])</f>
        <v>100.00000000000001</v>
      </c>
      <c r="Y46" s="59" t="s">
        <v>33</v>
      </c>
      <c r="Z46" s="60" t="s">
        <v>30</v>
      </c>
      <c r="AA46" s="61">
        <v>17</v>
      </c>
      <c r="AB46" s="62">
        <v>0.46951141087202647</v>
      </c>
      <c r="AC46" s="62">
        <v>9.7224095077638459</v>
      </c>
      <c r="AD46" s="62">
        <v>2.0159034675689109</v>
      </c>
      <c r="AE46" s="62">
        <v>5.4657488412139585</v>
      </c>
      <c r="AF46" s="62">
        <v>10.212986684715773</v>
      </c>
      <c r="AG46" s="62">
        <v>40.52289047400722</v>
      </c>
      <c r="AH46" s="62">
        <v>3.2701256615992169</v>
      </c>
      <c r="AI46" s="62">
        <v>15.712359899084166</v>
      </c>
      <c r="AJ46" s="62">
        <v>3.5250940417047523</v>
      </c>
      <c r="AK46" s="62">
        <v>7.7285344453661753E-2</v>
      </c>
      <c r="AL46" s="62">
        <v>1.0670062219879553</v>
      </c>
      <c r="AM46" s="62">
        <v>7.9386784450285361</v>
      </c>
      <c r="AN46" s="63">
        <v>100.00000000000003</v>
      </c>
    </row>
    <row r="47" spans="1:40" ht="17" thickBot="1">
      <c r="A47" s="7" t="s">
        <v>247</v>
      </c>
      <c r="B47" s="21" t="s">
        <v>248</v>
      </c>
      <c r="C47" s="21" t="s">
        <v>248</v>
      </c>
      <c r="D47" s="7" t="s">
        <v>27</v>
      </c>
      <c r="E47" s="7" t="s">
        <v>249</v>
      </c>
      <c r="F47" s="7" t="s">
        <v>29</v>
      </c>
      <c r="G47" s="7" t="s">
        <v>30</v>
      </c>
      <c r="H47" s="7" t="s">
        <v>33</v>
      </c>
      <c r="I47" s="10">
        <v>0.55280286388392796</v>
      </c>
      <c r="J47" s="10">
        <v>6.3852919363200602</v>
      </c>
      <c r="K47" s="10">
        <v>1.32395817744082</v>
      </c>
      <c r="L47" s="10">
        <v>11.7111632114272</v>
      </c>
      <c r="M47" s="10">
        <v>51.952989690125001</v>
      </c>
      <c r="N47" s="10">
        <v>26.285022137394499</v>
      </c>
      <c r="O47" s="10">
        <v>1.6672446753235399</v>
      </c>
      <c r="P47" s="10">
        <v>9.7116649966281902E-4</v>
      </c>
      <c r="Q47" s="10">
        <v>0.12055614158538699</v>
      </c>
      <c r="R47" s="10">
        <v>0</v>
      </c>
      <c r="S47" s="10">
        <v>0</v>
      </c>
      <c r="T47" s="10">
        <v>0</v>
      </c>
      <c r="U47" s="11" t="s">
        <v>250</v>
      </c>
      <c r="V47" s="12">
        <f>SUM(Table227278[[#This Row],[Islet]:[Necrosis]])</f>
        <v>100.00000000000011</v>
      </c>
    </row>
    <row r="48" spans="1:40" ht="17" thickBot="1">
      <c r="A48" s="7" t="s">
        <v>251</v>
      </c>
      <c r="B48" s="21" t="s">
        <v>252</v>
      </c>
      <c r="C48" s="21" t="s">
        <v>252</v>
      </c>
      <c r="D48" s="7" t="s">
        <v>253</v>
      </c>
      <c r="E48" s="7" t="s">
        <v>254</v>
      </c>
      <c r="F48" s="7" t="s">
        <v>29</v>
      </c>
      <c r="G48" s="7" t="s">
        <v>30</v>
      </c>
      <c r="H48" s="7" t="s">
        <v>33</v>
      </c>
      <c r="I48" s="10">
        <v>4.77172990399235E-2</v>
      </c>
      <c r="J48" s="10">
        <v>0.952546354198609</v>
      </c>
      <c r="K48" s="10">
        <v>1.3232492186545</v>
      </c>
      <c r="L48" s="10">
        <v>0.18971308407280801</v>
      </c>
      <c r="M48" s="10">
        <v>0.26626917075218198</v>
      </c>
      <c r="N48" s="10">
        <v>15.433037954235701</v>
      </c>
      <c r="O48" s="10">
        <v>1.30676282926561E-2</v>
      </c>
      <c r="P48" s="10">
        <v>81.193606987021596</v>
      </c>
      <c r="Q48" s="10">
        <v>0.435151059520895</v>
      </c>
      <c r="R48" s="10">
        <v>0</v>
      </c>
      <c r="S48" s="10">
        <v>0</v>
      </c>
      <c r="T48" s="10">
        <v>0.145641244211101</v>
      </c>
      <c r="U48" s="11" t="s">
        <v>255</v>
      </c>
      <c r="V48" s="12">
        <f>SUM(Table227278[[#This Row],[Islet]:[Necrosis]])</f>
        <v>99.999999999999972</v>
      </c>
      <c r="Y48" s="44" t="s">
        <v>7</v>
      </c>
      <c r="Z48" s="49" t="s">
        <v>61</v>
      </c>
      <c r="AA48" s="59" t="s">
        <v>33</v>
      </c>
      <c r="AB48" s="54" t="s">
        <v>111</v>
      </c>
    </row>
    <row r="49" spans="1:28" ht="17" thickBot="1">
      <c r="A49" s="7" t="s">
        <v>256</v>
      </c>
      <c r="B49" s="48" t="s">
        <v>257</v>
      </c>
      <c r="C49" s="48" t="s">
        <v>257</v>
      </c>
      <c r="D49" s="7" t="s">
        <v>27</v>
      </c>
      <c r="E49" s="7" t="s">
        <v>258</v>
      </c>
      <c r="F49" s="7" t="s">
        <v>29</v>
      </c>
      <c r="G49" s="7" t="s">
        <v>30</v>
      </c>
      <c r="H49" s="7" t="s">
        <v>33</v>
      </c>
      <c r="I49" s="10">
        <v>0.57127208105407601</v>
      </c>
      <c r="J49" s="10">
        <v>17.738814257501598</v>
      </c>
      <c r="K49" s="10">
        <v>2.03100786841352</v>
      </c>
      <c r="L49" s="10">
        <v>13.766740796421701</v>
      </c>
      <c r="M49" s="10">
        <v>2.7100797047245901</v>
      </c>
      <c r="N49" s="10">
        <v>44.781854922177502</v>
      </c>
      <c r="O49" s="10">
        <v>10.537316221262101</v>
      </c>
      <c r="P49" s="10">
        <v>3.4300114991130601</v>
      </c>
      <c r="Q49" s="10">
        <v>0.82404089048125995</v>
      </c>
      <c r="R49" s="10">
        <v>0</v>
      </c>
      <c r="S49" s="10">
        <v>3.6088617588507002</v>
      </c>
      <c r="T49" s="10">
        <v>0</v>
      </c>
      <c r="U49" s="11" t="s">
        <v>259</v>
      </c>
      <c r="V49" s="12">
        <f>SUM(Table227278[[#This Row],[Islet]:[Necrosis]])</f>
        <v>100.00000000000011</v>
      </c>
      <c r="Y49" s="45" t="s">
        <v>6</v>
      </c>
      <c r="Z49" s="50" t="s">
        <v>238</v>
      </c>
      <c r="AA49" s="64" t="s">
        <v>260</v>
      </c>
      <c r="AB49" s="55" t="s">
        <v>119</v>
      </c>
    </row>
    <row r="50" spans="1:28" ht="17" thickBot="1">
      <c r="A50" s="7" t="s">
        <v>261</v>
      </c>
      <c r="B50" s="21" t="s">
        <v>262</v>
      </c>
      <c r="C50" s="21" t="s">
        <v>262</v>
      </c>
      <c r="D50" s="7" t="s">
        <v>27</v>
      </c>
      <c r="E50" s="7" t="s">
        <v>263</v>
      </c>
      <c r="F50" s="7" t="s">
        <v>29</v>
      </c>
      <c r="G50" s="7" t="s">
        <v>30</v>
      </c>
      <c r="H50" s="7" t="s">
        <v>33</v>
      </c>
      <c r="I50" s="10">
        <v>0.46322992575377497</v>
      </c>
      <c r="J50" s="10">
        <v>2.6336604224879698</v>
      </c>
      <c r="K50" s="10">
        <v>1.96309451244269</v>
      </c>
      <c r="L50" s="10">
        <v>5.9430476889510304</v>
      </c>
      <c r="M50" s="10">
        <v>3.7396798756991299</v>
      </c>
      <c r="N50" s="10">
        <v>29.914315618089201</v>
      </c>
      <c r="O50" s="10">
        <v>0.64939427205129796</v>
      </c>
      <c r="P50" s="10">
        <v>32.012191028683901</v>
      </c>
      <c r="Q50" s="10">
        <v>2.0547878047431598</v>
      </c>
      <c r="R50" s="10">
        <v>0</v>
      </c>
      <c r="S50" s="10">
        <v>0</v>
      </c>
      <c r="T50" s="10">
        <v>20.6265988510978</v>
      </c>
      <c r="U50" s="11" t="s">
        <v>264</v>
      </c>
      <c r="V50" s="12">
        <f>SUM(Table227278[[#This Row],[Islet]:[Necrosis]])</f>
        <v>99.999999999999943</v>
      </c>
      <c r="Y50" s="45" t="s">
        <v>22</v>
      </c>
      <c r="Z50" s="51">
        <v>9</v>
      </c>
      <c r="AA50" s="61">
        <v>17</v>
      </c>
      <c r="AB50" s="56">
        <v>6</v>
      </c>
    </row>
    <row r="51" spans="1:28" ht="17" thickBot="1">
      <c r="A51" s="7" t="s">
        <v>265</v>
      </c>
      <c r="B51" s="21" t="s">
        <v>266</v>
      </c>
      <c r="C51" s="21" t="s">
        <v>266</v>
      </c>
      <c r="D51" s="7" t="s">
        <v>27</v>
      </c>
      <c r="E51" s="7" t="s">
        <v>267</v>
      </c>
      <c r="F51" s="7" t="s">
        <v>29</v>
      </c>
      <c r="G51" s="7" t="s">
        <v>30</v>
      </c>
      <c r="H51" s="7" t="s">
        <v>33</v>
      </c>
      <c r="I51" s="10">
        <v>0.46708512164322802</v>
      </c>
      <c r="J51" s="10">
        <v>5.2727580275754997</v>
      </c>
      <c r="K51" s="10">
        <v>0.434210149337316</v>
      </c>
      <c r="L51" s="10">
        <v>6.3623270816015003</v>
      </c>
      <c r="M51" s="10">
        <v>12.3060066677696</v>
      </c>
      <c r="N51" s="10">
        <v>14.6430075492376</v>
      </c>
      <c r="O51" s="10">
        <v>1.12443109300647</v>
      </c>
      <c r="P51" s="10">
        <v>16.052883384605</v>
      </c>
      <c r="Q51" s="10">
        <v>2.1625168182316599</v>
      </c>
      <c r="R51" s="10">
        <v>0</v>
      </c>
      <c r="S51" s="10">
        <v>2.2732204859692602</v>
      </c>
      <c r="T51" s="10">
        <v>38.901553621022998</v>
      </c>
      <c r="U51" s="11" t="s">
        <v>268</v>
      </c>
      <c r="V51" s="12">
        <f>SUM(Table227278[[#This Row],[Islet]:[Necrosis]])</f>
        <v>100.00000000000014</v>
      </c>
      <c r="Y51" s="46" t="s">
        <v>8</v>
      </c>
      <c r="Z51" s="52">
        <v>0.42421461550154926</v>
      </c>
      <c r="AA51" s="62">
        <v>0.46951141087202647</v>
      </c>
      <c r="AB51" s="57">
        <v>0.89489569012182635</v>
      </c>
    </row>
    <row r="52" spans="1:28" ht="17" thickBot="1">
      <c r="A52" s="7" t="s">
        <v>269</v>
      </c>
      <c r="B52" s="48" t="s">
        <v>270</v>
      </c>
      <c r="C52" s="48" t="s">
        <v>270</v>
      </c>
      <c r="D52" s="7" t="s">
        <v>27</v>
      </c>
      <c r="E52" s="7" t="s">
        <v>271</v>
      </c>
      <c r="F52" s="7" t="s">
        <v>29</v>
      </c>
      <c r="G52" s="7" t="s">
        <v>30</v>
      </c>
      <c r="H52" s="7" t="s">
        <v>33</v>
      </c>
      <c r="I52" s="10">
        <v>0.22224517989600201</v>
      </c>
      <c r="J52" s="10">
        <v>18.233122369152198</v>
      </c>
      <c r="K52" s="10">
        <v>1.6100614832807201</v>
      </c>
      <c r="L52" s="10">
        <v>3.4623022056086601</v>
      </c>
      <c r="M52" s="10">
        <v>5.2465130772944999</v>
      </c>
      <c r="N52" s="10">
        <v>51.279434651850401</v>
      </c>
      <c r="O52" s="10">
        <v>5.53144943484625</v>
      </c>
      <c r="P52" s="10">
        <v>3.7979082219171501</v>
      </c>
      <c r="Q52" s="10">
        <v>4.7032238952683301</v>
      </c>
      <c r="R52" s="10">
        <v>0</v>
      </c>
      <c r="S52" s="10">
        <v>4.78166876272312</v>
      </c>
      <c r="T52" s="10">
        <v>1.1320707181627001</v>
      </c>
      <c r="U52" s="11" t="s">
        <v>272</v>
      </c>
      <c r="V52" s="12">
        <f>SUM(Table227278[[#This Row],[Islet]:[Necrosis]])</f>
        <v>100.00000000000001</v>
      </c>
      <c r="Y52" s="46" t="s">
        <v>23</v>
      </c>
      <c r="Z52" s="52">
        <v>0.51639017083117611</v>
      </c>
      <c r="AA52" s="62">
        <v>9.7224095077638459</v>
      </c>
      <c r="AB52" s="57">
        <v>7.0067312336537944</v>
      </c>
    </row>
    <row r="53" spans="1:28" ht="17" thickBot="1">
      <c r="A53" s="7" t="s">
        <v>273</v>
      </c>
      <c r="B53" s="21" t="s">
        <v>274</v>
      </c>
      <c r="C53" s="21" t="s">
        <v>274</v>
      </c>
      <c r="D53" s="7" t="s">
        <v>27</v>
      </c>
      <c r="E53" s="7" t="s">
        <v>275</v>
      </c>
      <c r="F53" s="7" t="s">
        <v>29</v>
      </c>
      <c r="G53" s="7" t="s">
        <v>30</v>
      </c>
      <c r="H53" s="7" t="s">
        <v>33</v>
      </c>
      <c r="I53" s="10">
        <v>4.8377842922323999E-2</v>
      </c>
      <c r="J53" s="10">
        <v>6.4629504862548002</v>
      </c>
      <c r="K53" s="10">
        <v>5.2427402874045299</v>
      </c>
      <c r="L53" s="10">
        <v>0.118664880267721</v>
      </c>
      <c r="M53" s="10">
        <v>3.1751784857147398</v>
      </c>
      <c r="N53" s="10">
        <v>53.059227645273197</v>
      </c>
      <c r="O53" s="10">
        <v>1.0462787197929599</v>
      </c>
      <c r="P53" s="10">
        <v>7.9001619505184202</v>
      </c>
      <c r="Q53" s="10">
        <v>9.2881264718839104E-2</v>
      </c>
      <c r="R53" s="10">
        <v>0</v>
      </c>
      <c r="S53" s="10">
        <v>0</v>
      </c>
      <c r="T53" s="10">
        <v>22.8535384371324</v>
      </c>
      <c r="U53" s="11" t="s">
        <v>276</v>
      </c>
      <c r="V53" s="12">
        <f>SUM(Table227278[[#This Row],[Islet]:[Necrosis]])</f>
        <v>99.999999999999943</v>
      </c>
      <c r="Y53" s="46" t="s">
        <v>10</v>
      </c>
      <c r="Z53" s="52">
        <v>1.6341629664022821</v>
      </c>
      <c r="AA53" s="62">
        <v>2.0159034675689109</v>
      </c>
      <c r="AB53" s="57">
        <v>3.5957435777140496</v>
      </c>
    </row>
    <row r="54" spans="1:28" ht="17" thickBot="1">
      <c r="A54" s="7" t="s">
        <v>277</v>
      </c>
      <c r="B54" s="48" t="s">
        <v>278</v>
      </c>
      <c r="C54" s="48" t="s">
        <v>278</v>
      </c>
      <c r="D54" s="7" t="s">
        <v>27</v>
      </c>
      <c r="E54" s="7" t="s">
        <v>279</v>
      </c>
      <c r="F54" s="7" t="s">
        <v>29</v>
      </c>
      <c r="G54" s="7" t="s">
        <v>30</v>
      </c>
      <c r="H54" s="7" t="s">
        <v>33</v>
      </c>
      <c r="I54" s="10">
        <v>0.98153484745382802</v>
      </c>
      <c r="J54" s="10">
        <v>5.14369087138307</v>
      </c>
      <c r="K54" s="10">
        <v>0.93444949915554198</v>
      </c>
      <c r="L54" s="10">
        <v>3.5509621206271902</v>
      </c>
      <c r="M54" s="10">
        <v>11.1175664298838</v>
      </c>
      <c r="N54" s="10">
        <v>20.498838942356102</v>
      </c>
      <c r="O54" s="10">
        <v>0.53046997785988004</v>
      </c>
      <c r="P54" s="10">
        <v>11.341493244492099</v>
      </c>
      <c r="Q54" s="10">
        <v>1.1934620146947901</v>
      </c>
      <c r="R54" s="10">
        <v>0</v>
      </c>
      <c r="S54" s="10">
        <v>1.7854770589348901</v>
      </c>
      <c r="T54" s="10">
        <v>42.922054993158802</v>
      </c>
      <c r="U54" s="11" t="s">
        <v>280</v>
      </c>
      <c r="V54" s="12">
        <f>SUM(Table227278[[#This Row],[Islet]:[Necrosis]])</f>
        <v>99.999999999999986</v>
      </c>
      <c r="Y54" s="46" t="s">
        <v>11</v>
      </c>
      <c r="Z54" s="52">
        <v>3.2235063013838041</v>
      </c>
      <c r="AA54" s="62">
        <v>5.4657488412139585</v>
      </c>
      <c r="AB54" s="57">
        <v>1.6915425593927178</v>
      </c>
    </row>
    <row r="55" spans="1:28" ht="17" thickBot="1">
      <c r="A55" s="7" t="s">
        <v>281</v>
      </c>
      <c r="B55" s="48" t="s">
        <v>282</v>
      </c>
      <c r="C55" s="48" t="s">
        <v>282</v>
      </c>
      <c r="D55" s="7" t="s">
        <v>27</v>
      </c>
      <c r="E55" s="7" t="s">
        <v>283</v>
      </c>
      <c r="F55" s="7" t="s">
        <v>29</v>
      </c>
      <c r="G55" s="7" t="s">
        <v>30</v>
      </c>
      <c r="H55" s="7" t="s">
        <v>33</v>
      </c>
      <c r="I55" s="10">
        <v>2.0282801972363198</v>
      </c>
      <c r="J55" s="10">
        <v>13.747739233233</v>
      </c>
      <c r="K55" s="10">
        <v>1.62328354400552</v>
      </c>
      <c r="L55" s="10">
        <v>3.7421434653055399</v>
      </c>
      <c r="M55" s="10">
        <v>10.647783648409501</v>
      </c>
      <c r="N55" s="10">
        <v>61.7796323820425</v>
      </c>
      <c r="O55" s="10">
        <v>3.6568203913797599</v>
      </c>
      <c r="P55" s="10">
        <v>0.647150521540521</v>
      </c>
      <c r="Q55" s="10">
        <v>0.82342142845871802</v>
      </c>
      <c r="R55" s="10">
        <v>0</v>
      </c>
      <c r="S55" s="10">
        <v>0</v>
      </c>
      <c r="T55" s="10">
        <v>1.30374518838861</v>
      </c>
      <c r="U55" s="11" t="s">
        <v>284</v>
      </c>
      <c r="V55" s="12">
        <f>SUM(Table227278[[#This Row],[Islet]:[Necrosis]])</f>
        <v>99.999999999999972</v>
      </c>
      <c r="Y55" s="46" t="s">
        <v>12</v>
      </c>
      <c r="Z55" s="52">
        <v>80.158848440151516</v>
      </c>
      <c r="AA55" s="62">
        <v>10.212986684715773</v>
      </c>
      <c r="AB55" s="57">
        <v>3.408606030814866</v>
      </c>
    </row>
    <row r="56" spans="1:28" ht="17" thickBot="1">
      <c r="A56" s="7" t="s">
        <v>285</v>
      </c>
      <c r="B56" s="48" t="s">
        <v>286</v>
      </c>
      <c r="C56" s="48" t="s">
        <v>286</v>
      </c>
      <c r="D56" s="7" t="s">
        <v>27</v>
      </c>
      <c r="E56" s="7" t="s">
        <v>287</v>
      </c>
      <c r="F56" s="7" t="s">
        <v>29</v>
      </c>
      <c r="G56" s="7" t="s">
        <v>30</v>
      </c>
      <c r="H56" s="7" t="s">
        <v>33</v>
      </c>
      <c r="I56" s="10">
        <v>0.174309537837817</v>
      </c>
      <c r="J56" s="10">
        <v>10.392076674373399</v>
      </c>
      <c r="K56" s="10">
        <v>1.28092672008201</v>
      </c>
      <c r="L56" s="10">
        <v>3.0180685631178501</v>
      </c>
      <c r="M56" s="10">
        <v>0.351296871598475</v>
      </c>
      <c r="N56" s="10">
        <v>29.322406995083099</v>
      </c>
      <c r="O56" s="10">
        <v>0.61699998966830205</v>
      </c>
      <c r="P56" s="10">
        <v>46.417517537353397</v>
      </c>
      <c r="Q56" s="10">
        <v>0.53380758172647502</v>
      </c>
      <c r="R56" s="10">
        <v>0</v>
      </c>
      <c r="S56" s="10">
        <v>1.53762014715998</v>
      </c>
      <c r="T56" s="10">
        <v>6.3549693819992203</v>
      </c>
      <c r="U56" s="11" t="s">
        <v>288</v>
      </c>
      <c r="V56" s="12">
        <f>SUM(Table227278[[#This Row],[Islet]:[Necrosis]])</f>
        <v>100.00000000000003</v>
      </c>
      <c r="Y56" s="46" t="s">
        <v>24</v>
      </c>
      <c r="Z56" s="52">
        <v>8.2338276154640866</v>
      </c>
      <c r="AA56" s="62">
        <v>40.52289047400722</v>
      </c>
      <c r="AB56" s="57">
        <v>31.72725765773443</v>
      </c>
    </row>
    <row r="57" spans="1:28" ht="17" thickBot="1">
      <c r="A57" s="7" t="s">
        <v>289</v>
      </c>
      <c r="B57" s="48" t="s">
        <v>290</v>
      </c>
      <c r="C57" s="48" t="s">
        <v>290</v>
      </c>
      <c r="D57" s="7" t="s">
        <v>27</v>
      </c>
      <c r="E57" s="7" t="s">
        <v>291</v>
      </c>
      <c r="F57" s="7" t="s">
        <v>29</v>
      </c>
      <c r="G57" s="7" t="s">
        <v>30</v>
      </c>
      <c r="H57" s="7" t="s">
        <v>33</v>
      </c>
      <c r="I57" s="10">
        <v>0.42891826551185203</v>
      </c>
      <c r="J57" s="10">
        <v>14.4427772066381</v>
      </c>
      <c r="K57" s="10">
        <v>1.0980511247779501</v>
      </c>
      <c r="L57" s="10">
        <v>4.3415679468655402</v>
      </c>
      <c r="M57" s="10">
        <v>0.85646643265402</v>
      </c>
      <c r="N57" s="10">
        <v>48.626415219285697</v>
      </c>
      <c r="O57" s="10">
        <v>2.5035070032822802</v>
      </c>
      <c r="P57" s="10">
        <v>23.826892591383</v>
      </c>
      <c r="Q57" s="10">
        <v>1.1806566389835</v>
      </c>
      <c r="R57" s="10">
        <v>0</v>
      </c>
      <c r="S57" s="10">
        <v>2.6947475706181101</v>
      </c>
      <c r="T57" s="10">
        <v>0</v>
      </c>
      <c r="U57" s="11" t="s">
        <v>292</v>
      </c>
      <c r="V57" s="12">
        <f>SUM(Table227278[[#This Row],[Islet]:[Necrosis]])</f>
        <v>100.00000000000006</v>
      </c>
      <c r="Y57" s="46" t="s">
        <v>14</v>
      </c>
      <c r="Z57" s="52">
        <v>1.3118520694370778E-2</v>
      </c>
      <c r="AA57" s="62">
        <v>3.2701256615992169</v>
      </c>
      <c r="AB57" s="57">
        <v>1.4016181879711931</v>
      </c>
    </row>
    <row r="58" spans="1:28" ht="17" thickBot="1">
      <c r="A58" s="7" t="s">
        <v>293</v>
      </c>
      <c r="B58" s="48" t="s">
        <v>294</v>
      </c>
      <c r="C58" s="48" t="s">
        <v>295</v>
      </c>
      <c r="D58" s="7" t="s">
        <v>27</v>
      </c>
      <c r="E58" s="7" t="s">
        <v>296</v>
      </c>
      <c r="F58" s="7" t="s">
        <v>29</v>
      </c>
      <c r="G58" s="7" t="s">
        <v>30</v>
      </c>
      <c r="H58" s="7" t="s">
        <v>33</v>
      </c>
      <c r="I58" s="10">
        <v>0.34589062172836199</v>
      </c>
      <c r="J58" s="10">
        <v>9.76434735039145</v>
      </c>
      <c r="K58" s="10">
        <v>2.5021631448789199</v>
      </c>
      <c r="L58" s="10">
        <v>4.2905019436878398</v>
      </c>
      <c r="M58" s="10">
        <v>32.2429430416977</v>
      </c>
      <c r="N58" s="10">
        <v>43.234717195656202</v>
      </c>
      <c r="O58" s="10">
        <v>5.50685620473004</v>
      </c>
      <c r="P58" s="10">
        <v>0.37871578880280699</v>
      </c>
      <c r="Q58" s="10">
        <v>1.7338647084266601</v>
      </c>
      <c r="R58" s="10">
        <v>0</v>
      </c>
      <c r="S58" s="10">
        <v>0</v>
      </c>
      <c r="T58" s="10">
        <v>0</v>
      </c>
      <c r="U58" s="11" t="s">
        <v>297</v>
      </c>
      <c r="V58" s="12">
        <f>SUM(Table227278[[#This Row],[Islet]:[Necrosis]])</f>
        <v>99.999999999999986</v>
      </c>
      <c r="Y58" s="46" t="s">
        <v>15</v>
      </c>
      <c r="Z58" s="52">
        <v>5.1928735281214271E-2</v>
      </c>
      <c r="AA58" s="62">
        <v>15.712359899084166</v>
      </c>
      <c r="AB58" s="57">
        <v>28.213200883004017</v>
      </c>
    </row>
    <row r="59" spans="1:28" ht="17" thickBot="1">
      <c r="A59" s="7" t="s">
        <v>298</v>
      </c>
      <c r="B59" s="42" t="s">
        <v>299</v>
      </c>
      <c r="C59" s="42" t="s">
        <v>299</v>
      </c>
      <c r="D59" s="7" t="s">
        <v>27</v>
      </c>
      <c r="E59" s="7" t="s">
        <v>300</v>
      </c>
      <c r="F59" s="7" t="s">
        <v>29</v>
      </c>
      <c r="G59" s="7" t="s">
        <v>30</v>
      </c>
      <c r="H59" s="7" t="s">
        <v>33</v>
      </c>
      <c r="I59" s="10">
        <v>0.33666603424236602</v>
      </c>
      <c r="J59" s="10">
        <v>20.3417346114664</v>
      </c>
      <c r="K59" s="10">
        <v>1.4656871045148101</v>
      </c>
      <c r="L59" s="10">
        <v>5.06679507651815</v>
      </c>
      <c r="M59" s="10">
        <v>3.3378109790048902</v>
      </c>
      <c r="N59" s="10">
        <v>51.286434182460297</v>
      </c>
      <c r="O59" s="10">
        <v>0.61305705013056899</v>
      </c>
      <c r="P59" s="10">
        <v>7.1681255703871196</v>
      </c>
      <c r="Q59" s="10">
        <v>9.0698385355631199</v>
      </c>
      <c r="R59" s="10">
        <v>1.3138508557122499</v>
      </c>
      <c r="S59" s="10">
        <v>0</v>
      </c>
      <c r="T59" s="10">
        <v>0</v>
      </c>
      <c r="U59" s="11" t="s">
        <v>301</v>
      </c>
      <c r="V59" s="12">
        <f>SUM(Table227278[[#This Row],[Islet]:[Necrosis]])</f>
        <v>99.999999999999972</v>
      </c>
      <c r="Y59" s="46" t="s">
        <v>16</v>
      </c>
      <c r="Z59" s="52">
        <v>0.51023237745350525</v>
      </c>
      <c r="AA59" s="62">
        <v>3.5250940417047523</v>
      </c>
      <c r="AB59" s="57">
        <v>0.91659327976527682</v>
      </c>
    </row>
    <row r="60" spans="1:28" ht="20" thickBot="1">
      <c r="A60" s="20" t="s">
        <v>302</v>
      </c>
      <c r="B60" s="21" t="s">
        <v>303</v>
      </c>
      <c r="C60" s="21" t="s">
        <v>303</v>
      </c>
      <c r="D60" s="20" t="s">
        <v>304</v>
      </c>
      <c r="E60" s="20" t="s">
        <v>305</v>
      </c>
      <c r="F60" s="20" t="s">
        <v>306</v>
      </c>
      <c r="G60" s="7" t="s">
        <v>30</v>
      </c>
      <c r="H60" s="7" t="s">
        <v>33</v>
      </c>
      <c r="I60" s="10">
        <v>5.5468847056556296E-3</v>
      </c>
      <c r="J60" s="10">
        <v>2.7798223224267802</v>
      </c>
      <c r="K60" s="10">
        <v>2.01995977326425</v>
      </c>
      <c r="L60" s="10">
        <v>6.4067075390741607E-2</v>
      </c>
      <c r="M60" s="10">
        <v>0.37822673089912101</v>
      </c>
      <c r="N60" s="10">
        <v>45.935278538282397</v>
      </c>
      <c r="O60" s="10">
        <v>0.69730567224108198</v>
      </c>
      <c r="P60" s="10">
        <v>16.4231533528312</v>
      </c>
      <c r="Q60" s="10">
        <v>31.696639649958801</v>
      </c>
      <c r="R60" s="10">
        <v>0</v>
      </c>
      <c r="S60" s="10">
        <v>0</v>
      </c>
      <c r="T60" s="10">
        <v>0</v>
      </c>
      <c r="U60" s="11" t="s">
        <v>307</v>
      </c>
      <c r="V60" s="12">
        <f>SUM(Table227278[[#This Row],[Islet]:[Necrosis]])</f>
        <v>100.00000000000003</v>
      </c>
      <c r="Y60" s="46" t="s">
        <v>17</v>
      </c>
      <c r="Z60" s="52">
        <v>1.2058544217718776</v>
      </c>
      <c r="AA60" s="62">
        <v>7.7285344453661753E-2</v>
      </c>
      <c r="AB60" s="57">
        <v>0</v>
      </c>
    </row>
    <row r="61" spans="1:28" ht="17" thickBot="1">
      <c r="A61" s="7" t="s">
        <v>308</v>
      </c>
      <c r="B61" s="21" t="s">
        <v>309</v>
      </c>
      <c r="C61" s="21" t="s">
        <v>309</v>
      </c>
      <c r="D61" s="7" t="s">
        <v>27</v>
      </c>
      <c r="E61" s="7" t="s">
        <v>310</v>
      </c>
      <c r="F61" s="7" t="s">
        <v>311</v>
      </c>
      <c r="G61" s="7" t="s">
        <v>49</v>
      </c>
      <c r="H61" s="7" t="s">
        <v>33</v>
      </c>
      <c r="I61" s="10">
        <v>6.9747343405243994E-2</v>
      </c>
      <c r="J61" s="10">
        <v>0.49728782111658398</v>
      </c>
      <c r="K61" s="10">
        <v>0.94151120906025698</v>
      </c>
      <c r="L61" s="10">
        <v>0.448720736147801</v>
      </c>
      <c r="M61" s="10">
        <v>0.40117221796541702</v>
      </c>
      <c r="N61" s="10">
        <v>3.8057279085992599</v>
      </c>
      <c r="O61" s="10">
        <v>0.40511063023157901</v>
      </c>
      <c r="P61" s="10">
        <v>55.835565488194703</v>
      </c>
      <c r="Q61" s="10">
        <v>37.595156645279197</v>
      </c>
      <c r="R61" s="10">
        <v>0</v>
      </c>
      <c r="S61" s="10">
        <v>0</v>
      </c>
      <c r="T61" s="10">
        <v>0</v>
      </c>
      <c r="U61" s="11" t="s">
        <v>312</v>
      </c>
      <c r="V61" s="12">
        <f>SUM(Table227278[[#This Row],[Islet]:[Necrosis]])</f>
        <v>100.00000000000004</v>
      </c>
      <c r="Y61" s="46" t="s">
        <v>18</v>
      </c>
      <c r="Z61" s="52">
        <v>4.0279158350645892</v>
      </c>
      <c r="AA61" s="62">
        <v>1.0670062219879553</v>
      </c>
      <c r="AB61" s="57">
        <v>2.6156606083071652</v>
      </c>
    </row>
    <row r="62" spans="1:28" ht="17" thickBot="1">
      <c r="A62" s="11" t="s">
        <v>313</v>
      </c>
      <c r="B62" s="41" t="s">
        <v>314</v>
      </c>
      <c r="C62" s="41" t="s">
        <v>314</v>
      </c>
      <c r="D62" s="11" t="s">
        <v>27</v>
      </c>
      <c r="E62" s="11" t="s">
        <v>315</v>
      </c>
      <c r="F62" s="11" t="s">
        <v>316</v>
      </c>
      <c r="G62" s="7" t="s">
        <v>49</v>
      </c>
      <c r="H62" s="7" t="s">
        <v>33</v>
      </c>
      <c r="I62" s="10">
        <v>1.0787879631991</v>
      </c>
      <c r="J62" s="10">
        <v>2.0883716622965198</v>
      </c>
      <c r="K62" s="10">
        <v>4.3646496030791599</v>
      </c>
      <c r="L62" s="10">
        <v>3.0481642881533699</v>
      </c>
      <c r="M62" s="10">
        <v>33.5303459261402</v>
      </c>
      <c r="N62" s="10">
        <v>52.325802628888098</v>
      </c>
      <c r="O62" s="10">
        <v>0.42165274955652898</v>
      </c>
      <c r="P62" s="10">
        <v>1.9382142526263699</v>
      </c>
      <c r="Q62" s="10">
        <v>1.2040109260606899</v>
      </c>
      <c r="R62" s="10">
        <v>0</v>
      </c>
      <c r="S62" s="10">
        <v>0</v>
      </c>
      <c r="T62" s="10">
        <v>0</v>
      </c>
      <c r="U62" s="11" t="s">
        <v>317</v>
      </c>
      <c r="V62" s="12">
        <f>SUM(Table227278[[#This Row],[Islet]:[Necrosis]])</f>
        <v>100.00000000000003</v>
      </c>
      <c r="Y62" s="46" t="s">
        <v>19</v>
      </c>
      <c r="Z62" s="52">
        <v>0</v>
      </c>
      <c r="AA62" s="62">
        <v>7.9386784450285361</v>
      </c>
      <c r="AB62" s="57">
        <v>18.528150291520664</v>
      </c>
    </row>
    <row r="63" spans="1:28" ht="17" thickBot="1">
      <c r="A63" s="7" t="s">
        <v>318</v>
      </c>
      <c r="B63" s="42" t="s">
        <v>319</v>
      </c>
      <c r="C63" s="42" t="s">
        <v>319</v>
      </c>
      <c r="D63" s="7" t="s">
        <v>27</v>
      </c>
      <c r="E63" s="7" t="s">
        <v>320</v>
      </c>
      <c r="F63" s="7" t="s">
        <v>311</v>
      </c>
      <c r="G63" s="7" t="s">
        <v>49</v>
      </c>
      <c r="H63" s="7" t="s">
        <v>33</v>
      </c>
      <c r="I63" s="10">
        <v>0.15293384882044</v>
      </c>
      <c r="J63" s="10">
        <v>0.218207095722348</v>
      </c>
      <c r="K63" s="10">
        <v>0.93788490170061001</v>
      </c>
      <c r="L63" s="10">
        <v>3.5171238769035398</v>
      </c>
      <c r="M63" s="10">
        <v>75.382607502419802</v>
      </c>
      <c r="N63" s="10">
        <v>5.9101316875343599</v>
      </c>
      <c r="O63" s="10">
        <v>0.15637785520706199</v>
      </c>
      <c r="P63" s="10">
        <v>0.191032020156816</v>
      </c>
      <c r="Q63" s="10">
        <v>0.785869191882553</v>
      </c>
      <c r="R63" s="10">
        <v>0</v>
      </c>
      <c r="S63" s="10">
        <v>12.7478320196524</v>
      </c>
      <c r="T63" s="10">
        <v>0</v>
      </c>
      <c r="U63" s="11" t="s">
        <v>321</v>
      </c>
      <c r="V63" s="12">
        <f>SUM(Table227278[[#This Row],[Islet]:[Necrosis]])</f>
        <v>99.999999999999943</v>
      </c>
      <c r="Y63" s="47" t="s">
        <v>21</v>
      </c>
      <c r="Z63" s="53">
        <v>99.999999999999972</v>
      </c>
      <c r="AA63" s="63">
        <v>100.00000000000003</v>
      </c>
      <c r="AB63" s="58">
        <v>100</v>
      </c>
    </row>
    <row r="64" spans="1:28">
      <c r="A64" s="7" t="s">
        <v>322</v>
      </c>
      <c r="B64" s="21" t="s">
        <v>323</v>
      </c>
      <c r="C64" s="21" t="s">
        <v>323</v>
      </c>
      <c r="D64" s="7" t="s">
        <v>27</v>
      </c>
      <c r="E64" s="7" t="s">
        <v>324</v>
      </c>
      <c r="F64" s="7" t="s">
        <v>311</v>
      </c>
      <c r="G64" s="7" t="s">
        <v>49</v>
      </c>
      <c r="H64" s="7" t="s">
        <v>33</v>
      </c>
      <c r="I64" s="10">
        <v>0.24202752528572999</v>
      </c>
      <c r="J64" s="10">
        <v>0.61542931701581904</v>
      </c>
      <c r="K64" s="10">
        <v>1.0370182808031201</v>
      </c>
      <c r="L64" s="10">
        <v>0.40873175231574599</v>
      </c>
      <c r="M64" s="10">
        <v>84.126284886134499</v>
      </c>
      <c r="N64" s="10">
        <v>8.1552024572871407</v>
      </c>
      <c r="O64" s="10">
        <v>5.2771213022446403E-2</v>
      </c>
      <c r="P64" s="10">
        <v>0.38050237439517498</v>
      </c>
      <c r="Q64" s="10">
        <v>9.8068963619740296E-2</v>
      </c>
      <c r="R64" s="10">
        <v>4.8839632301205897</v>
      </c>
      <c r="S64" s="10">
        <v>0</v>
      </c>
      <c r="T64" s="10">
        <v>0</v>
      </c>
      <c r="U64" s="11" t="s">
        <v>325</v>
      </c>
      <c r="V64" s="12">
        <f>SUM(Table227278[[#This Row],[Islet]:[Necrosis]])</f>
        <v>100.00000000000001</v>
      </c>
    </row>
    <row r="65" spans="1:22">
      <c r="A65" s="65" t="s">
        <v>326</v>
      </c>
      <c r="B65" s="21" t="s">
        <v>327</v>
      </c>
      <c r="C65" s="21" t="s">
        <v>327</v>
      </c>
      <c r="D65" s="65" t="s">
        <v>27</v>
      </c>
      <c r="E65" s="65" t="s">
        <v>328</v>
      </c>
      <c r="F65" s="65" t="s">
        <v>329</v>
      </c>
      <c r="G65" s="65" t="s">
        <v>66</v>
      </c>
      <c r="H65" s="7" t="s">
        <v>33</v>
      </c>
      <c r="I65" s="10">
        <v>0.37130586034156399</v>
      </c>
      <c r="J65" s="10">
        <v>0.31740948978178202</v>
      </c>
      <c r="K65" s="10">
        <v>2.0142878048539599</v>
      </c>
      <c r="L65" s="10">
        <v>1.40072606684013</v>
      </c>
      <c r="M65" s="10">
        <v>88.121717290235907</v>
      </c>
      <c r="N65" s="10">
        <v>6.8523168981851201</v>
      </c>
      <c r="O65" s="10">
        <v>1.4831878864676301E-2</v>
      </c>
      <c r="P65" s="10">
        <v>1.8014575181341801E-2</v>
      </c>
      <c r="Q65" s="10">
        <v>0.88939013571552505</v>
      </c>
      <c r="R65" s="10">
        <v>0</v>
      </c>
      <c r="S65" s="10">
        <v>0</v>
      </c>
      <c r="T65" s="10">
        <v>0</v>
      </c>
      <c r="U65" s="66" t="s">
        <v>330</v>
      </c>
      <c r="V65" s="12">
        <f>SUM(Table227278[[#This Row],[Islet]:[Necrosis]])</f>
        <v>100.00000000000001</v>
      </c>
    </row>
    <row r="66" spans="1:22">
      <c r="A66" s="65" t="s">
        <v>331</v>
      </c>
      <c r="B66" s="21" t="s">
        <v>332</v>
      </c>
      <c r="C66" s="21" t="s">
        <v>332</v>
      </c>
      <c r="D66" s="65" t="s">
        <v>27</v>
      </c>
      <c r="E66" s="65" t="s">
        <v>333</v>
      </c>
      <c r="F66" s="65" t="s">
        <v>334</v>
      </c>
      <c r="G66" s="65" t="s">
        <v>66</v>
      </c>
      <c r="H66" s="7" t="s">
        <v>33</v>
      </c>
      <c r="I66" s="10">
        <v>0.23001429435103399</v>
      </c>
      <c r="J66" s="10">
        <v>0.175244699309723</v>
      </c>
      <c r="K66" s="10">
        <v>0.54237780956688897</v>
      </c>
      <c r="L66" s="10">
        <v>0.88520306584504704</v>
      </c>
      <c r="M66" s="10">
        <v>93.432536769979194</v>
      </c>
      <c r="N66" s="10">
        <v>4.0759854566718303</v>
      </c>
      <c r="O66" s="10">
        <v>3.6829267457002199E-3</v>
      </c>
      <c r="P66" s="10">
        <v>1.5416965151464601E-2</v>
      </c>
      <c r="Q66" s="10">
        <v>0.639538012379122</v>
      </c>
      <c r="R66" s="10">
        <v>0</v>
      </c>
      <c r="S66" s="10">
        <v>0</v>
      </c>
      <c r="T66" s="10">
        <v>0</v>
      </c>
      <c r="U66" s="66" t="s">
        <v>335</v>
      </c>
      <c r="V66" s="12">
        <f>SUM(Table227278[[#This Row],[Islet]:[Necrosis]])</f>
        <v>100</v>
      </c>
    </row>
    <row r="67" spans="1:22">
      <c r="A67" s="65" t="s">
        <v>336</v>
      </c>
      <c r="B67" s="21" t="s">
        <v>337</v>
      </c>
      <c r="C67" s="21" t="s">
        <v>338</v>
      </c>
      <c r="D67" s="65" t="s">
        <v>27</v>
      </c>
      <c r="E67" s="65" t="s">
        <v>339</v>
      </c>
      <c r="F67" s="65" t="s">
        <v>340</v>
      </c>
      <c r="G67" s="65" t="s">
        <v>66</v>
      </c>
      <c r="H67" s="7" t="s">
        <v>33</v>
      </c>
      <c r="I67" s="10">
        <v>0.75256692295655203</v>
      </c>
      <c r="J67" s="10">
        <v>0.36260494530769399</v>
      </c>
      <c r="K67" s="10">
        <v>1.37830836633051</v>
      </c>
      <c r="L67" s="10">
        <v>1.16735322108548</v>
      </c>
      <c r="M67" s="10">
        <v>86.823904861637999</v>
      </c>
      <c r="N67" s="10">
        <v>7.9866655796140504</v>
      </c>
      <c r="O67" s="10">
        <v>1.8128241421777699E-2</v>
      </c>
      <c r="P67" s="10">
        <v>5.6716087634825801E-2</v>
      </c>
      <c r="Q67" s="10">
        <v>1.4537517740110699</v>
      </c>
      <c r="R67" s="10">
        <v>0</v>
      </c>
      <c r="S67" s="10">
        <v>0</v>
      </c>
      <c r="T67" s="10">
        <v>0</v>
      </c>
      <c r="U67" s="66" t="s">
        <v>341</v>
      </c>
      <c r="V67" s="12">
        <f>SUM(Table227278[[#This Row],[Islet]:[Necrosis]])</f>
        <v>99.999999999999957</v>
      </c>
    </row>
    <row r="68" spans="1:22">
      <c r="A68" s="65" t="s">
        <v>342</v>
      </c>
      <c r="B68" s="21" t="s">
        <v>343</v>
      </c>
      <c r="C68" s="21" t="s">
        <v>343</v>
      </c>
      <c r="D68" s="65" t="s">
        <v>27</v>
      </c>
      <c r="E68" s="65" t="s">
        <v>344</v>
      </c>
      <c r="F68" s="65" t="s">
        <v>345</v>
      </c>
      <c r="G68" s="65" t="s">
        <v>73</v>
      </c>
      <c r="H68" s="7" t="s">
        <v>33</v>
      </c>
      <c r="I68" s="10">
        <v>0.139984719911839</v>
      </c>
      <c r="J68" s="10">
        <v>0.38104058969671101</v>
      </c>
      <c r="K68" s="10">
        <v>1.42629854003326</v>
      </c>
      <c r="L68" s="10">
        <v>1.1123362166967099</v>
      </c>
      <c r="M68" s="10">
        <v>92.384552039572597</v>
      </c>
      <c r="N68" s="10">
        <v>4.32332439563399</v>
      </c>
      <c r="O68" s="10">
        <v>1.5861151842404401E-3</v>
      </c>
      <c r="P68" s="10">
        <v>1.6719657709761901E-2</v>
      </c>
      <c r="Q68" s="10">
        <v>0.214157725560844</v>
      </c>
      <c r="R68" s="10">
        <v>0</v>
      </c>
      <c r="S68" s="10">
        <v>0</v>
      </c>
      <c r="T68" s="10">
        <v>0</v>
      </c>
      <c r="U68" s="66" t="s">
        <v>346</v>
      </c>
      <c r="V68" s="12">
        <f>SUM(Table227278[[#This Row],[Islet]:[Necrosis]])</f>
        <v>99.999999999999943</v>
      </c>
    </row>
    <row r="69" spans="1:22">
      <c r="A69" s="65" t="s">
        <v>347</v>
      </c>
      <c r="B69" s="21" t="s">
        <v>348</v>
      </c>
      <c r="C69" s="21" t="s">
        <v>348</v>
      </c>
      <c r="D69" s="65" t="s">
        <v>27</v>
      </c>
      <c r="E69" s="65" t="s">
        <v>349</v>
      </c>
      <c r="F69" s="65" t="s">
        <v>345</v>
      </c>
      <c r="G69" s="65" t="s">
        <v>73</v>
      </c>
      <c r="H69" s="7" t="s">
        <v>33</v>
      </c>
      <c r="I69" s="10">
        <v>0.220473800325237</v>
      </c>
      <c r="J69" s="10">
        <v>0.291563502557803</v>
      </c>
      <c r="K69" s="10">
        <v>1.3471486324997799</v>
      </c>
      <c r="L69" s="10">
        <v>8.1324993186773593</v>
      </c>
      <c r="M69" s="10">
        <v>82.460566715340505</v>
      </c>
      <c r="N69" s="10">
        <v>7.1167458655356404</v>
      </c>
      <c r="O69" s="10">
        <v>1.5055708665894401E-3</v>
      </c>
      <c r="P69" s="10">
        <v>6.6913109209041796E-2</v>
      </c>
      <c r="Q69" s="10">
        <v>0.362583484988036</v>
      </c>
      <c r="R69" s="10">
        <v>0</v>
      </c>
      <c r="S69" s="10">
        <v>0</v>
      </c>
      <c r="T69" s="10">
        <v>0</v>
      </c>
      <c r="U69" s="66" t="s">
        <v>350</v>
      </c>
      <c r="V69" s="12">
        <f>SUM(Table227278[[#This Row],[Islet]:[Necrosis]])</f>
        <v>99.999999999999986</v>
      </c>
    </row>
    <row r="70" spans="1:22">
      <c r="A70" s="65" t="s">
        <v>351</v>
      </c>
      <c r="B70" s="21" t="s">
        <v>352</v>
      </c>
      <c r="C70" s="21" t="s">
        <v>352</v>
      </c>
      <c r="D70" s="65" t="s">
        <v>27</v>
      </c>
      <c r="E70" s="65" t="s">
        <v>353</v>
      </c>
      <c r="F70" s="65" t="s">
        <v>354</v>
      </c>
      <c r="G70" s="65" t="s">
        <v>73</v>
      </c>
      <c r="H70" s="7" t="s">
        <v>33</v>
      </c>
      <c r="I70" s="10">
        <v>0.37430600331020097</v>
      </c>
      <c r="J70" s="10">
        <v>0.37379043558935099</v>
      </c>
      <c r="K70" s="10">
        <v>2.3029361044386198</v>
      </c>
      <c r="L70" s="10">
        <v>5.3956157732967602</v>
      </c>
      <c r="M70" s="10">
        <v>80.618692523074401</v>
      </c>
      <c r="N70" s="10">
        <v>9.7349906434693292</v>
      </c>
      <c r="O70" s="10">
        <v>9.2111354593546598E-4</v>
      </c>
      <c r="P70" s="10">
        <v>0.21421007240477</v>
      </c>
      <c r="Q70" s="10">
        <v>0.23824218068309999</v>
      </c>
      <c r="R70" s="10">
        <v>0.74629515018750003</v>
      </c>
      <c r="S70" s="10">
        <v>0</v>
      </c>
      <c r="T70" s="10">
        <v>0</v>
      </c>
      <c r="U70" s="66" t="s">
        <v>355</v>
      </c>
      <c r="V70" s="12">
        <f>SUM(Table227278[[#This Row],[Islet]:[Necrosis]])</f>
        <v>99.999999999999986</v>
      </c>
    </row>
    <row r="71" spans="1:22">
      <c r="A71" s="67" t="s">
        <v>356</v>
      </c>
      <c r="B71" s="68" t="s">
        <v>357</v>
      </c>
      <c r="C71" s="68" t="s">
        <v>357</v>
      </c>
      <c r="D71" s="67" t="s">
        <v>27</v>
      </c>
      <c r="E71" s="67" t="s">
        <v>358</v>
      </c>
      <c r="F71" s="67" t="s">
        <v>359</v>
      </c>
      <c r="G71" s="67" t="s">
        <v>78</v>
      </c>
      <c r="H71" s="7" t="s">
        <v>33</v>
      </c>
      <c r="I71" s="10">
        <v>0.54271130713512705</v>
      </c>
      <c r="J71" s="10">
        <v>1.5889765143158501</v>
      </c>
      <c r="K71" s="10">
        <v>2.00849940373265</v>
      </c>
      <c r="L71" s="10">
        <v>0.376698598673397</v>
      </c>
      <c r="M71" s="10">
        <v>81.750232378626094</v>
      </c>
      <c r="N71" s="10">
        <v>13.2100331247947</v>
      </c>
      <c r="O71" s="10">
        <v>7.3167314556545196E-2</v>
      </c>
      <c r="P71" s="10">
        <v>6.4809725941658597E-2</v>
      </c>
      <c r="Q71" s="10">
        <v>0.38487163222394599</v>
      </c>
      <c r="R71" s="10">
        <v>0</v>
      </c>
      <c r="S71" s="10">
        <v>0</v>
      </c>
      <c r="T71" s="10">
        <v>0</v>
      </c>
      <c r="U71" s="11" t="s">
        <v>360</v>
      </c>
      <c r="V71" s="12">
        <f>SUM(Table227278[[#This Row],[Islet]:[Necrosis]])</f>
        <v>99.999999999999972</v>
      </c>
    </row>
    <row r="72" spans="1:22">
      <c r="A72" s="7" t="s">
        <v>361</v>
      </c>
      <c r="B72" s="21" t="s">
        <v>362</v>
      </c>
      <c r="C72" s="21" t="s">
        <v>362</v>
      </c>
      <c r="D72" s="7" t="s">
        <v>27</v>
      </c>
      <c r="E72" s="7" t="s">
        <v>363</v>
      </c>
      <c r="F72" s="7" t="s">
        <v>364</v>
      </c>
      <c r="G72" s="11" t="s">
        <v>365</v>
      </c>
      <c r="H72" s="7" t="s">
        <v>33</v>
      </c>
      <c r="I72" s="10">
        <v>0.38421183533956099</v>
      </c>
      <c r="J72" s="10">
        <v>0.646490663287274</v>
      </c>
      <c r="K72" s="10">
        <v>1.2777228064528501</v>
      </c>
      <c r="L72" s="10">
        <v>1.4495657967703299</v>
      </c>
      <c r="M72" s="10">
        <v>91.597842365652497</v>
      </c>
      <c r="N72" s="10">
        <v>4.6233475598973302</v>
      </c>
      <c r="O72" s="10">
        <v>3.1638708551974901E-3</v>
      </c>
      <c r="P72" s="10">
        <v>1.00673455399153E-3</v>
      </c>
      <c r="Q72" s="10">
        <v>1.66483671909551E-2</v>
      </c>
      <c r="R72" s="10">
        <v>0</v>
      </c>
      <c r="S72" s="10">
        <v>0</v>
      </c>
      <c r="T72" s="10">
        <v>0</v>
      </c>
      <c r="U72" s="11" t="s">
        <v>366</v>
      </c>
      <c r="V72" s="12">
        <f>SUM(Table227278[[#This Row],[Islet]:[Necrosis]])</f>
        <v>99.999999999999986</v>
      </c>
    </row>
    <row r="73" spans="1:22">
      <c r="A73" s="7" t="s">
        <v>367</v>
      </c>
      <c r="B73" s="21" t="s">
        <v>368</v>
      </c>
      <c r="C73" s="21" t="s">
        <v>368</v>
      </c>
      <c r="D73" s="7" t="s">
        <v>27</v>
      </c>
      <c r="E73" s="7" t="s">
        <v>369</v>
      </c>
      <c r="F73" s="7" t="s">
        <v>364</v>
      </c>
      <c r="G73" s="11" t="s">
        <v>365</v>
      </c>
      <c r="H73" s="7" t="s">
        <v>33</v>
      </c>
      <c r="I73" s="10">
        <v>0.80235679584282804</v>
      </c>
      <c r="J73" s="10">
        <v>0.51039069763439704</v>
      </c>
      <c r="K73" s="10">
        <v>2.40988722971202</v>
      </c>
      <c r="L73" s="10">
        <v>9.0915586545690203</v>
      </c>
      <c r="M73" s="10">
        <v>24.2395910172445</v>
      </c>
      <c r="N73" s="10">
        <v>16.1810390153748</v>
      </c>
      <c r="O73" s="10">
        <v>1.07965420867475E-3</v>
      </c>
      <c r="P73" s="10">
        <v>1.35516897440724E-2</v>
      </c>
      <c r="Q73" s="10">
        <v>0.39290808432894903</v>
      </c>
      <c r="R73" s="10">
        <v>10.1063946457594</v>
      </c>
      <c r="S73" s="10">
        <v>36.251242515581303</v>
      </c>
      <c r="T73" s="10">
        <v>0</v>
      </c>
      <c r="U73" s="11" t="s">
        <v>370</v>
      </c>
      <c r="V73" s="12">
        <f>SUM(Table227278[[#This Row],[Islet]:[Necrosis]])</f>
        <v>99.999999999999972</v>
      </c>
    </row>
    <row r="74" spans="1:22">
      <c r="A74" s="69" t="s">
        <v>371</v>
      </c>
      <c r="B74" s="70">
        <v>4064</v>
      </c>
      <c r="C74" s="70">
        <v>4064</v>
      </c>
      <c r="D74" s="70" t="s">
        <v>27</v>
      </c>
      <c r="E74" s="71">
        <v>1243</v>
      </c>
      <c r="F74" s="70" t="s">
        <v>372</v>
      </c>
      <c r="G74" s="7" t="s">
        <v>119</v>
      </c>
      <c r="H74" s="70" t="s">
        <v>131</v>
      </c>
      <c r="I74" s="10">
        <v>0.48428949369723701</v>
      </c>
      <c r="J74" s="10">
        <v>30.2503283835925</v>
      </c>
      <c r="K74" s="10">
        <v>1.41565821640163</v>
      </c>
      <c r="L74" s="10">
        <v>0.66285944189048696</v>
      </c>
      <c r="M74" s="10">
        <v>1.15722071929211</v>
      </c>
      <c r="N74" s="10">
        <v>44.5494228750376</v>
      </c>
      <c r="O74" s="10">
        <v>0.28212818093661102</v>
      </c>
      <c r="P74" s="10">
        <v>13.65889132667</v>
      </c>
      <c r="Q74" s="10">
        <v>0.262058934062329</v>
      </c>
      <c r="R74" s="10">
        <v>0</v>
      </c>
      <c r="S74" s="10">
        <v>3.0952698648535799</v>
      </c>
      <c r="T74" s="10">
        <v>4.1818725635659701</v>
      </c>
      <c r="U74" s="64" t="s">
        <v>373</v>
      </c>
      <c r="V74" s="12">
        <f>SUM(Table227278[[#This Row],[Islet]:[Necrosis]])</f>
        <v>100.00000000000006</v>
      </c>
    </row>
    <row r="75" spans="1:22">
      <c r="A75" s="70" t="s">
        <v>374</v>
      </c>
      <c r="B75" s="70">
        <v>4163</v>
      </c>
      <c r="C75" s="70">
        <v>4163</v>
      </c>
      <c r="D75" s="70" t="s">
        <v>27</v>
      </c>
      <c r="E75" s="70">
        <v>1283</v>
      </c>
      <c r="F75" s="70" t="s">
        <v>372</v>
      </c>
      <c r="G75" s="7" t="s">
        <v>119</v>
      </c>
      <c r="H75" s="70" t="s">
        <v>131</v>
      </c>
      <c r="I75" s="10">
        <v>0.66121842720100998</v>
      </c>
      <c r="J75" s="10">
        <v>11.1113451302007</v>
      </c>
      <c r="K75" s="10">
        <v>1.3540939395587399</v>
      </c>
      <c r="L75" s="10">
        <v>2.13101788820964</v>
      </c>
      <c r="M75" s="10">
        <v>1.02251137463756</v>
      </c>
      <c r="N75" s="10">
        <v>27.7011096748626</v>
      </c>
      <c r="O75" s="10">
        <v>1.03948878285379</v>
      </c>
      <c r="P75" s="10">
        <v>28.950653730580399</v>
      </c>
      <c r="Q75" s="10">
        <v>0.62100993086202905</v>
      </c>
      <c r="R75" s="10">
        <v>0</v>
      </c>
      <c r="S75" s="10">
        <v>0</v>
      </c>
      <c r="T75" s="10">
        <v>25.407551121033499</v>
      </c>
      <c r="U75" s="11" t="s">
        <v>375</v>
      </c>
      <c r="V75" s="12">
        <f>SUM(Table227278[[#This Row],[Islet]:[Necrosis]])</f>
        <v>99.999999999999972</v>
      </c>
    </row>
    <row r="76" spans="1:22">
      <c r="A76" s="69" t="s">
        <v>376</v>
      </c>
      <c r="B76" s="70" t="s">
        <v>377</v>
      </c>
      <c r="C76" s="70" t="s">
        <v>377</v>
      </c>
      <c r="D76" s="70" t="s">
        <v>27</v>
      </c>
      <c r="E76" s="70">
        <v>13990</v>
      </c>
      <c r="F76" s="70" t="s">
        <v>372</v>
      </c>
      <c r="G76" s="7" t="s">
        <v>119</v>
      </c>
      <c r="H76" s="70" t="s">
        <v>131</v>
      </c>
      <c r="I76" s="10">
        <v>0.26986493432757203</v>
      </c>
      <c r="J76" s="10">
        <v>8.5625809831766801</v>
      </c>
      <c r="K76" s="10">
        <v>1.59534156673302</v>
      </c>
      <c r="L76" s="10">
        <v>3.1259214469936998</v>
      </c>
      <c r="M76" s="10">
        <v>30.516089178034498</v>
      </c>
      <c r="N76" s="10">
        <v>47.429809482854999</v>
      </c>
      <c r="O76" s="10">
        <v>5.9212714087757599</v>
      </c>
      <c r="P76" s="10">
        <v>2.5769868502476201E-2</v>
      </c>
      <c r="Q76" s="10">
        <v>3.6487794913906198E-2</v>
      </c>
      <c r="R76" s="10">
        <v>0</v>
      </c>
      <c r="S76" s="10">
        <v>2.5168633356874701</v>
      </c>
      <c r="T76" s="10">
        <v>0</v>
      </c>
      <c r="U76" s="64" t="s">
        <v>378</v>
      </c>
      <c r="V76" s="12">
        <f>SUM(Table227278[[#This Row],[Islet]:[Necrosis]])</f>
        <v>100.0000000000001</v>
      </c>
    </row>
    <row r="77" spans="1:22">
      <c r="A77" s="69" t="s">
        <v>379</v>
      </c>
      <c r="B77" s="70" t="s">
        <v>380</v>
      </c>
      <c r="C77" s="70" t="s">
        <v>380</v>
      </c>
      <c r="D77" s="70" t="s">
        <v>27</v>
      </c>
      <c r="E77" s="71">
        <v>6395</v>
      </c>
      <c r="F77" s="70" t="s">
        <v>381</v>
      </c>
      <c r="G77" s="7" t="s">
        <v>119</v>
      </c>
      <c r="H77" s="70" t="s">
        <v>118</v>
      </c>
      <c r="I77" s="10">
        <v>0.17934647275111901</v>
      </c>
      <c r="J77" s="10">
        <v>6.5598180230742802</v>
      </c>
      <c r="K77" s="10">
        <v>10.783497095154599</v>
      </c>
      <c r="L77" s="10">
        <v>0.60124342980047996</v>
      </c>
      <c r="M77" s="10">
        <v>1.2378986389623401</v>
      </c>
      <c r="N77" s="10">
        <v>34.329203497957799</v>
      </c>
      <c r="O77" s="10">
        <v>2.0389408191394498</v>
      </c>
      <c r="P77" s="10">
        <v>35.841871650027201</v>
      </c>
      <c r="Q77" s="10">
        <v>0.61173774928515201</v>
      </c>
      <c r="R77" s="10">
        <v>0</v>
      </c>
      <c r="S77" s="10">
        <v>4.8439804475022497</v>
      </c>
      <c r="T77" s="10">
        <v>2.9724621763452901</v>
      </c>
      <c r="U77" s="64" t="s">
        <v>382</v>
      </c>
      <c r="V77" s="12">
        <f>SUM(Table227278[[#This Row],[Islet]:[Necrosis]])</f>
        <v>99.999999999999957</v>
      </c>
    </row>
    <row r="78" spans="1:22">
      <c r="A78" s="70" t="s">
        <v>383</v>
      </c>
      <c r="B78" s="70">
        <v>4100</v>
      </c>
      <c r="C78" s="70">
        <v>4100</v>
      </c>
      <c r="D78" s="70" t="s">
        <v>27</v>
      </c>
      <c r="E78" s="70">
        <v>1244</v>
      </c>
      <c r="F78" s="70" t="s">
        <v>384</v>
      </c>
      <c r="G78" s="7" t="s">
        <v>119</v>
      </c>
      <c r="H78" s="70" t="s">
        <v>126</v>
      </c>
      <c r="I78" s="10">
        <v>0.78337314916438605</v>
      </c>
      <c r="J78" s="10">
        <v>8.5347542149538995</v>
      </c>
      <c r="K78" s="10">
        <v>6.3124193933294297</v>
      </c>
      <c r="L78" s="10">
        <v>0.72547317169109105</v>
      </c>
      <c r="M78" s="10">
        <v>2.3088630265122498</v>
      </c>
      <c r="N78" s="10">
        <v>39.157252162403303</v>
      </c>
      <c r="O78" s="10">
        <v>3.2113608838821102</v>
      </c>
      <c r="P78" s="10">
        <v>15.606172740176101</v>
      </c>
      <c r="Q78" s="10">
        <v>1.87837094460457</v>
      </c>
      <c r="R78" s="10">
        <v>0</v>
      </c>
      <c r="S78" s="10">
        <v>5.8267263074991398</v>
      </c>
      <c r="T78" s="10">
        <v>15.6552340057838</v>
      </c>
      <c r="U78" s="11" t="s">
        <v>385</v>
      </c>
      <c r="V78" s="12">
        <f>SUM(Table227278[[#This Row],[Islet]:[Necrosis]])</f>
        <v>100.00000000000009</v>
      </c>
    </row>
    <row r="79" spans="1:22">
      <c r="A79" s="69" t="s">
        <v>386</v>
      </c>
      <c r="B79" s="70">
        <v>4330</v>
      </c>
      <c r="C79" s="70">
        <v>4330</v>
      </c>
      <c r="D79" s="70" t="s">
        <v>27</v>
      </c>
      <c r="E79" s="71">
        <v>1246</v>
      </c>
      <c r="F79" s="70" t="s">
        <v>384</v>
      </c>
      <c r="G79" s="7" t="s">
        <v>119</v>
      </c>
      <c r="H79" s="70" t="s">
        <v>126</v>
      </c>
      <c r="I79" s="10">
        <v>1.9928342722368</v>
      </c>
      <c r="J79" s="10">
        <v>10.4785096383264</v>
      </c>
      <c r="K79" s="10">
        <v>1.0449836485209101</v>
      </c>
      <c r="L79" s="10">
        <v>0.95404367927379197</v>
      </c>
      <c r="M79" s="10">
        <v>3.3535048788128199E-2</v>
      </c>
      <c r="N79" s="10">
        <v>37.878972871169701</v>
      </c>
      <c r="O79" s="10">
        <v>0.18035751113791701</v>
      </c>
      <c r="P79" s="10">
        <v>36.6731425358576</v>
      </c>
      <c r="Q79" s="10">
        <v>0.244442139465776</v>
      </c>
      <c r="R79" s="10">
        <v>0</v>
      </c>
      <c r="S79" s="10">
        <v>0.43583994827633998</v>
      </c>
      <c r="T79" s="10">
        <v>10.0833387069466</v>
      </c>
      <c r="U79" s="64" t="s">
        <v>387</v>
      </c>
      <c r="V79" s="12">
        <f>SUM(Table227278[[#This Row],[Islet]:[Necrosis]])</f>
        <v>99.999999999999972</v>
      </c>
    </row>
    <row r="80" spans="1:22">
      <c r="A80" s="69" t="s">
        <v>388</v>
      </c>
      <c r="B80" s="70" t="s">
        <v>389</v>
      </c>
      <c r="C80" s="70" t="s">
        <v>389</v>
      </c>
      <c r="D80" s="70" t="s">
        <v>27</v>
      </c>
      <c r="E80" s="71">
        <v>1247</v>
      </c>
      <c r="F80" s="70" t="s">
        <v>384</v>
      </c>
      <c r="G80" s="7" t="s">
        <v>119</v>
      </c>
      <c r="H80" s="70" t="s">
        <v>126</v>
      </c>
      <c r="I80" s="10">
        <v>0.266488338277028</v>
      </c>
      <c r="J80" s="10">
        <v>1.80754762480831</v>
      </c>
      <c r="K80" s="10">
        <v>0.26637940815639199</v>
      </c>
      <c r="L80" s="10">
        <v>0.53467379788561298</v>
      </c>
      <c r="M80" s="10">
        <v>1.06666960595613E-2</v>
      </c>
      <c r="N80" s="10">
        <v>38.489252931915097</v>
      </c>
      <c r="O80" s="10">
        <v>0.74635984012858403</v>
      </c>
      <c r="P80" s="10">
        <v>33.612649395360002</v>
      </c>
      <c r="Q80" s="10">
        <v>0.93708802559983195</v>
      </c>
      <c r="R80" s="10">
        <v>0</v>
      </c>
      <c r="S80" s="10">
        <v>4.5874169465652601</v>
      </c>
      <c r="T80" s="10">
        <v>18.741476995244302</v>
      </c>
      <c r="U80" s="64" t="s">
        <v>390</v>
      </c>
      <c r="V80" s="12">
        <f>SUM(Table227278[[#This Row],[Islet]:[Necrosis]])</f>
        <v>99.999999999999972</v>
      </c>
    </row>
    <row r="81" spans="1:22">
      <c r="A81" s="70" t="s">
        <v>391</v>
      </c>
      <c r="B81" s="70" t="s">
        <v>392</v>
      </c>
      <c r="C81" s="70" t="s">
        <v>392</v>
      </c>
      <c r="D81" s="70" t="s">
        <v>27</v>
      </c>
      <c r="E81" s="70" t="s">
        <v>393</v>
      </c>
      <c r="F81" s="70" t="s">
        <v>384</v>
      </c>
      <c r="G81" s="7" t="s">
        <v>119</v>
      </c>
      <c r="H81" s="70" t="s">
        <v>126</v>
      </c>
      <c r="I81" s="10">
        <v>1.4070046006553101</v>
      </c>
      <c r="J81" s="10">
        <v>4.9911936685820901</v>
      </c>
      <c r="K81" s="10">
        <v>1.46010589858323</v>
      </c>
      <c r="L81" s="10">
        <v>7.0744041972960003</v>
      </c>
      <c r="M81" s="10">
        <v>1.63632854281762</v>
      </c>
      <c r="N81" s="10">
        <v>33.089706288903201</v>
      </c>
      <c r="O81" s="10">
        <v>1.27936071831382</v>
      </c>
      <c r="P81" s="10">
        <v>18.557863453819301</v>
      </c>
      <c r="Q81" s="10">
        <v>0.62348643443835094</v>
      </c>
      <c r="R81" s="10">
        <v>0</v>
      </c>
      <c r="S81" s="10">
        <v>0</v>
      </c>
      <c r="T81" s="10">
        <v>29.880546196591101</v>
      </c>
      <c r="U81" s="11" t="s">
        <v>394</v>
      </c>
      <c r="V81" s="12">
        <f>SUM(Table227278[[#This Row],[Islet]:[Necrosis]])</f>
        <v>100.00000000000001</v>
      </c>
    </row>
    <row r="82" spans="1:22">
      <c r="A82" s="70" t="s">
        <v>395</v>
      </c>
      <c r="B82" s="70" t="s">
        <v>396</v>
      </c>
      <c r="C82" s="70" t="s">
        <v>396</v>
      </c>
      <c r="D82" s="70" t="s">
        <v>27</v>
      </c>
      <c r="E82" s="70">
        <v>1252</v>
      </c>
      <c r="F82" s="70" t="s">
        <v>384</v>
      </c>
      <c r="G82" s="7" t="s">
        <v>119</v>
      </c>
      <c r="H82" s="70" t="s">
        <v>126</v>
      </c>
      <c r="I82" s="10">
        <v>0.74032730764631505</v>
      </c>
      <c r="J82" s="10">
        <v>9.6685642321777898</v>
      </c>
      <c r="K82" s="10">
        <v>1.7070760225397399</v>
      </c>
      <c r="L82" s="10">
        <v>0.25941708040932898</v>
      </c>
      <c r="M82" s="10">
        <v>15.224344231749299</v>
      </c>
      <c r="N82" s="10">
        <v>7.4191581940575002</v>
      </c>
      <c r="O82" s="10">
        <v>0.95332935522527695</v>
      </c>
      <c r="P82" s="10">
        <v>28.987505522783898</v>
      </c>
      <c r="Q82" s="10">
        <v>1.20443438519798</v>
      </c>
      <c r="R82" s="10">
        <v>0</v>
      </c>
      <c r="S82" s="10">
        <v>0</v>
      </c>
      <c r="T82" s="10">
        <v>33.835843668212902</v>
      </c>
      <c r="U82" s="11" t="s">
        <v>397</v>
      </c>
      <c r="V82" s="12">
        <f>SUM(Table227278[[#This Row],[Islet]:[Necrosis]])</f>
        <v>100.00000000000004</v>
      </c>
    </row>
  </sheetData>
  <conditionalFormatting sqref="Z51:Z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1:AA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6 AB2:AM5 AB8:AM10 AB12:AM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6 AB21 AB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1:AB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M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:AM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:AM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M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M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5:AM40 AB32:AM33 AB28:AM30 AB23:AM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4:AM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5:AM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:AM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 AC31 AC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6 AD21 AD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6 AE21 AE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6 AF21 AF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 AG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 AG21 AG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 AH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6 AH21 AH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 AI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 AI21 AI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 AJ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 AJ21 AJ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 AK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6 AK21 AK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 AL21 AL3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:AM6 AL11:AM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 AM21 AM3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CODA_w-nec+KPC_Final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Worth</dc:creator>
  <cp:lastModifiedBy>Patrick Worth</cp:lastModifiedBy>
  <dcterms:created xsi:type="dcterms:W3CDTF">2025-02-26T02:11:53Z</dcterms:created>
  <dcterms:modified xsi:type="dcterms:W3CDTF">2025-08-13T04:02:02Z</dcterms:modified>
</cp:coreProperties>
</file>