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MCNP\dprk-elwr\"/>
    </mc:Choice>
  </mc:AlternateContent>
  <xr:revisionPtr revIDLastSave="0" documentId="13_ncr:1_{B98D9E55-8063-459D-8216-D7EADADD3190}" xr6:coauthVersionLast="47" xr6:coauthVersionMax="47" xr10:uidLastSave="{00000000-0000-0000-0000-000000000000}"/>
  <bookViews>
    <workbookView xWindow="-108" yWindow="-108" windowWidth="30936" windowHeight="17496" activeTab="1" xr2:uid="{00000000-000D-0000-FFFF-FFFF00000000}"/>
  </bookViews>
  <sheets>
    <sheet name="MCODE 3" sheetId="5" r:id="rId1"/>
    <sheet name="Results 3" sheetId="6" r:id="rId2"/>
    <sheet name="MCODE (2)" sheetId="3" r:id="rId3"/>
    <sheet name="MCODE" sheetId="1" r:id="rId4"/>
    <sheet name="Sheet1" sheetId="2" r:id="rId5"/>
    <sheet name="Core 2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78" i="6" l="1"/>
  <c r="AL78" i="6"/>
  <c r="AN78" i="6" s="1"/>
  <c r="AK78" i="6"/>
  <c r="AF78" i="6"/>
  <c r="AD78" i="6"/>
  <c r="AE78" i="6" s="1"/>
  <c r="AH78" i="6" s="1"/>
  <c r="AC78" i="6"/>
  <c r="AB78" i="6"/>
  <c r="Y78" i="6"/>
  <c r="V78" i="6"/>
  <c r="S78" i="6"/>
  <c r="P78" i="6"/>
  <c r="M78" i="6"/>
  <c r="H78" i="6"/>
  <c r="AM77" i="6"/>
  <c r="AL77" i="6"/>
  <c r="AN77" i="6" s="1"/>
  <c r="AK77" i="6"/>
  <c r="AG77" i="6"/>
  <c r="AE77" i="6"/>
  <c r="AD77" i="6"/>
  <c r="AC77" i="6"/>
  <c r="AF77" i="6" s="1"/>
  <c r="AB77" i="6"/>
  <c r="Y77" i="6"/>
  <c r="V77" i="6"/>
  <c r="S77" i="6"/>
  <c r="AH77" i="6" s="1"/>
  <c r="P77" i="6"/>
  <c r="M77" i="6"/>
  <c r="H77" i="6"/>
  <c r="AM76" i="6"/>
  <c r="AL76" i="6"/>
  <c r="AN76" i="6" s="1"/>
  <c r="AK76" i="6"/>
  <c r="AG76" i="6"/>
  <c r="AF76" i="6"/>
  <c r="AD76" i="6"/>
  <c r="AC76" i="6"/>
  <c r="AE76" i="6" s="1"/>
  <c r="AH76" i="6" s="1"/>
  <c r="AB76" i="6"/>
  <c r="Y76" i="6"/>
  <c r="V76" i="6"/>
  <c r="S76" i="6"/>
  <c r="P76" i="6"/>
  <c r="M76" i="6"/>
  <c r="H76" i="6"/>
  <c r="AM75" i="6"/>
  <c r="AL75" i="6"/>
  <c r="AN75" i="6" s="1"/>
  <c r="AK75" i="6"/>
  <c r="AD75" i="6"/>
  <c r="AG75" i="6" s="1"/>
  <c r="AC75" i="6"/>
  <c r="AF75" i="6" s="1"/>
  <c r="AB75" i="6"/>
  <c r="Y75" i="6"/>
  <c r="V75" i="6"/>
  <c r="S75" i="6"/>
  <c r="P75" i="6"/>
  <c r="M75" i="6"/>
  <c r="H75" i="6"/>
  <c r="AM74" i="6"/>
  <c r="AL74" i="6"/>
  <c r="AN74" i="6" s="1"/>
  <c r="AK74" i="6"/>
  <c r="AD74" i="6"/>
  <c r="AG74" i="6" s="1"/>
  <c r="AC74" i="6"/>
  <c r="AF74" i="6" s="1"/>
  <c r="AB74" i="6"/>
  <c r="Y74" i="6"/>
  <c r="V74" i="6"/>
  <c r="S74" i="6"/>
  <c r="P74" i="6"/>
  <c r="M74" i="6"/>
  <c r="H74" i="6"/>
  <c r="AM73" i="6"/>
  <c r="AN73" i="6" s="1"/>
  <c r="AL73" i="6"/>
  <c r="AK73" i="6"/>
  <c r="AD73" i="6"/>
  <c r="AG73" i="6" s="1"/>
  <c r="AC73" i="6"/>
  <c r="AF73" i="6" s="1"/>
  <c r="AB73" i="6"/>
  <c r="Y73" i="6"/>
  <c r="V73" i="6"/>
  <c r="S73" i="6"/>
  <c r="P73" i="6"/>
  <c r="M73" i="6"/>
  <c r="H73" i="6"/>
  <c r="AM72" i="6"/>
  <c r="AL72" i="6"/>
  <c r="AN72" i="6" s="1"/>
  <c r="AK72" i="6"/>
  <c r="AF72" i="6"/>
  <c r="AD72" i="6"/>
  <c r="AG72" i="6" s="1"/>
  <c r="AC72" i="6"/>
  <c r="AE72" i="6" s="1"/>
  <c r="AH72" i="6" s="1"/>
  <c r="AB72" i="6"/>
  <c r="Y72" i="6"/>
  <c r="V72" i="6"/>
  <c r="S72" i="6"/>
  <c r="P72" i="6"/>
  <c r="M72" i="6"/>
  <c r="H72" i="6"/>
  <c r="AM71" i="6"/>
  <c r="AL71" i="6"/>
  <c r="AN71" i="6" s="1"/>
  <c r="AK71" i="6"/>
  <c r="AF71" i="6"/>
  <c r="AD71" i="6"/>
  <c r="AG71" i="6" s="1"/>
  <c r="AC71" i="6"/>
  <c r="AB71" i="6"/>
  <c r="Y71" i="6"/>
  <c r="V71" i="6"/>
  <c r="S71" i="6"/>
  <c r="P71" i="6"/>
  <c r="M71" i="6"/>
  <c r="H71" i="6"/>
  <c r="AN70" i="6"/>
  <c r="AM70" i="6"/>
  <c r="AL70" i="6"/>
  <c r="AK70" i="6"/>
  <c r="AH70" i="6"/>
  <c r="AG70" i="6"/>
  <c r="AF70" i="6"/>
  <c r="AE70" i="6"/>
  <c r="AD70" i="6"/>
  <c r="AC70" i="6"/>
  <c r="AB70" i="6"/>
  <c r="Y70" i="6"/>
  <c r="V70" i="6"/>
  <c r="S70" i="6"/>
  <c r="P70" i="6"/>
  <c r="M70" i="6"/>
  <c r="H70" i="6"/>
  <c r="AM69" i="6"/>
  <c r="AL69" i="6"/>
  <c r="AN69" i="6" s="1"/>
  <c r="AK69" i="6"/>
  <c r="AB69" i="6"/>
  <c r="Y69" i="6"/>
  <c r="V69" i="6"/>
  <c r="S69" i="6"/>
  <c r="H69" i="6"/>
  <c r="AN65" i="6"/>
  <c r="AK65" i="6"/>
  <c r="AF65" i="6"/>
  <c r="AD65" i="6"/>
  <c r="AE65" i="6" s="1"/>
  <c r="AC65" i="6"/>
  <c r="AB65" i="6"/>
  <c r="Y65" i="6"/>
  <c r="V65" i="6"/>
  <c r="S65" i="6"/>
  <c r="AH65" i="6" s="1"/>
  <c r="P65" i="6"/>
  <c r="M65" i="6"/>
  <c r="H65" i="6"/>
  <c r="AN64" i="6"/>
  <c r="AK64" i="6"/>
  <c r="AG64" i="6"/>
  <c r="AF64" i="6"/>
  <c r="AE64" i="6"/>
  <c r="AD64" i="6"/>
  <c r="AC64" i="6"/>
  <c r="AB64" i="6"/>
  <c r="Y64" i="6"/>
  <c r="V64" i="6"/>
  <c r="S64" i="6"/>
  <c r="AH64" i="6" s="1"/>
  <c r="P64" i="6"/>
  <c r="M64" i="6"/>
  <c r="H64" i="6"/>
  <c r="AN63" i="6"/>
  <c r="AK63" i="6"/>
  <c r="AD63" i="6"/>
  <c r="AG63" i="6" s="1"/>
  <c r="AC63" i="6"/>
  <c r="AF63" i="6" s="1"/>
  <c r="AB63" i="6"/>
  <c r="Y63" i="6"/>
  <c r="V63" i="6"/>
  <c r="S63" i="6"/>
  <c r="P63" i="6"/>
  <c r="M63" i="6"/>
  <c r="H63" i="6"/>
  <c r="AN62" i="6"/>
  <c r="AK62" i="6"/>
  <c r="AD62" i="6"/>
  <c r="AG62" i="6" s="1"/>
  <c r="AC62" i="6"/>
  <c r="AF62" i="6" s="1"/>
  <c r="AB62" i="6"/>
  <c r="Y62" i="6"/>
  <c r="V62" i="6"/>
  <c r="S62" i="6"/>
  <c r="P62" i="6"/>
  <c r="M62" i="6"/>
  <c r="H62" i="6"/>
  <c r="AN61" i="6"/>
  <c r="AK61" i="6"/>
  <c r="AD61" i="6"/>
  <c r="AG61" i="6" s="1"/>
  <c r="AC61" i="6"/>
  <c r="AF61" i="6" s="1"/>
  <c r="AB61" i="6"/>
  <c r="Y61" i="6"/>
  <c r="V61" i="6"/>
  <c r="S61" i="6"/>
  <c r="P61" i="6"/>
  <c r="M61" i="6"/>
  <c r="H61" i="6"/>
  <c r="AN60" i="6"/>
  <c r="AK60" i="6"/>
  <c r="AG60" i="6"/>
  <c r="AD60" i="6"/>
  <c r="AC60" i="6"/>
  <c r="AF60" i="6" s="1"/>
  <c r="AB60" i="6"/>
  <c r="Y60" i="6"/>
  <c r="V60" i="6"/>
  <c r="S60" i="6"/>
  <c r="P60" i="6"/>
  <c r="M60" i="6"/>
  <c r="H60" i="6"/>
  <c r="AN59" i="6"/>
  <c r="AK59" i="6"/>
  <c r="AG59" i="6"/>
  <c r="AD59" i="6"/>
  <c r="AC59" i="6"/>
  <c r="AF59" i="6" s="1"/>
  <c r="AB59" i="6"/>
  <c r="Y59" i="6"/>
  <c r="V59" i="6"/>
  <c r="S59" i="6"/>
  <c r="P59" i="6"/>
  <c r="M59" i="6"/>
  <c r="H59" i="6"/>
  <c r="AN58" i="6"/>
  <c r="AK58" i="6"/>
  <c r="AH58" i="6"/>
  <c r="AG58" i="6"/>
  <c r="AF58" i="6"/>
  <c r="AE58" i="6"/>
  <c r="AD58" i="6"/>
  <c r="AC58" i="6"/>
  <c r="AB58" i="6"/>
  <c r="Y58" i="6"/>
  <c r="V58" i="6"/>
  <c r="S58" i="6"/>
  <c r="P58" i="6"/>
  <c r="M58" i="6"/>
  <c r="H58" i="6"/>
  <c r="AN57" i="6"/>
  <c r="AK57" i="6"/>
  <c r="AG57" i="6"/>
  <c r="AF57" i="6"/>
  <c r="AE57" i="6"/>
  <c r="AD57" i="6"/>
  <c r="AC57" i="6"/>
  <c r="AB57" i="6"/>
  <c r="Y57" i="6"/>
  <c r="V57" i="6"/>
  <c r="S57" i="6"/>
  <c r="AH57" i="6" s="1"/>
  <c r="P57" i="6"/>
  <c r="M57" i="6"/>
  <c r="H57" i="6"/>
  <c r="AN56" i="6"/>
  <c r="AK56" i="6"/>
  <c r="AB56" i="6"/>
  <c r="Y56" i="6"/>
  <c r="V56" i="6"/>
  <c r="S56" i="6"/>
  <c r="H56" i="6"/>
  <c r="AN52" i="6"/>
  <c r="AM52" i="6"/>
  <c r="AL52" i="6"/>
  <c r="AK52" i="6"/>
  <c r="AG52" i="6"/>
  <c r="AF52" i="6"/>
  <c r="AD52" i="6"/>
  <c r="AC52" i="6"/>
  <c r="AE52" i="6" s="1"/>
  <c r="AB52" i="6"/>
  <c r="Y52" i="6"/>
  <c r="V52" i="6"/>
  <c r="S52" i="6"/>
  <c r="P52" i="6"/>
  <c r="M52" i="6"/>
  <c r="H52" i="6"/>
  <c r="AM51" i="6"/>
  <c r="AL51" i="6"/>
  <c r="AN51" i="6" s="1"/>
  <c r="AK51" i="6"/>
  <c r="AG51" i="6"/>
  <c r="AF51" i="6"/>
  <c r="AE51" i="6"/>
  <c r="AD51" i="6"/>
  <c r="AC51" i="6"/>
  <c r="AB51" i="6"/>
  <c r="Y51" i="6"/>
  <c r="V51" i="6"/>
  <c r="S51" i="6"/>
  <c r="AH51" i="6" s="1"/>
  <c r="P51" i="6"/>
  <c r="M51" i="6"/>
  <c r="H51" i="6"/>
  <c r="AM50" i="6"/>
  <c r="AL50" i="6"/>
  <c r="AN50" i="6" s="1"/>
  <c r="AK50" i="6"/>
  <c r="AD50" i="6"/>
  <c r="AG50" i="6" s="1"/>
  <c r="AC50" i="6"/>
  <c r="AF50" i="6" s="1"/>
  <c r="AB50" i="6"/>
  <c r="Y50" i="6"/>
  <c r="V50" i="6"/>
  <c r="S50" i="6"/>
  <c r="P50" i="6"/>
  <c r="M50" i="6"/>
  <c r="H50" i="6"/>
  <c r="AM49" i="6"/>
  <c r="AL49" i="6"/>
  <c r="AN49" i="6" s="1"/>
  <c r="AK49" i="6"/>
  <c r="AG49" i="6"/>
  <c r="AD49" i="6"/>
  <c r="AC49" i="6"/>
  <c r="AF49" i="6" s="1"/>
  <c r="AB49" i="6"/>
  <c r="Y49" i="6"/>
  <c r="V49" i="6"/>
  <c r="S49" i="6"/>
  <c r="P49" i="6"/>
  <c r="M49" i="6"/>
  <c r="H49" i="6"/>
  <c r="AM48" i="6"/>
  <c r="AL48" i="6"/>
  <c r="AN48" i="6" s="1"/>
  <c r="AK48" i="6"/>
  <c r="AD48" i="6"/>
  <c r="AG48" i="6" s="1"/>
  <c r="AC48" i="6"/>
  <c r="AE48" i="6" s="1"/>
  <c r="AB48" i="6"/>
  <c r="Y48" i="6"/>
  <c r="V48" i="6"/>
  <c r="S48" i="6"/>
  <c r="AH48" i="6" s="1"/>
  <c r="P48" i="6"/>
  <c r="M48" i="6"/>
  <c r="H48" i="6"/>
  <c r="AM47" i="6"/>
  <c r="AL47" i="6"/>
  <c r="AN47" i="6" s="1"/>
  <c r="AK47" i="6"/>
  <c r="AE47" i="6"/>
  <c r="AH47" i="6" s="1"/>
  <c r="AD47" i="6"/>
  <c r="AG47" i="6" s="1"/>
  <c r="AC47" i="6"/>
  <c r="AF47" i="6" s="1"/>
  <c r="AB47" i="6"/>
  <c r="Y47" i="6"/>
  <c r="V47" i="6"/>
  <c r="S47" i="6"/>
  <c r="P47" i="6"/>
  <c r="M47" i="6"/>
  <c r="H47" i="6"/>
  <c r="AN46" i="6"/>
  <c r="AM46" i="6"/>
  <c r="AL46" i="6"/>
  <c r="AK46" i="6"/>
  <c r="AD46" i="6"/>
  <c r="AG46" i="6" s="1"/>
  <c r="AC46" i="6"/>
  <c r="AF46" i="6" s="1"/>
  <c r="AB46" i="6"/>
  <c r="Y46" i="6"/>
  <c r="V46" i="6"/>
  <c r="S46" i="6"/>
  <c r="P46" i="6"/>
  <c r="M46" i="6"/>
  <c r="H46" i="6"/>
  <c r="AM45" i="6"/>
  <c r="AN45" i="6" s="1"/>
  <c r="AL45" i="6"/>
  <c r="AK45" i="6"/>
  <c r="AG45" i="6"/>
  <c r="AF45" i="6"/>
  <c r="AE45" i="6"/>
  <c r="AH45" i="6" s="1"/>
  <c r="AD45" i="6"/>
  <c r="AC45" i="6"/>
  <c r="AB45" i="6"/>
  <c r="Y45" i="6"/>
  <c r="V45" i="6"/>
  <c r="S45" i="6"/>
  <c r="P45" i="6"/>
  <c r="M45" i="6"/>
  <c r="H45" i="6"/>
  <c r="AN44" i="6"/>
  <c r="AM44" i="6"/>
  <c r="AL44" i="6"/>
  <c r="AK44" i="6"/>
  <c r="AG44" i="6"/>
  <c r="AF44" i="6"/>
  <c r="AE44" i="6"/>
  <c r="AD44" i="6"/>
  <c r="AC44" i="6"/>
  <c r="AB44" i="6"/>
  <c r="Y44" i="6"/>
  <c r="V44" i="6"/>
  <c r="S44" i="6"/>
  <c r="AH44" i="6" s="1"/>
  <c r="P44" i="6"/>
  <c r="M44" i="6"/>
  <c r="H44" i="6"/>
  <c r="AM43" i="6"/>
  <c r="AL43" i="6"/>
  <c r="AN43" i="6" s="1"/>
  <c r="AK43" i="6"/>
  <c r="AB43" i="6"/>
  <c r="Y43" i="6"/>
  <c r="V43" i="6"/>
  <c r="S43" i="6"/>
  <c r="H43" i="6"/>
  <c r="AN39" i="6"/>
  <c r="AL39" i="6"/>
  <c r="AK39" i="6"/>
  <c r="AG39" i="6"/>
  <c r="AE39" i="6"/>
  <c r="AD39" i="6"/>
  <c r="AC39" i="6"/>
  <c r="AF39" i="6" s="1"/>
  <c r="AB39" i="6"/>
  <c r="Y39" i="6"/>
  <c r="V39" i="6"/>
  <c r="S39" i="6"/>
  <c r="AH39" i="6" s="1"/>
  <c r="P39" i="6"/>
  <c r="M39" i="6"/>
  <c r="H39" i="6"/>
  <c r="AL38" i="6"/>
  <c r="AN38" i="6" s="1"/>
  <c r="AK38" i="6"/>
  <c r="AF38" i="6"/>
  <c r="AE38" i="6"/>
  <c r="AD38" i="6"/>
  <c r="AG38" i="6" s="1"/>
  <c r="AC38" i="6"/>
  <c r="AB38" i="6"/>
  <c r="Y38" i="6"/>
  <c r="V38" i="6"/>
  <c r="S38" i="6"/>
  <c r="AH38" i="6" s="1"/>
  <c r="P38" i="6"/>
  <c r="M38" i="6"/>
  <c r="H38" i="6"/>
  <c r="AN37" i="6"/>
  <c r="AL37" i="6"/>
  <c r="AK37" i="6"/>
  <c r="AG37" i="6"/>
  <c r="AE37" i="6"/>
  <c r="AD37" i="6"/>
  <c r="AC37" i="6"/>
  <c r="AF37" i="6" s="1"/>
  <c r="AB37" i="6"/>
  <c r="Y37" i="6"/>
  <c r="V37" i="6"/>
  <c r="S37" i="6"/>
  <c r="AH37" i="6" s="1"/>
  <c r="P37" i="6"/>
  <c r="M37" i="6"/>
  <c r="H37" i="6"/>
  <c r="AL36" i="6"/>
  <c r="AN36" i="6" s="1"/>
  <c r="AK36" i="6"/>
  <c r="AF36" i="6"/>
  <c r="AE36" i="6"/>
  <c r="AD36" i="6"/>
  <c r="AG36" i="6" s="1"/>
  <c r="AC36" i="6"/>
  <c r="AB36" i="6"/>
  <c r="Y36" i="6"/>
  <c r="V36" i="6"/>
  <c r="S36" i="6"/>
  <c r="AH36" i="6" s="1"/>
  <c r="P36" i="6"/>
  <c r="M36" i="6"/>
  <c r="H36" i="6"/>
  <c r="AN35" i="6"/>
  <c r="AL35" i="6"/>
  <c r="AK35" i="6"/>
  <c r="AG35" i="6"/>
  <c r="AE35" i="6"/>
  <c r="AD35" i="6"/>
  <c r="AC35" i="6"/>
  <c r="AF35" i="6" s="1"/>
  <c r="AB35" i="6"/>
  <c r="Y35" i="6"/>
  <c r="V35" i="6"/>
  <c r="S35" i="6"/>
  <c r="AH35" i="6" s="1"/>
  <c r="P35" i="6"/>
  <c r="M35" i="6"/>
  <c r="H35" i="6"/>
  <c r="AL34" i="6"/>
  <c r="AN34" i="6" s="1"/>
  <c r="AK34" i="6"/>
  <c r="AF34" i="6"/>
  <c r="AE34" i="6"/>
  <c r="AD34" i="6"/>
  <c r="AG34" i="6" s="1"/>
  <c r="AC34" i="6"/>
  <c r="AB34" i="6"/>
  <c r="Y34" i="6"/>
  <c r="V34" i="6"/>
  <c r="S34" i="6"/>
  <c r="AH34" i="6" s="1"/>
  <c r="P34" i="6"/>
  <c r="M34" i="6"/>
  <c r="H34" i="6"/>
  <c r="AN33" i="6"/>
  <c r="AL33" i="6"/>
  <c r="AK33" i="6"/>
  <c r="AG33" i="6"/>
  <c r="AE33" i="6"/>
  <c r="AD33" i="6"/>
  <c r="AC33" i="6"/>
  <c r="AF33" i="6" s="1"/>
  <c r="AB33" i="6"/>
  <c r="Y33" i="6"/>
  <c r="V33" i="6"/>
  <c r="S33" i="6"/>
  <c r="AH33" i="6" s="1"/>
  <c r="P33" i="6"/>
  <c r="M33" i="6"/>
  <c r="H33" i="6"/>
  <c r="AL32" i="6"/>
  <c r="AN32" i="6" s="1"/>
  <c r="AK32" i="6"/>
  <c r="AF32" i="6"/>
  <c r="AE32" i="6"/>
  <c r="AD32" i="6"/>
  <c r="AG32" i="6" s="1"/>
  <c r="AC32" i="6"/>
  <c r="AB32" i="6"/>
  <c r="Y32" i="6"/>
  <c r="V32" i="6"/>
  <c r="S32" i="6"/>
  <c r="AH32" i="6" s="1"/>
  <c r="P32" i="6"/>
  <c r="M32" i="6"/>
  <c r="H32" i="6"/>
  <c r="AL31" i="6"/>
  <c r="AN31" i="6" s="1"/>
  <c r="AK31" i="6"/>
  <c r="AG31" i="6"/>
  <c r="AE31" i="6"/>
  <c r="AD31" i="6"/>
  <c r="AC31" i="6"/>
  <c r="AF31" i="6" s="1"/>
  <c r="AB31" i="6"/>
  <c r="Y31" i="6"/>
  <c r="V31" i="6"/>
  <c r="S31" i="6"/>
  <c r="AH31" i="6" s="1"/>
  <c r="P31" i="6"/>
  <c r="M31" i="6"/>
  <c r="H31" i="6"/>
  <c r="AL30" i="6"/>
  <c r="AN30" i="6" s="1"/>
  <c r="AK30" i="6"/>
  <c r="AB30" i="6"/>
  <c r="Y30" i="6"/>
  <c r="V30" i="6"/>
  <c r="S30" i="6"/>
  <c r="H30" i="6"/>
  <c r="AF26" i="6"/>
  <c r="AD26" i="6"/>
  <c r="AG26" i="6" s="1"/>
  <c r="AC26" i="6"/>
  <c r="AE26" i="6" s="1"/>
  <c r="AH26" i="6" s="1"/>
  <c r="AB26" i="6"/>
  <c r="Y26" i="6"/>
  <c r="V26" i="6"/>
  <c r="S26" i="6"/>
  <c r="P26" i="6"/>
  <c r="M26" i="6"/>
  <c r="H26" i="6"/>
  <c r="AD25" i="6"/>
  <c r="AG25" i="6" s="1"/>
  <c r="AC25" i="6"/>
  <c r="AF25" i="6" s="1"/>
  <c r="AB25" i="6"/>
  <c r="Y25" i="6"/>
  <c r="V25" i="6"/>
  <c r="S25" i="6"/>
  <c r="P25" i="6"/>
  <c r="M25" i="6"/>
  <c r="H25" i="6"/>
  <c r="AD24" i="6"/>
  <c r="AG24" i="6" s="1"/>
  <c r="AC24" i="6"/>
  <c r="AF24" i="6" s="1"/>
  <c r="AB24" i="6"/>
  <c r="Y24" i="6"/>
  <c r="V24" i="6"/>
  <c r="S24" i="6"/>
  <c r="P24" i="6"/>
  <c r="M24" i="6"/>
  <c r="H24" i="6"/>
  <c r="AD23" i="6"/>
  <c r="AG23" i="6" s="1"/>
  <c r="AC23" i="6"/>
  <c r="AF23" i="6" s="1"/>
  <c r="AB23" i="6"/>
  <c r="Y23" i="6"/>
  <c r="V23" i="6"/>
  <c r="S23" i="6"/>
  <c r="P23" i="6"/>
  <c r="M23" i="6"/>
  <c r="H23" i="6"/>
  <c r="AD22" i="6"/>
  <c r="AG22" i="6" s="1"/>
  <c r="AC22" i="6"/>
  <c r="AF22" i="6" s="1"/>
  <c r="AB22" i="6"/>
  <c r="Y22" i="6"/>
  <c r="V22" i="6"/>
  <c r="S22" i="6"/>
  <c r="P22" i="6"/>
  <c r="M22" i="6"/>
  <c r="H22" i="6"/>
  <c r="AG21" i="6"/>
  <c r="AF21" i="6"/>
  <c r="AE21" i="6"/>
  <c r="AH21" i="6" s="1"/>
  <c r="AD21" i="6"/>
  <c r="AC21" i="6"/>
  <c r="AB21" i="6"/>
  <c r="Y21" i="6"/>
  <c r="V21" i="6"/>
  <c r="S21" i="6"/>
  <c r="P21" i="6"/>
  <c r="M21" i="6"/>
  <c r="H21" i="6"/>
  <c r="AD20" i="6"/>
  <c r="AG20" i="6" s="1"/>
  <c r="AC20" i="6"/>
  <c r="AE20" i="6" s="1"/>
  <c r="AB20" i="6"/>
  <c r="Y20" i="6"/>
  <c r="V20" i="6"/>
  <c r="S20" i="6"/>
  <c r="AH20" i="6" s="1"/>
  <c r="P20" i="6"/>
  <c r="M20" i="6"/>
  <c r="H20" i="6"/>
  <c r="AF19" i="6"/>
  <c r="AE19" i="6"/>
  <c r="AD19" i="6"/>
  <c r="AG19" i="6" s="1"/>
  <c r="AC19" i="6"/>
  <c r="AB19" i="6"/>
  <c r="Y19" i="6"/>
  <c r="V19" i="6"/>
  <c r="S19" i="6"/>
  <c r="AH19" i="6" s="1"/>
  <c r="P19" i="6"/>
  <c r="M19" i="6"/>
  <c r="H19" i="6"/>
  <c r="AF18" i="6"/>
  <c r="AD18" i="6"/>
  <c r="AG18" i="6" s="1"/>
  <c r="AC18" i="6"/>
  <c r="AB18" i="6"/>
  <c r="Y18" i="6"/>
  <c r="V18" i="6"/>
  <c r="S18" i="6"/>
  <c r="P18" i="6"/>
  <c r="M18" i="6"/>
  <c r="H18" i="6"/>
  <c r="AD17" i="6"/>
  <c r="AC17" i="6"/>
  <c r="AB17" i="6"/>
  <c r="Y17" i="6"/>
  <c r="V17" i="6"/>
  <c r="S17" i="6"/>
  <c r="H17" i="6"/>
  <c r="AG13" i="6"/>
  <c r="AF13" i="6"/>
  <c r="AE13" i="6"/>
  <c r="AC13" i="6"/>
  <c r="AB13" i="6"/>
  <c r="Y13" i="6"/>
  <c r="V13" i="6"/>
  <c r="S13" i="6"/>
  <c r="AH13" i="6" s="1"/>
  <c r="P13" i="6"/>
  <c r="M13" i="6"/>
  <c r="H13" i="6"/>
  <c r="AG12" i="6"/>
  <c r="AC12" i="6"/>
  <c r="AE12" i="6" s="1"/>
  <c r="AB12" i="6"/>
  <c r="Y12" i="6"/>
  <c r="V12" i="6"/>
  <c r="S12" i="6"/>
  <c r="AH12" i="6" s="1"/>
  <c r="P12" i="6"/>
  <c r="M12" i="6"/>
  <c r="H12" i="6"/>
  <c r="AG11" i="6"/>
  <c r="AC11" i="6"/>
  <c r="AF11" i="6" s="1"/>
  <c r="AB11" i="6"/>
  <c r="Y11" i="6"/>
  <c r="V11" i="6"/>
  <c r="S11" i="6"/>
  <c r="P11" i="6"/>
  <c r="M11" i="6"/>
  <c r="H11" i="6"/>
  <c r="AG10" i="6"/>
  <c r="AF10" i="6"/>
  <c r="AC10" i="6"/>
  <c r="AE10" i="6" s="1"/>
  <c r="AH10" i="6" s="1"/>
  <c r="AB10" i="6"/>
  <c r="Y10" i="6"/>
  <c r="V10" i="6"/>
  <c r="S10" i="6"/>
  <c r="P10" i="6"/>
  <c r="M10" i="6"/>
  <c r="H10" i="6"/>
  <c r="AG9" i="6"/>
  <c r="AF9" i="6"/>
  <c r="AC9" i="6"/>
  <c r="AE9" i="6" s="1"/>
  <c r="AB9" i="6"/>
  <c r="Y9" i="6"/>
  <c r="V9" i="6"/>
  <c r="S9" i="6"/>
  <c r="AH9" i="6" s="1"/>
  <c r="P9" i="6"/>
  <c r="M9" i="6"/>
  <c r="H9" i="6"/>
  <c r="AG8" i="6"/>
  <c r="AC8" i="6"/>
  <c r="AE8" i="6" s="1"/>
  <c r="AB8" i="6"/>
  <c r="Y8" i="6"/>
  <c r="V8" i="6"/>
  <c r="S8" i="6"/>
  <c r="AH8" i="6" s="1"/>
  <c r="P8" i="6"/>
  <c r="M8" i="6"/>
  <c r="H8" i="6"/>
  <c r="AG7" i="6"/>
  <c r="AF7" i="6"/>
  <c r="AC7" i="6"/>
  <c r="AE7" i="6" s="1"/>
  <c r="AH7" i="6" s="1"/>
  <c r="AB7" i="6"/>
  <c r="Y7" i="6"/>
  <c r="V7" i="6"/>
  <c r="S7" i="6"/>
  <c r="P7" i="6"/>
  <c r="M7" i="6"/>
  <c r="H7" i="6"/>
  <c r="AG6" i="6"/>
  <c r="AC6" i="6"/>
  <c r="AF6" i="6" s="1"/>
  <c r="AB6" i="6"/>
  <c r="Y6" i="6"/>
  <c r="V6" i="6"/>
  <c r="S6" i="6"/>
  <c r="P6" i="6"/>
  <c r="M6" i="6"/>
  <c r="H6" i="6"/>
  <c r="AG5" i="6"/>
  <c r="AF5" i="6"/>
  <c r="AE5" i="6"/>
  <c r="AC5" i="6"/>
  <c r="AB5" i="6"/>
  <c r="Y5" i="6"/>
  <c r="V5" i="6"/>
  <c r="S5" i="6"/>
  <c r="AH5" i="6" s="1"/>
  <c r="P5" i="6"/>
  <c r="M5" i="6"/>
  <c r="H5" i="6"/>
  <c r="H4" i="6"/>
  <c r="U13" i="5"/>
  <c r="W13" i="5" s="1"/>
  <c r="T13" i="5"/>
  <c r="V13" i="5" s="1"/>
  <c r="M13" i="5"/>
  <c r="Z13" i="5" s="1"/>
  <c r="L13" i="5"/>
  <c r="N13" i="5" s="1"/>
  <c r="G13" i="5"/>
  <c r="G12" i="5"/>
  <c r="U12" i="5" s="1"/>
  <c r="W12" i="5" s="1"/>
  <c r="T11" i="5"/>
  <c r="V11" i="5" s="1"/>
  <c r="G11" i="5"/>
  <c r="M11" i="5" s="1"/>
  <c r="U10" i="5"/>
  <c r="W10" i="5" s="1"/>
  <c r="T10" i="5"/>
  <c r="V10" i="5" s="1"/>
  <c r="G10" i="5"/>
  <c r="M10" i="5" s="1"/>
  <c r="D10" i="5"/>
  <c r="G9" i="5"/>
  <c r="U9" i="5" s="1"/>
  <c r="W9" i="5" s="1"/>
  <c r="G8" i="5"/>
  <c r="L8" i="5" s="1"/>
  <c r="D8" i="5"/>
  <c r="F2" i="5"/>
  <c r="AA13" i="3"/>
  <c r="U13" i="3"/>
  <c r="W13" i="3" s="1"/>
  <c r="T13" i="3"/>
  <c r="V13" i="3" s="1"/>
  <c r="G13" i="3"/>
  <c r="M13" i="3" s="1"/>
  <c r="AG24" i="4"/>
  <c r="AG23" i="4"/>
  <c r="AG22" i="4"/>
  <c r="AG21" i="4"/>
  <c r="AG20" i="4"/>
  <c r="AG19" i="4"/>
  <c r="AG18" i="4"/>
  <c r="AF19" i="4"/>
  <c r="AF20" i="4"/>
  <c r="AF21" i="4"/>
  <c r="AF22" i="4"/>
  <c r="AF23" i="4"/>
  <c r="AF24" i="4"/>
  <c r="AF18" i="4"/>
  <c r="AC17" i="4"/>
  <c r="AD17" i="4"/>
  <c r="AD18" i="4"/>
  <c r="AD19" i="4"/>
  <c r="AD20" i="4"/>
  <c r="AD21" i="4"/>
  <c r="AD22" i="4"/>
  <c r="AD23" i="4"/>
  <c r="AD24" i="4"/>
  <c r="AC19" i="4"/>
  <c r="AC20" i="4"/>
  <c r="AC21" i="4"/>
  <c r="AC22" i="4"/>
  <c r="AC23" i="4"/>
  <c r="AC24" i="4"/>
  <c r="AC18" i="4"/>
  <c r="AC72" i="4"/>
  <c r="AG78" i="4"/>
  <c r="AG77" i="4"/>
  <c r="AG76" i="4"/>
  <c r="AG75" i="4"/>
  <c r="AG74" i="4"/>
  <c r="AG73" i="4"/>
  <c r="AG72" i="4"/>
  <c r="AG71" i="4"/>
  <c r="AG70" i="4"/>
  <c r="AF71" i="4"/>
  <c r="AF72" i="4"/>
  <c r="AF73" i="4"/>
  <c r="AF74" i="4"/>
  <c r="AF75" i="4"/>
  <c r="AF76" i="4"/>
  <c r="AF77" i="4"/>
  <c r="AF78" i="4"/>
  <c r="AF70" i="4"/>
  <c r="AD78" i="4"/>
  <c r="AD77" i="4"/>
  <c r="AD76" i="4"/>
  <c r="AD75" i="4"/>
  <c r="AD74" i="4"/>
  <c r="AD73" i="4"/>
  <c r="AD72" i="4"/>
  <c r="AD71" i="4"/>
  <c r="AD70" i="4"/>
  <c r="AC71" i="4"/>
  <c r="AC73" i="4"/>
  <c r="AC74" i="4"/>
  <c r="AC75" i="4"/>
  <c r="AC76" i="4"/>
  <c r="AC77" i="4"/>
  <c r="AC78" i="4"/>
  <c r="AC70" i="4"/>
  <c r="AE70" i="4" s="1"/>
  <c r="AK78" i="4"/>
  <c r="AK77" i="4"/>
  <c r="AK76" i="4"/>
  <c r="AK75" i="4"/>
  <c r="AK74" i="4"/>
  <c r="AK73" i="4"/>
  <c r="AK72" i="4"/>
  <c r="AK71" i="4"/>
  <c r="AK70" i="4"/>
  <c r="AK69" i="4"/>
  <c r="AM78" i="4"/>
  <c r="AL78" i="4"/>
  <c r="AM77" i="4"/>
  <c r="AL77" i="4"/>
  <c r="AN77" i="4" s="1"/>
  <c r="AM76" i="4"/>
  <c r="AN76" i="4" s="1"/>
  <c r="AL76" i="4"/>
  <c r="AM75" i="4"/>
  <c r="AL75" i="4"/>
  <c r="AN75" i="4" s="1"/>
  <c r="AM74" i="4"/>
  <c r="AL74" i="4"/>
  <c r="AM73" i="4"/>
  <c r="AL73" i="4"/>
  <c r="AM72" i="4"/>
  <c r="AL72" i="4"/>
  <c r="AM71" i="4"/>
  <c r="AL71" i="4"/>
  <c r="AN71" i="4" s="1"/>
  <c r="AM70" i="4"/>
  <c r="AL70" i="4"/>
  <c r="AN70" i="4" s="1"/>
  <c r="AM69" i="4"/>
  <c r="AN69" i="4" s="1"/>
  <c r="AL69" i="4"/>
  <c r="AD26" i="4"/>
  <c r="AG26" i="4" s="1"/>
  <c r="AC26" i="4"/>
  <c r="AF26" i="4" s="1"/>
  <c r="AB26" i="4"/>
  <c r="Y26" i="4"/>
  <c r="V26" i="4"/>
  <c r="S26" i="4"/>
  <c r="P26" i="4"/>
  <c r="M26" i="4"/>
  <c r="H26" i="4"/>
  <c r="AD25" i="4"/>
  <c r="AG25" i="4" s="1"/>
  <c r="AC25" i="4"/>
  <c r="AF25" i="4" s="1"/>
  <c r="AB25" i="4"/>
  <c r="Y25" i="4"/>
  <c r="V25" i="4"/>
  <c r="S25" i="4"/>
  <c r="P25" i="4"/>
  <c r="M25" i="4"/>
  <c r="H25" i="4"/>
  <c r="AB24" i="4"/>
  <c r="Y24" i="4"/>
  <c r="V24" i="4"/>
  <c r="S24" i="4"/>
  <c r="P24" i="4"/>
  <c r="M24" i="4"/>
  <c r="H24" i="4"/>
  <c r="AB23" i="4"/>
  <c r="Y23" i="4"/>
  <c r="V23" i="4"/>
  <c r="S23" i="4"/>
  <c r="P23" i="4"/>
  <c r="M23" i="4"/>
  <c r="H23" i="4"/>
  <c r="AB22" i="4"/>
  <c r="Y22" i="4"/>
  <c r="V22" i="4"/>
  <c r="S22" i="4"/>
  <c r="P22" i="4"/>
  <c r="M22" i="4"/>
  <c r="H22" i="4"/>
  <c r="AB21" i="4"/>
  <c r="Y21" i="4"/>
  <c r="V21" i="4"/>
  <c r="S21" i="4"/>
  <c r="P21" i="4"/>
  <c r="M21" i="4"/>
  <c r="H21" i="4"/>
  <c r="AB20" i="4"/>
  <c r="Y20" i="4"/>
  <c r="V20" i="4"/>
  <c r="S20" i="4"/>
  <c r="P20" i="4"/>
  <c r="M20" i="4"/>
  <c r="H20" i="4"/>
  <c r="AB19" i="4"/>
  <c r="Y19" i="4"/>
  <c r="V19" i="4"/>
  <c r="S19" i="4"/>
  <c r="P19" i="4"/>
  <c r="M19" i="4"/>
  <c r="H19" i="4"/>
  <c r="AB18" i="4"/>
  <c r="Y18" i="4"/>
  <c r="V18" i="4"/>
  <c r="S18" i="4"/>
  <c r="P18" i="4"/>
  <c r="M18" i="4"/>
  <c r="H18" i="4"/>
  <c r="AB17" i="4"/>
  <c r="Y17" i="4"/>
  <c r="V17" i="4"/>
  <c r="S17" i="4"/>
  <c r="H17" i="4"/>
  <c r="AN78" i="4"/>
  <c r="AB78" i="4"/>
  <c r="Y78" i="4"/>
  <c r="V78" i="4"/>
  <c r="S78" i="4"/>
  <c r="P78" i="4"/>
  <c r="M78" i="4"/>
  <c r="H78" i="4"/>
  <c r="AB77" i="4"/>
  <c r="Y77" i="4"/>
  <c r="V77" i="4"/>
  <c r="S77" i="4"/>
  <c r="P77" i="4"/>
  <c r="M77" i="4"/>
  <c r="H77" i="4"/>
  <c r="AB76" i="4"/>
  <c r="Y76" i="4"/>
  <c r="V76" i="4"/>
  <c r="S76" i="4"/>
  <c r="P76" i="4"/>
  <c r="M76" i="4"/>
  <c r="H76" i="4"/>
  <c r="AB75" i="4"/>
  <c r="Y75" i="4"/>
  <c r="V75" i="4"/>
  <c r="S75" i="4"/>
  <c r="P75" i="4"/>
  <c r="M75" i="4"/>
  <c r="H75" i="4"/>
  <c r="AB74" i="4"/>
  <c r="Y74" i="4"/>
  <c r="V74" i="4"/>
  <c r="S74" i="4"/>
  <c r="P74" i="4"/>
  <c r="M74" i="4"/>
  <c r="H74" i="4"/>
  <c r="AB73" i="4"/>
  <c r="Y73" i="4"/>
  <c r="V73" i="4"/>
  <c r="S73" i="4"/>
  <c r="P73" i="4"/>
  <c r="M73" i="4"/>
  <c r="H73" i="4"/>
  <c r="AB72" i="4"/>
  <c r="Y72" i="4"/>
  <c r="V72" i="4"/>
  <c r="S72" i="4"/>
  <c r="P72" i="4"/>
  <c r="M72" i="4"/>
  <c r="H72" i="4"/>
  <c r="AB71" i="4"/>
  <c r="Y71" i="4"/>
  <c r="V71" i="4"/>
  <c r="S71" i="4"/>
  <c r="P71" i="4"/>
  <c r="M71" i="4"/>
  <c r="H71" i="4"/>
  <c r="AB70" i="4"/>
  <c r="Y70" i="4"/>
  <c r="V70" i="4"/>
  <c r="S70" i="4"/>
  <c r="P70" i="4"/>
  <c r="M70" i="4"/>
  <c r="H70" i="4"/>
  <c r="AB69" i="4"/>
  <c r="Y69" i="4"/>
  <c r="V69" i="4"/>
  <c r="S69" i="4"/>
  <c r="H69" i="4"/>
  <c r="AM51" i="4"/>
  <c r="AM52" i="4"/>
  <c r="AM43" i="4"/>
  <c r="AM44" i="4"/>
  <c r="AM45" i="4"/>
  <c r="AM46" i="4"/>
  <c r="AM47" i="4"/>
  <c r="AM48" i="4"/>
  <c r="AM49" i="4"/>
  <c r="AM50" i="4"/>
  <c r="AL52" i="4"/>
  <c r="AK52" i="4"/>
  <c r="AL51" i="4"/>
  <c r="AK51" i="4"/>
  <c r="AL50" i="4"/>
  <c r="AK50" i="4"/>
  <c r="AL49" i="4"/>
  <c r="AK49" i="4"/>
  <c r="AL48" i="4"/>
  <c r="AK48" i="4"/>
  <c r="AL47" i="4"/>
  <c r="AK47" i="4"/>
  <c r="AL46" i="4"/>
  <c r="AK46" i="4"/>
  <c r="AL45" i="4"/>
  <c r="AK45" i="4"/>
  <c r="AL44" i="4"/>
  <c r="AK44" i="4"/>
  <c r="AL43" i="4"/>
  <c r="AK43" i="4"/>
  <c r="AL31" i="4"/>
  <c r="AN31" i="4" s="1"/>
  <c r="AL32" i="4"/>
  <c r="AN32" i="4" s="1"/>
  <c r="AL33" i="4"/>
  <c r="AN33" i="4" s="1"/>
  <c r="AL34" i="4"/>
  <c r="AN34" i="4" s="1"/>
  <c r="AL35" i="4"/>
  <c r="AN35" i="4" s="1"/>
  <c r="AL36" i="4"/>
  <c r="AN36" i="4" s="1"/>
  <c r="AL37" i="4"/>
  <c r="AN37" i="4" s="1"/>
  <c r="AL38" i="4"/>
  <c r="AN38" i="4" s="1"/>
  <c r="AL39" i="4"/>
  <c r="AN39" i="4" s="1"/>
  <c r="AL30" i="4"/>
  <c r="AN30" i="4" s="1"/>
  <c r="AN65" i="4"/>
  <c r="AN64" i="4"/>
  <c r="AN63" i="4"/>
  <c r="AN62" i="4"/>
  <c r="AN61" i="4"/>
  <c r="AN60" i="4"/>
  <c r="AN59" i="4"/>
  <c r="AN58" i="4"/>
  <c r="AN57" i="4"/>
  <c r="AN56" i="4"/>
  <c r="AK65" i="4"/>
  <c r="AK64" i="4"/>
  <c r="AK63" i="4"/>
  <c r="AK62" i="4"/>
  <c r="AK61" i="4"/>
  <c r="AK60" i="4"/>
  <c r="AK59" i="4"/>
  <c r="AK58" i="4"/>
  <c r="AK57" i="4"/>
  <c r="AK56" i="4"/>
  <c r="AK32" i="4"/>
  <c r="AK33" i="4"/>
  <c r="AK34" i="4"/>
  <c r="AK35" i="4"/>
  <c r="AK36" i="4"/>
  <c r="AK37" i="4"/>
  <c r="AK38" i="4"/>
  <c r="AK39" i="4"/>
  <c r="AK30" i="4"/>
  <c r="AK31" i="4"/>
  <c r="AD65" i="4"/>
  <c r="AG65" i="4" s="1"/>
  <c r="AC65" i="4"/>
  <c r="AB65" i="4"/>
  <c r="Y65" i="4"/>
  <c r="V65" i="4"/>
  <c r="S65" i="4"/>
  <c r="P65" i="4"/>
  <c r="M65" i="4"/>
  <c r="H65" i="4"/>
  <c r="AD64" i="4"/>
  <c r="AG64" i="4" s="1"/>
  <c r="AC64" i="4"/>
  <c r="AF64" i="4" s="1"/>
  <c r="AB64" i="4"/>
  <c r="Y64" i="4"/>
  <c r="V64" i="4"/>
  <c r="S64" i="4"/>
  <c r="P64" i="4"/>
  <c r="M64" i="4"/>
  <c r="H64" i="4"/>
  <c r="AD63" i="4"/>
  <c r="AG63" i="4" s="1"/>
  <c r="AC63" i="4"/>
  <c r="AF63" i="4" s="1"/>
  <c r="AB63" i="4"/>
  <c r="Y63" i="4"/>
  <c r="V63" i="4"/>
  <c r="S63" i="4"/>
  <c r="P63" i="4"/>
  <c r="M63" i="4"/>
  <c r="H63" i="4"/>
  <c r="AD62" i="4"/>
  <c r="AG62" i="4" s="1"/>
  <c r="AC62" i="4"/>
  <c r="AF62" i="4" s="1"/>
  <c r="AB62" i="4"/>
  <c r="Y62" i="4"/>
  <c r="V62" i="4"/>
  <c r="S62" i="4"/>
  <c r="P62" i="4"/>
  <c r="M62" i="4"/>
  <c r="H62" i="4"/>
  <c r="AD61" i="4"/>
  <c r="AG61" i="4" s="1"/>
  <c r="AC61" i="4"/>
  <c r="AF61" i="4" s="1"/>
  <c r="AB61" i="4"/>
  <c r="Y61" i="4"/>
  <c r="V61" i="4"/>
  <c r="S61" i="4"/>
  <c r="P61" i="4"/>
  <c r="M61" i="4"/>
  <c r="H61" i="4"/>
  <c r="AD60" i="4"/>
  <c r="AG60" i="4" s="1"/>
  <c r="AC60" i="4"/>
  <c r="AE60" i="4" s="1"/>
  <c r="AB60" i="4"/>
  <c r="Y60" i="4"/>
  <c r="V60" i="4"/>
  <c r="S60" i="4"/>
  <c r="P60" i="4"/>
  <c r="M60" i="4"/>
  <c r="H60" i="4"/>
  <c r="AD59" i="4"/>
  <c r="AC59" i="4"/>
  <c r="AF59" i="4" s="1"/>
  <c r="AB59" i="4"/>
  <c r="Y59" i="4"/>
  <c r="V59" i="4"/>
  <c r="S59" i="4"/>
  <c r="P59" i="4"/>
  <c r="M59" i="4"/>
  <c r="H59" i="4"/>
  <c r="AD58" i="4"/>
  <c r="AG58" i="4" s="1"/>
  <c r="AC58" i="4"/>
  <c r="AB58" i="4"/>
  <c r="Y58" i="4"/>
  <c r="V58" i="4"/>
  <c r="S58" i="4"/>
  <c r="P58" i="4"/>
  <c r="M58" i="4"/>
  <c r="H58" i="4"/>
  <c r="AD57" i="4"/>
  <c r="AG57" i="4" s="1"/>
  <c r="AC57" i="4"/>
  <c r="AB57" i="4"/>
  <c r="Y57" i="4"/>
  <c r="V57" i="4"/>
  <c r="S57" i="4"/>
  <c r="P57" i="4"/>
  <c r="M57" i="4"/>
  <c r="H57" i="4"/>
  <c r="AB56" i="4"/>
  <c r="Y56" i="4"/>
  <c r="V56" i="4"/>
  <c r="S56" i="4"/>
  <c r="H56" i="4"/>
  <c r="AC6" i="4"/>
  <c r="AE6" i="4" s="1"/>
  <c r="AC7" i="4"/>
  <c r="AF7" i="4" s="1"/>
  <c r="AC8" i="4"/>
  <c r="AE8" i="4" s="1"/>
  <c r="AC9" i="4"/>
  <c r="AF9" i="4" s="1"/>
  <c r="AC10" i="4"/>
  <c r="AE10" i="4" s="1"/>
  <c r="AC11" i="4"/>
  <c r="AF11" i="4" s="1"/>
  <c r="AC12" i="4"/>
  <c r="AF12" i="4" s="1"/>
  <c r="AC13" i="4"/>
  <c r="AF13" i="4" s="1"/>
  <c r="AC5" i="4"/>
  <c r="AF5" i="4" s="1"/>
  <c r="V6" i="4"/>
  <c r="V7" i="4"/>
  <c r="V8" i="4"/>
  <c r="M6" i="4"/>
  <c r="M7" i="4"/>
  <c r="H43" i="4"/>
  <c r="S43" i="4"/>
  <c r="V43" i="4"/>
  <c r="Y43" i="4"/>
  <c r="AB43" i="4"/>
  <c r="H44" i="4"/>
  <c r="M44" i="4"/>
  <c r="P44" i="4"/>
  <c r="S44" i="4"/>
  <c r="V44" i="4"/>
  <c r="Y44" i="4"/>
  <c r="AB44" i="4"/>
  <c r="AC44" i="4"/>
  <c r="AF44" i="4" s="1"/>
  <c r="AD44" i="4"/>
  <c r="AG44" i="4" s="1"/>
  <c r="H45" i="4"/>
  <c r="M45" i="4"/>
  <c r="P45" i="4"/>
  <c r="S45" i="4"/>
  <c r="V45" i="4"/>
  <c r="Y45" i="4"/>
  <c r="AB45" i="4"/>
  <c r="AC45" i="4"/>
  <c r="AF45" i="4" s="1"/>
  <c r="AD45" i="4"/>
  <c r="AG45" i="4" s="1"/>
  <c r="H46" i="4"/>
  <c r="M46" i="4"/>
  <c r="P46" i="4"/>
  <c r="S46" i="4"/>
  <c r="V46" i="4"/>
  <c r="Y46" i="4"/>
  <c r="AB46" i="4"/>
  <c r="AC46" i="4"/>
  <c r="AF46" i="4" s="1"/>
  <c r="AD46" i="4"/>
  <c r="AG46" i="4" s="1"/>
  <c r="H47" i="4"/>
  <c r="M47" i="4"/>
  <c r="P47" i="4"/>
  <c r="S47" i="4"/>
  <c r="V47" i="4"/>
  <c r="Y47" i="4"/>
  <c r="AB47" i="4"/>
  <c r="AC47" i="4"/>
  <c r="AD47" i="4"/>
  <c r="AG47" i="4" s="1"/>
  <c r="H48" i="4"/>
  <c r="M48" i="4"/>
  <c r="P48" i="4"/>
  <c r="S48" i="4"/>
  <c r="V48" i="4"/>
  <c r="Y48" i="4"/>
  <c r="AB48" i="4"/>
  <c r="AC48" i="4"/>
  <c r="AD48" i="4"/>
  <c r="AG48" i="4" s="1"/>
  <c r="H49" i="4"/>
  <c r="M49" i="4"/>
  <c r="P49" i="4"/>
  <c r="S49" i="4"/>
  <c r="V49" i="4"/>
  <c r="Y49" i="4"/>
  <c r="AB49" i="4"/>
  <c r="AC49" i="4"/>
  <c r="AD49" i="4"/>
  <c r="AG49" i="4" s="1"/>
  <c r="H50" i="4"/>
  <c r="M50" i="4"/>
  <c r="P50" i="4"/>
  <c r="S50" i="4"/>
  <c r="V50" i="4"/>
  <c r="Y50" i="4"/>
  <c r="AB50" i="4"/>
  <c r="AC50" i="4"/>
  <c r="AF50" i="4" s="1"/>
  <c r="AD50" i="4"/>
  <c r="AG50" i="4" s="1"/>
  <c r="H51" i="4"/>
  <c r="M51" i="4"/>
  <c r="P51" i="4"/>
  <c r="S51" i="4"/>
  <c r="V51" i="4"/>
  <c r="Y51" i="4"/>
  <c r="AB51" i="4"/>
  <c r="AC51" i="4"/>
  <c r="AF51" i="4" s="1"/>
  <c r="AD51" i="4"/>
  <c r="AG51" i="4" s="1"/>
  <c r="H52" i="4"/>
  <c r="M52" i="4"/>
  <c r="P52" i="4"/>
  <c r="S52" i="4"/>
  <c r="V52" i="4"/>
  <c r="Y52" i="4"/>
  <c r="AB52" i="4"/>
  <c r="AC52" i="4"/>
  <c r="AD52" i="4"/>
  <c r="AG52" i="4" s="1"/>
  <c r="AD39" i="4"/>
  <c r="AG39" i="4" s="1"/>
  <c r="AC39" i="4"/>
  <c r="AF39" i="4" s="1"/>
  <c r="AB39" i="4"/>
  <c r="Y39" i="4"/>
  <c r="V39" i="4"/>
  <c r="S39" i="4"/>
  <c r="P39" i="4"/>
  <c r="M39" i="4"/>
  <c r="H39" i="4"/>
  <c r="AD38" i="4"/>
  <c r="AG38" i="4" s="1"/>
  <c r="AC38" i="4"/>
  <c r="AF38" i="4" s="1"/>
  <c r="AB38" i="4"/>
  <c r="Y38" i="4"/>
  <c r="V38" i="4"/>
  <c r="S38" i="4"/>
  <c r="P38" i="4"/>
  <c r="M38" i="4"/>
  <c r="H38" i="4"/>
  <c r="AD37" i="4"/>
  <c r="AG37" i="4" s="1"/>
  <c r="AC37" i="4"/>
  <c r="AF37" i="4" s="1"/>
  <c r="AB37" i="4"/>
  <c r="Y37" i="4"/>
  <c r="V37" i="4"/>
  <c r="S37" i="4"/>
  <c r="P37" i="4"/>
  <c r="M37" i="4"/>
  <c r="H37" i="4"/>
  <c r="AD36" i="4"/>
  <c r="AG36" i="4" s="1"/>
  <c r="AC36" i="4"/>
  <c r="AF36" i="4" s="1"/>
  <c r="AB36" i="4"/>
  <c r="Y36" i="4"/>
  <c r="V36" i="4"/>
  <c r="S36" i="4"/>
  <c r="P36" i="4"/>
  <c r="M36" i="4"/>
  <c r="H36" i="4"/>
  <c r="AD35" i="4"/>
  <c r="AG35" i="4" s="1"/>
  <c r="AC35" i="4"/>
  <c r="AB35" i="4"/>
  <c r="Y35" i="4"/>
  <c r="V35" i="4"/>
  <c r="S35" i="4"/>
  <c r="P35" i="4"/>
  <c r="M35" i="4"/>
  <c r="H35" i="4"/>
  <c r="AD34" i="4"/>
  <c r="AG34" i="4" s="1"/>
  <c r="AC34" i="4"/>
  <c r="AF34" i="4" s="1"/>
  <c r="AB34" i="4"/>
  <c r="Y34" i="4"/>
  <c r="V34" i="4"/>
  <c r="S34" i="4"/>
  <c r="P34" i="4"/>
  <c r="M34" i="4"/>
  <c r="H34" i="4"/>
  <c r="AD33" i="4"/>
  <c r="AG33" i="4" s="1"/>
  <c r="AC33" i="4"/>
  <c r="AB33" i="4"/>
  <c r="Y33" i="4"/>
  <c r="V33" i="4"/>
  <c r="S33" i="4"/>
  <c r="P33" i="4"/>
  <c r="M33" i="4"/>
  <c r="H33" i="4"/>
  <c r="AD32" i="4"/>
  <c r="AC32" i="4"/>
  <c r="AF32" i="4" s="1"/>
  <c r="AB32" i="4"/>
  <c r="Y32" i="4"/>
  <c r="V32" i="4"/>
  <c r="S32" i="4"/>
  <c r="P32" i="4"/>
  <c r="M32" i="4"/>
  <c r="H32" i="4"/>
  <c r="AD31" i="4"/>
  <c r="AG31" i="4" s="1"/>
  <c r="AC31" i="4"/>
  <c r="AF31" i="4" s="1"/>
  <c r="AB31" i="4"/>
  <c r="Y31" i="4"/>
  <c r="V31" i="4"/>
  <c r="S31" i="4"/>
  <c r="P31" i="4"/>
  <c r="M31" i="4"/>
  <c r="H31" i="4"/>
  <c r="AB30" i="4"/>
  <c r="Y30" i="4"/>
  <c r="V30" i="4"/>
  <c r="S30" i="4"/>
  <c r="H30" i="4"/>
  <c r="AG13" i="4"/>
  <c r="AB13" i="4"/>
  <c r="Y13" i="4"/>
  <c r="V13" i="4"/>
  <c r="S13" i="4"/>
  <c r="P13" i="4"/>
  <c r="M13" i="4"/>
  <c r="H13" i="4"/>
  <c r="AG12" i="4"/>
  <c r="AB12" i="4"/>
  <c r="Y12" i="4"/>
  <c r="V12" i="4"/>
  <c r="S12" i="4"/>
  <c r="P12" i="4"/>
  <c r="M12" i="4"/>
  <c r="H12" i="4"/>
  <c r="AG11" i="4"/>
  <c r="AB11" i="4"/>
  <c r="Y11" i="4"/>
  <c r="V11" i="4"/>
  <c r="S11" i="4"/>
  <c r="P11" i="4"/>
  <c r="M11" i="4"/>
  <c r="H11" i="4"/>
  <c r="AG10" i="4"/>
  <c r="AB10" i="4"/>
  <c r="Y10" i="4"/>
  <c r="V10" i="4"/>
  <c r="S10" i="4"/>
  <c r="P10" i="4"/>
  <c r="M10" i="4"/>
  <c r="H10" i="4"/>
  <c r="AG9" i="4"/>
  <c r="AB9" i="4"/>
  <c r="Y9" i="4"/>
  <c r="V9" i="4"/>
  <c r="S9" i="4"/>
  <c r="P9" i="4"/>
  <c r="M9" i="4"/>
  <c r="H9" i="4"/>
  <c r="AG8" i="4"/>
  <c r="AB8" i="4"/>
  <c r="Y8" i="4"/>
  <c r="S8" i="4"/>
  <c r="P8" i="4"/>
  <c r="M8" i="4"/>
  <c r="H8" i="4"/>
  <c r="AG7" i="4"/>
  <c r="AB7" i="4"/>
  <c r="Y7" i="4"/>
  <c r="S7" i="4"/>
  <c r="P7" i="4"/>
  <c r="H7" i="4"/>
  <c r="AG6" i="4"/>
  <c r="AB6" i="4"/>
  <c r="Y6" i="4"/>
  <c r="S6" i="4"/>
  <c r="P6" i="4"/>
  <c r="H6" i="4"/>
  <c r="AG5" i="4"/>
  <c r="AB5" i="4"/>
  <c r="Y5" i="4"/>
  <c r="V5" i="4"/>
  <c r="S5" i="4"/>
  <c r="P5" i="4"/>
  <c r="M5" i="4"/>
  <c r="H5" i="4"/>
  <c r="H4" i="4"/>
  <c r="G12" i="3"/>
  <c r="U12" i="3" s="1"/>
  <c r="W12" i="3" s="1"/>
  <c r="AG42" i="2"/>
  <c r="AG41" i="2"/>
  <c r="AG28" i="2"/>
  <c r="AG29" i="2"/>
  <c r="AD61" i="2"/>
  <c r="AG61" i="2" s="1"/>
  <c r="AD60" i="2"/>
  <c r="AD59" i="2"/>
  <c r="AG59" i="2" s="1"/>
  <c r="AD58" i="2"/>
  <c r="AG58" i="2" s="1"/>
  <c r="AD57" i="2"/>
  <c r="AG57" i="2" s="1"/>
  <c r="AD56" i="2"/>
  <c r="AD55" i="2"/>
  <c r="AG55" i="2" s="1"/>
  <c r="AD54" i="2"/>
  <c r="AG54" i="2" s="1"/>
  <c r="AD53" i="2"/>
  <c r="AG53" i="2" s="1"/>
  <c r="AB52" i="2"/>
  <c r="Y52" i="2"/>
  <c r="V52" i="2"/>
  <c r="V53" i="2"/>
  <c r="S52" i="2"/>
  <c r="S53" i="2"/>
  <c r="M41" i="2"/>
  <c r="M42" i="2"/>
  <c r="AH41" i="2"/>
  <c r="AH42" i="2"/>
  <c r="AH43" i="2"/>
  <c r="M54" i="2"/>
  <c r="M55" i="2"/>
  <c r="M56" i="2"/>
  <c r="AC61" i="2"/>
  <c r="AF61" i="2" s="1"/>
  <c r="AB61" i="2"/>
  <c r="Y61" i="2"/>
  <c r="V61" i="2"/>
  <c r="S61" i="2"/>
  <c r="P61" i="2"/>
  <c r="M61" i="2"/>
  <c r="H61" i="2"/>
  <c r="AG60" i="2"/>
  <c r="AC60" i="2"/>
  <c r="AF60" i="2" s="1"/>
  <c r="AB60" i="2"/>
  <c r="Y60" i="2"/>
  <c r="V60" i="2"/>
  <c r="S60" i="2"/>
  <c r="P60" i="2"/>
  <c r="M60" i="2"/>
  <c r="H60" i="2"/>
  <c r="AC59" i="2"/>
  <c r="AE59" i="2" s="1"/>
  <c r="AB59" i="2"/>
  <c r="Y59" i="2"/>
  <c r="V59" i="2"/>
  <c r="S59" i="2"/>
  <c r="P59" i="2"/>
  <c r="M59" i="2"/>
  <c r="H59" i="2"/>
  <c r="AC58" i="2"/>
  <c r="AF58" i="2" s="1"/>
  <c r="AB58" i="2"/>
  <c r="Y58" i="2"/>
  <c r="V58" i="2"/>
  <c r="S58" i="2"/>
  <c r="P58" i="2"/>
  <c r="M58" i="2"/>
  <c r="H58" i="2"/>
  <c r="AC57" i="2"/>
  <c r="AF57" i="2" s="1"/>
  <c r="AB57" i="2"/>
  <c r="Y57" i="2"/>
  <c r="V57" i="2"/>
  <c r="S57" i="2"/>
  <c r="P57" i="2"/>
  <c r="M57" i="2"/>
  <c r="H57" i="2"/>
  <c r="AG56" i="2"/>
  <c r="AC56" i="2"/>
  <c r="AF56" i="2" s="1"/>
  <c r="AB56" i="2"/>
  <c r="Y56" i="2"/>
  <c r="V56" i="2"/>
  <c r="S56" i="2"/>
  <c r="P56" i="2"/>
  <c r="H56" i="2"/>
  <c r="AC55" i="2"/>
  <c r="AB55" i="2"/>
  <c r="Y55" i="2"/>
  <c r="V55" i="2"/>
  <c r="S55" i="2"/>
  <c r="P55" i="2"/>
  <c r="H55" i="2"/>
  <c r="AC54" i="2"/>
  <c r="AB54" i="2"/>
  <c r="Y54" i="2"/>
  <c r="V54" i="2"/>
  <c r="S54" i="2"/>
  <c r="P54" i="2"/>
  <c r="H54" i="2"/>
  <c r="AC53" i="2"/>
  <c r="AE53" i="2" s="1"/>
  <c r="AB53" i="2"/>
  <c r="Y53" i="2"/>
  <c r="P53" i="2"/>
  <c r="M53" i="2"/>
  <c r="H53" i="2"/>
  <c r="H52" i="2"/>
  <c r="AF41" i="2"/>
  <c r="AF42" i="2"/>
  <c r="AF43" i="2"/>
  <c r="AF44" i="2"/>
  <c r="AF45" i="2"/>
  <c r="AF46" i="2"/>
  <c r="AF47" i="2"/>
  <c r="AF48" i="2"/>
  <c r="AE41" i="2"/>
  <c r="AE42" i="2"/>
  <c r="AE43" i="2"/>
  <c r="V42" i="2"/>
  <c r="V43" i="2"/>
  <c r="V41" i="2"/>
  <c r="AG48" i="2"/>
  <c r="AC48" i="2"/>
  <c r="AB48" i="2"/>
  <c r="Y48" i="2"/>
  <c r="V48" i="2"/>
  <c r="S48" i="2"/>
  <c r="P48" i="2"/>
  <c r="M48" i="2"/>
  <c r="H48" i="2"/>
  <c r="AG47" i="2"/>
  <c r="AC47" i="2"/>
  <c r="AB47" i="2"/>
  <c r="Y47" i="2"/>
  <c r="V47" i="2"/>
  <c r="S47" i="2"/>
  <c r="P47" i="2"/>
  <c r="M47" i="2"/>
  <c r="H47" i="2"/>
  <c r="AG46" i="2"/>
  <c r="AC46" i="2"/>
  <c r="AB46" i="2"/>
  <c r="Y46" i="2"/>
  <c r="V46" i="2"/>
  <c r="S46" i="2"/>
  <c r="P46" i="2"/>
  <c r="M46" i="2"/>
  <c r="H46" i="2"/>
  <c r="AG45" i="2"/>
  <c r="AC45" i="2"/>
  <c r="AB45" i="2"/>
  <c r="Y45" i="2"/>
  <c r="V45" i="2"/>
  <c r="S45" i="2"/>
  <c r="P45" i="2"/>
  <c r="M45" i="2"/>
  <c r="H45" i="2"/>
  <c r="AG44" i="2"/>
  <c r="AC44" i="2"/>
  <c r="AB44" i="2"/>
  <c r="Y44" i="2"/>
  <c r="V44" i="2"/>
  <c r="S44" i="2"/>
  <c r="P44" i="2"/>
  <c r="M44" i="2"/>
  <c r="H44" i="2"/>
  <c r="AG43" i="2"/>
  <c r="AC43" i="2"/>
  <c r="AB43" i="2"/>
  <c r="Y43" i="2"/>
  <c r="S43" i="2"/>
  <c r="P43" i="2"/>
  <c r="M43" i="2"/>
  <c r="H43" i="2"/>
  <c r="AC42" i="2"/>
  <c r="AB42" i="2"/>
  <c r="Y42" i="2"/>
  <c r="S42" i="2"/>
  <c r="P42" i="2"/>
  <c r="H42" i="2"/>
  <c r="AC41" i="2"/>
  <c r="AB41" i="2"/>
  <c r="Y41" i="2"/>
  <c r="S41" i="2"/>
  <c r="P41" i="2"/>
  <c r="H41" i="2"/>
  <c r="AG40" i="2"/>
  <c r="AC40" i="2"/>
  <c r="AF40" i="2" s="1"/>
  <c r="AB40" i="2"/>
  <c r="Y40" i="2"/>
  <c r="V40" i="2"/>
  <c r="S40" i="2"/>
  <c r="P40" i="2"/>
  <c r="M40" i="2"/>
  <c r="H40" i="2"/>
  <c r="H39" i="2"/>
  <c r="AF28" i="2"/>
  <c r="AF29" i="2"/>
  <c r="AF30" i="2"/>
  <c r="AF31" i="2"/>
  <c r="AF32" i="2"/>
  <c r="AF33" i="2"/>
  <c r="AF34" i="2"/>
  <c r="AF35" i="2"/>
  <c r="AC28" i="2"/>
  <c r="AC29" i="2"/>
  <c r="AC30" i="2"/>
  <c r="AC31" i="2"/>
  <c r="AC32" i="2"/>
  <c r="AC33" i="2"/>
  <c r="AC34" i="2"/>
  <c r="AC35" i="2"/>
  <c r="AC27" i="2"/>
  <c r="AB35" i="2"/>
  <c r="AB34" i="2"/>
  <c r="AB33" i="2"/>
  <c r="AB32" i="2"/>
  <c r="AB31" i="2"/>
  <c r="AB30" i="2"/>
  <c r="AB29" i="2"/>
  <c r="AB28" i="2"/>
  <c r="AB27" i="2"/>
  <c r="Y28" i="2"/>
  <c r="Y29" i="2"/>
  <c r="S28" i="2"/>
  <c r="S29" i="2"/>
  <c r="P28" i="2"/>
  <c r="P29" i="2"/>
  <c r="H28" i="2"/>
  <c r="H29" i="2"/>
  <c r="AG35" i="2"/>
  <c r="Y35" i="2"/>
  <c r="V35" i="2"/>
  <c r="S35" i="2"/>
  <c r="P35" i="2"/>
  <c r="M35" i="2"/>
  <c r="H35" i="2"/>
  <c r="AG34" i="2"/>
  <c r="Y34" i="2"/>
  <c r="V34" i="2"/>
  <c r="S34" i="2"/>
  <c r="P34" i="2"/>
  <c r="M34" i="2"/>
  <c r="H34" i="2"/>
  <c r="AG33" i="2"/>
  <c r="Y33" i="2"/>
  <c r="V33" i="2"/>
  <c r="S33" i="2"/>
  <c r="P33" i="2"/>
  <c r="M33" i="2"/>
  <c r="H33" i="2"/>
  <c r="Y32" i="2"/>
  <c r="V32" i="2"/>
  <c r="S32" i="2"/>
  <c r="P32" i="2"/>
  <c r="M32" i="2"/>
  <c r="H32" i="2"/>
  <c r="AG31" i="2"/>
  <c r="Y31" i="2"/>
  <c r="V31" i="2"/>
  <c r="S31" i="2"/>
  <c r="P31" i="2"/>
  <c r="M31" i="2"/>
  <c r="H31" i="2"/>
  <c r="AG30" i="2"/>
  <c r="Y30" i="2"/>
  <c r="V30" i="2"/>
  <c r="S30" i="2"/>
  <c r="P30" i="2"/>
  <c r="M30" i="2"/>
  <c r="H30" i="2"/>
  <c r="AG27" i="2"/>
  <c r="AE27" i="2"/>
  <c r="Y27" i="2"/>
  <c r="V27" i="2"/>
  <c r="S27" i="2"/>
  <c r="P27" i="2"/>
  <c r="M27" i="2"/>
  <c r="H27" i="2"/>
  <c r="H26" i="2"/>
  <c r="AA9" i="3"/>
  <c r="Z9" i="3"/>
  <c r="Y9" i="3"/>
  <c r="G9" i="3"/>
  <c r="U9" i="3" s="1"/>
  <c r="W9" i="3" s="1"/>
  <c r="D8" i="3"/>
  <c r="D10" i="3"/>
  <c r="G11" i="3"/>
  <c r="M11" i="3" s="1"/>
  <c r="O11" i="3" s="1"/>
  <c r="F2" i="3"/>
  <c r="G8" i="3"/>
  <c r="L8" i="3" s="1"/>
  <c r="N8" i="3" s="1"/>
  <c r="G10" i="3"/>
  <c r="L10" i="3" s="1"/>
  <c r="N10" i="3" s="1"/>
  <c r="AJ17" i="2"/>
  <c r="AJ6" i="2"/>
  <c r="M22" i="2"/>
  <c r="M21" i="2"/>
  <c r="M20" i="2"/>
  <c r="M19" i="2"/>
  <c r="M18" i="2"/>
  <c r="M17" i="2"/>
  <c r="M16" i="2"/>
  <c r="P22" i="2"/>
  <c r="P21" i="2"/>
  <c r="P20" i="2"/>
  <c r="P19" i="2"/>
  <c r="P18" i="2"/>
  <c r="P17" i="2"/>
  <c r="P16" i="2"/>
  <c r="S22" i="2"/>
  <c r="S21" i="2"/>
  <c r="S20" i="2"/>
  <c r="S19" i="2"/>
  <c r="S18" i="2"/>
  <c r="S17" i="2"/>
  <c r="S16" i="2"/>
  <c r="V22" i="2"/>
  <c r="V21" i="2"/>
  <c r="V20" i="2"/>
  <c r="V19" i="2"/>
  <c r="V18" i="2"/>
  <c r="V17" i="2"/>
  <c r="V16" i="2"/>
  <c r="Y22" i="2"/>
  <c r="Y21" i="2"/>
  <c r="Y20" i="2"/>
  <c r="Y19" i="2"/>
  <c r="Y18" i="2"/>
  <c r="Y17" i="2"/>
  <c r="Y16" i="2"/>
  <c r="AG19" i="2"/>
  <c r="AD22" i="2"/>
  <c r="AG22" i="2" s="1"/>
  <c r="AC22" i="2"/>
  <c r="AD21" i="2"/>
  <c r="AG21" i="2" s="1"/>
  <c r="AC21" i="2"/>
  <c r="AF21" i="2" s="1"/>
  <c r="AD20" i="2"/>
  <c r="AG20" i="2" s="1"/>
  <c r="AC20" i="2"/>
  <c r="AF20" i="2" s="1"/>
  <c r="AD19" i="2"/>
  <c r="AC19" i="2"/>
  <c r="AD18" i="2"/>
  <c r="AG18" i="2" s="1"/>
  <c r="AC18" i="2"/>
  <c r="AD17" i="2"/>
  <c r="AG17" i="2" s="1"/>
  <c r="AC17" i="2"/>
  <c r="AE17" i="2" s="1"/>
  <c r="AD16" i="2"/>
  <c r="AG16" i="2" s="1"/>
  <c r="AC16" i="2"/>
  <c r="AF16" i="2" s="1"/>
  <c r="H22" i="2"/>
  <c r="H21" i="2"/>
  <c r="H20" i="2"/>
  <c r="H19" i="2"/>
  <c r="H18" i="2"/>
  <c r="H17" i="2"/>
  <c r="H16" i="2"/>
  <c r="H15" i="2"/>
  <c r="H5" i="2"/>
  <c r="H6" i="2"/>
  <c r="H7" i="2"/>
  <c r="H8" i="2"/>
  <c r="H9" i="2"/>
  <c r="H10" i="2"/>
  <c r="H11" i="2"/>
  <c r="H4" i="2"/>
  <c r="Y11" i="2"/>
  <c r="Y10" i="2"/>
  <c r="Y9" i="2"/>
  <c r="Y8" i="2"/>
  <c r="Y7" i="2"/>
  <c r="Y6" i="2"/>
  <c r="Y5" i="2"/>
  <c r="V11" i="2"/>
  <c r="V10" i="2"/>
  <c r="V9" i="2"/>
  <c r="V8" i="2"/>
  <c r="V7" i="2"/>
  <c r="V6" i="2"/>
  <c r="V5" i="2"/>
  <c r="S11" i="2"/>
  <c r="S10" i="2"/>
  <c r="S9" i="2"/>
  <c r="S8" i="2"/>
  <c r="S7" i="2"/>
  <c r="S6" i="2"/>
  <c r="S5" i="2"/>
  <c r="P11" i="2"/>
  <c r="P10" i="2"/>
  <c r="P9" i="2"/>
  <c r="P8" i="2"/>
  <c r="P7" i="2"/>
  <c r="P6" i="2"/>
  <c r="P5" i="2"/>
  <c r="M6" i="2"/>
  <c r="M7" i="2"/>
  <c r="M8" i="2"/>
  <c r="M9" i="2"/>
  <c r="M10" i="2"/>
  <c r="M11" i="2"/>
  <c r="M5" i="2"/>
  <c r="AC6" i="2"/>
  <c r="AD6" i="2"/>
  <c r="AG6" i="2" s="1"/>
  <c r="AC7" i="2"/>
  <c r="AF7" i="2" s="1"/>
  <c r="AD7" i="2"/>
  <c r="AG7" i="2" s="1"/>
  <c r="AC8" i="2"/>
  <c r="AF8" i="2" s="1"/>
  <c r="AD8" i="2"/>
  <c r="AG8" i="2" s="1"/>
  <c r="AC9" i="2"/>
  <c r="AF9" i="2" s="1"/>
  <c r="AD9" i="2"/>
  <c r="AG9" i="2" s="1"/>
  <c r="AC10" i="2"/>
  <c r="AF10" i="2" s="1"/>
  <c r="AD10" i="2"/>
  <c r="AG10" i="2" s="1"/>
  <c r="AC11" i="2"/>
  <c r="AF11" i="2" s="1"/>
  <c r="AD11" i="2"/>
  <c r="AG11" i="2" s="1"/>
  <c r="AD5" i="2"/>
  <c r="AG5" i="2" s="1"/>
  <c r="AC5" i="2"/>
  <c r="AF5" i="2" s="1"/>
  <c r="T17" i="1"/>
  <c r="F17" i="1"/>
  <c r="R17" i="1" s="1"/>
  <c r="T10" i="1"/>
  <c r="T15" i="1"/>
  <c r="T8" i="1"/>
  <c r="F15" i="1"/>
  <c r="Q15" i="1" s="1"/>
  <c r="F11" i="1"/>
  <c r="L11" i="1" s="1"/>
  <c r="F10" i="1"/>
  <c r="R10" i="1" s="1"/>
  <c r="F9" i="1"/>
  <c r="R9" i="1" s="1"/>
  <c r="F8" i="1"/>
  <c r="Q8" i="1" s="1"/>
  <c r="AH22" i="6" l="1"/>
  <c r="AH52" i="6"/>
  <c r="AH62" i="6"/>
  <c r="AH63" i="6"/>
  <c r="AE71" i="6"/>
  <c r="AH71" i="6" s="1"/>
  <c r="AE46" i="6"/>
  <c r="AH46" i="6" s="1"/>
  <c r="AE73" i="6"/>
  <c r="AH73" i="6" s="1"/>
  <c r="AF20" i="6"/>
  <c r="AE25" i="6"/>
  <c r="AH25" i="6" s="1"/>
  <c r="AF48" i="6"/>
  <c r="AE75" i="6"/>
  <c r="AH75" i="6" s="1"/>
  <c r="AF8" i="6"/>
  <c r="AE50" i="6"/>
  <c r="AH50" i="6" s="1"/>
  <c r="AE6" i="6"/>
  <c r="AH6" i="6" s="1"/>
  <c r="AE24" i="6"/>
  <c r="AH24" i="6" s="1"/>
  <c r="AG65" i="6"/>
  <c r="AE18" i="6"/>
  <c r="AH18" i="6" s="1"/>
  <c r="AF12" i="6"/>
  <c r="AE23" i="6"/>
  <c r="AH23" i="6" s="1"/>
  <c r="AE62" i="6"/>
  <c r="AE60" i="6"/>
  <c r="AH60" i="6" s="1"/>
  <c r="AG78" i="6"/>
  <c r="AE63" i="6"/>
  <c r="AE61" i="6"/>
  <c r="AH61" i="6" s="1"/>
  <c r="AE74" i="6"/>
  <c r="AH74" i="6" s="1"/>
  <c r="AE49" i="6"/>
  <c r="AH49" i="6" s="1"/>
  <c r="AE11" i="6"/>
  <c r="AH11" i="6" s="1"/>
  <c r="AE22" i="6"/>
  <c r="AE59" i="6"/>
  <c r="AH59" i="6" s="1"/>
  <c r="N8" i="5"/>
  <c r="O10" i="5"/>
  <c r="Y10" i="5"/>
  <c r="Z10" i="5"/>
  <c r="O11" i="5"/>
  <c r="Y13" i="5"/>
  <c r="AA13" i="5"/>
  <c r="U11" i="5"/>
  <c r="W11" i="5" s="1"/>
  <c r="L11" i="5"/>
  <c r="L9" i="5"/>
  <c r="M8" i="5"/>
  <c r="M9" i="5"/>
  <c r="T9" i="5"/>
  <c r="V9" i="5" s="1"/>
  <c r="L12" i="5"/>
  <c r="T8" i="5"/>
  <c r="V8" i="5" s="1"/>
  <c r="M12" i="5"/>
  <c r="T12" i="5"/>
  <c r="V12" i="5" s="1"/>
  <c r="L10" i="5"/>
  <c r="U8" i="5"/>
  <c r="W8" i="5" s="1"/>
  <c r="O13" i="5"/>
  <c r="Y13" i="3"/>
  <c r="Z13" i="3"/>
  <c r="O13" i="3"/>
  <c r="L13" i="3"/>
  <c r="AE18" i="4"/>
  <c r="AH18" i="4" s="1"/>
  <c r="AN72" i="4"/>
  <c r="AN73" i="4"/>
  <c r="AN74" i="4"/>
  <c r="AE22" i="4"/>
  <c r="AH22" i="4" s="1"/>
  <c r="AN46" i="4"/>
  <c r="AN43" i="4"/>
  <c r="AE21" i="4"/>
  <c r="AH21" i="4" s="1"/>
  <c r="AE23" i="4"/>
  <c r="AH23" i="4" s="1"/>
  <c r="AE25" i="4"/>
  <c r="AH25" i="4" s="1"/>
  <c r="AE19" i="4"/>
  <c r="AH19" i="4" s="1"/>
  <c r="AE20" i="4"/>
  <c r="AH20" i="4" s="1"/>
  <c r="AE26" i="4"/>
  <c r="AH26" i="4" s="1"/>
  <c r="AE24" i="4"/>
  <c r="AH24" i="4" s="1"/>
  <c r="AE57" i="4"/>
  <c r="AH57" i="4" s="1"/>
  <c r="AF10" i="4"/>
  <c r="AE7" i="4"/>
  <c r="AH7" i="4" s="1"/>
  <c r="AE65" i="4"/>
  <c r="AH65" i="4" s="1"/>
  <c r="AH70" i="4"/>
  <c r="AE58" i="4"/>
  <c r="AH58" i="4" s="1"/>
  <c r="AH60" i="4"/>
  <c r="AF8" i="4"/>
  <c r="AF6" i="4"/>
  <c r="AN51" i="4"/>
  <c r="AN52" i="4"/>
  <c r="AE59" i="4"/>
  <c r="AH59" i="4" s="1"/>
  <c r="AN50" i="4"/>
  <c r="AH6" i="4"/>
  <c r="AE13" i="4"/>
  <c r="AH13" i="4" s="1"/>
  <c r="AE72" i="4"/>
  <c r="AH72" i="4" s="1"/>
  <c r="AE77" i="4"/>
  <c r="AH77" i="4" s="1"/>
  <c r="AE75" i="4"/>
  <c r="AH75" i="4" s="1"/>
  <c r="AE73" i="4"/>
  <c r="AH73" i="4" s="1"/>
  <c r="AE71" i="4"/>
  <c r="AH71" i="4" s="1"/>
  <c r="AE78" i="4"/>
  <c r="AH78" i="4" s="1"/>
  <c r="AE76" i="4"/>
  <c r="AH76" i="4" s="1"/>
  <c r="AE74" i="4"/>
  <c r="AH74" i="4" s="1"/>
  <c r="AN44" i="4"/>
  <c r="AN45" i="4"/>
  <c r="AN47" i="4"/>
  <c r="AN48" i="4"/>
  <c r="AN49" i="4"/>
  <c r="AG59" i="4"/>
  <c r="AF60" i="4"/>
  <c r="AF58" i="4"/>
  <c r="AE61" i="4"/>
  <c r="AH61" i="4" s="1"/>
  <c r="AE64" i="4"/>
  <c r="AH64" i="4" s="1"/>
  <c r="AF57" i="4"/>
  <c r="AE62" i="4"/>
  <c r="AH62" i="4" s="1"/>
  <c r="AF65" i="4"/>
  <c r="AE63" i="4"/>
  <c r="AH63" i="4" s="1"/>
  <c r="AE52" i="4"/>
  <c r="AH52" i="4" s="1"/>
  <c r="AE45" i="4"/>
  <c r="AH45" i="4" s="1"/>
  <c r="AE44" i="4"/>
  <c r="AH44" i="4" s="1"/>
  <c r="AE47" i="4"/>
  <c r="AH47" i="4" s="1"/>
  <c r="AF52" i="4"/>
  <c r="AE46" i="4"/>
  <c r="AH46" i="4" s="1"/>
  <c r="AE50" i="4"/>
  <c r="AH50" i="4" s="1"/>
  <c r="AE51" i="4"/>
  <c r="AH51" i="4" s="1"/>
  <c r="AF47" i="4"/>
  <c r="AE48" i="4"/>
  <c r="AH48" i="4" s="1"/>
  <c r="AE49" i="4"/>
  <c r="AH49" i="4" s="1"/>
  <c r="AF49" i="4"/>
  <c r="AF48" i="4"/>
  <c r="AE33" i="4"/>
  <c r="AH33" i="4" s="1"/>
  <c r="AE35" i="4"/>
  <c r="AH35" i="4" s="1"/>
  <c r="AE38" i="4"/>
  <c r="AH38" i="4" s="1"/>
  <c r="AF33" i="4"/>
  <c r="AE32" i="4"/>
  <c r="AH32" i="4" s="1"/>
  <c r="AE37" i="4"/>
  <c r="AH37" i="4" s="1"/>
  <c r="AG32" i="4"/>
  <c r="AF35" i="4"/>
  <c r="AE31" i="4"/>
  <c r="AH31" i="4" s="1"/>
  <c r="AE36" i="4"/>
  <c r="AH36" i="4" s="1"/>
  <c r="AE34" i="4"/>
  <c r="AH34" i="4" s="1"/>
  <c r="AE39" i="4"/>
  <c r="AH39" i="4" s="1"/>
  <c r="AH10" i="4"/>
  <c r="AH8" i="4"/>
  <c r="AE5" i="4"/>
  <c r="AH5" i="4" s="1"/>
  <c r="AE11" i="4"/>
  <c r="AH11" i="4" s="1"/>
  <c r="AE9" i="4"/>
  <c r="AH9" i="4" s="1"/>
  <c r="AE12" i="4"/>
  <c r="AH12" i="4" s="1"/>
  <c r="L12" i="3"/>
  <c r="M12" i="3"/>
  <c r="T12" i="3"/>
  <c r="V12" i="3" s="1"/>
  <c r="AF53" i="2"/>
  <c r="AE55" i="2"/>
  <c r="AE54" i="2"/>
  <c r="AH53" i="2"/>
  <c r="AF54" i="2"/>
  <c r="AH55" i="2"/>
  <c r="AH54" i="2"/>
  <c r="AE61" i="2"/>
  <c r="AH61" i="2"/>
  <c r="AH59" i="2"/>
  <c r="AF59" i="2"/>
  <c r="AE56" i="2"/>
  <c r="AH56" i="2" s="1"/>
  <c r="AF55" i="2"/>
  <c r="AE57" i="2"/>
  <c r="AH57" i="2" s="1"/>
  <c r="AE58" i="2"/>
  <c r="AH58" i="2" s="1"/>
  <c r="AE60" i="2"/>
  <c r="AH60" i="2" s="1"/>
  <c r="AE45" i="2"/>
  <c r="AE46" i="2"/>
  <c r="AE48" i="2"/>
  <c r="AH48" i="2"/>
  <c r="AE44" i="2"/>
  <c r="AH44" i="2" s="1"/>
  <c r="AH46" i="2"/>
  <c r="AH45" i="2"/>
  <c r="AE47" i="2"/>
  <c r="AH47" i="2" s="1"/>
  <c r="AE40" i="2"/>
  <c r="AH40" i="2" s="1"/>
  <c r="AE19" i="2"/>
  <c r="AE22" i="2"/>
  <c r="AH19" i="2"/>
  <c r="AE18" i="2"/>
  <c r="AE9" i="2"/>
  <c r="AE8" i="2"/>
  <c r="AH8" i="2" s="1"/>
  <c r="AE7" i="2"/>
  <c r="AE20" i="2"/>
  <c r="AH20" i="2" s="1"/>
  <c r="AH17" i="2"/>
  <c r="AH27" i="2"/>
  <c r="AH18" i="2"/>
  <c r="AE32" i="2"/>
  <c r="AH32" i="2" s="1"/>
  <c r="AE34" i="2"/>
  <c r="AH34" i="2" s="1"/>
  <c r="AE33" i="2"/>
  <c r="AH33" i="2" s="1"/>
  <c r="AE6" i="2"/>
  <c r="AH6" i="2" s="1"/>
  <c r="AE30" i="2"/>
  <c r="AH30" i="2" s="1"/>
  <c r="AF6" i="2"/>
  <c r="AE31" i="2"/>
  <c r="AE5" i="2"/>
  <c r="AH5" i="2" s="1"/>
  <c r="AG32" i="2"/>
  <c r="AH9" i="2"/>
  <c r="AF22" i="2"/>
  <c r="AH7" i="2"/>
  <c r="AH22" i="2"/>
  <c r="AE10" i="2"/>
  <c r="AH10" i="2" s="1"/>
  <c r="AF27" i="2"/>
  <c r="AF17" i="2"/>
  <c r="AF18" i="2"/>
  <c r="AH31" i="2"/>
  <c r="AE11" i="2"/>
  <c r="AH11" i="2" s="1"/>
  <c r="AE35" i="2"/>
  <c r="AH35" i="2" s="1"/>
  <c r="AE16" i="2"/>
  <c r="AH16" i="2" s="1"/>
  <c r="AE21" i="2"/>
  <c r="AH21" i="2" s="1"/>
  <c r="AF19" i="2"/>
  <c r="L9" i="3"/>
  <c r="N9" i="3" s="1"/>
  <c r="T9" i="3"/>
  <c r="V9" i="3" s="1"/>
  <c r="M9" i="3"/>
  <c r="O9" i="3" s="1"/>
  <c r="U11" i="3"/>
  <c r="W11" i="3" s="1"/>
  <c r="T11" i="3"/>
  <c r="V11" i="3" s="1"/>
  <c r="L11" i="3"/>
  <c r="U10" i="3"/>
  <c r="W10" i="3" s="1"/>
  <c r="T10" i="3"/>
  <c r="M10" i="3"/>
  <c r="O10" i="3" s="1"/>
  <c r="U8" i="3"/>
  <c r="W8" i="3" s="1"/>
  <c r="T8" i="3"/>
  <c r="M8" i="3"/>
  <c r="O8" i="3" s="1"/>
  <c r="R15" i="1"/>
  <c r="K15" i="1"/>
  <c r="L15" i="1"/>
  <c r="K17" i="1"/>
  <c r="L17" i="1"/>
  <c r="S17" i="1" s="1"/>
  <c r="Q17" i="1"/>
  <c r="K11" i="1"/>
  <c r="Q11" i="1"/>
  <c r="R11" i="1"/>
  <c r="S11" i="1" s="1"/>
  <c r="K10" i="1"/>
  <c r="L10" i="1"/>
  <c r="S10" i="1" s="1"/>
  <c r="Q10" i="1"/>
  <c r="K9" i="1"/>
  <c r="L9" i="1"/>
  <c r="S9" i="1" s="1"/>
  <c r="Q9" i="1"/>
  <c r="K8" i="1"/>
  <c r="L8" i="1"/>
  <c r="R8" i="1"/>
  <c r="Z12" i="5" l="1"/>
  <c r="Y12" i="5"/>
  <c r="O12" i="5"/>
  <c r="AA10" i="5"/>
  <c r="N10" i="5"/>
  <c r="Z9" i="5"/>
  <c r="Y9" i="5"/>
  <c r="O9" i="5"/>
  <c r="O8" i="5"/>
  <c r="Z8" i="5"/>
  <c r="Y8" i="5"/>
  <c r="AA12" i="5"/>
  <c r="N12" i="5"/>
  <c r="AA11" i="5"/>
  <c r="N11" i="5"/>
  <c r="Z11" i="5"/>
  <c r="AA9" i="5"/>
  <c r="N9" i="5"/>
  <c r="Y11" i="5"/>
  <c r="AA8" i="5"/>
  <c r="N13" i="3"/>
  <c r="Z12" i="3"/>
  <c r="Y12" i="3"/>
  <c r="O12" i="3"/>
  <c r="AA12" i="3"/>
  <c r="N12" i="3"/>
  <c r="Y11" i="3"/>
  <c r="AA8" i="3"/>
  <c r="V8" i="3"/>
  <c r="AA10" i="3"/>
  <c r="V10" i="3"/>
  <c r="N11" i="3"/>
  <c r="AA11" i="3"/>
  <c r="Z11" i="3"/>
  <c r="Z10" i="3"/>
  <c r="Y10" i="3"/>
  <c r="Y8" i="3"/>
  <c r="Z8" i="3"/>
  <c r="S15" i="1"/>
  <c r="S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<sst xmlns="http://schemas.openxmlformats.org/spreadsheetml/2006/main" count="1125" uniqueCount="114">
  <si>
    <t>Input File</t>
  </si>
  <si>
    <t>Model</t>
  </si>
  <si>
    <t>AP600</t>
  </si>
  <si>
    <t>Height</t>
  </si>
  <si>
    <t>Volume</t>
  </si>
  <si>
    <t>Material</t>
  </si>
  <si>
    <t>UO2</t>
  </si>
  <si>
    <t>Number</t>
  </si>
  <si>
    <t>Subtotal</t>
  </si>
  <si>
    <t>IHM Mass</t>
  </si>
  <si>
    <t>Density (g/cc)</t>
  </si>
  <si>
    <t>IHM Mass (g)</t>
  </si>
  <si>
    <t>Enrich</t>
  </si>
  <si>
    <t>Total</t>
  </si>
  <si>
    <t>W/gIHM</t>
  </si>
  <si>
    <t>kW/(L core)</t>
  </si>
  <si>
    <t>Power density (either-or)</t>
  </si>
  <si>
    <t>BOC k_inf</t>
  </si>
  <si>
    <t>elwr-caseAP600-blanket3-fuelA.inp</t>
  </si>
  <si>
    <t>elwr-caseAP600-blanket3-fuelB.inp</t>
  </si>
  <si>
    <t>metal U</t>
  </si>
  <si>
    <t>elwr-caseAP600-blanket2-fuelA.inp</t>
  </si>
  <si>
    <t>elwr-caseAP600-blanket2-fuelB.inp</t>
  </si>
  <si>
    <t>Picture</t>
  </si>
  <si>
    <t>Radius</t>
  </si>
  <si>
    <t>Fuel Rod</t>
  </si>
  <si>
    <t>OPR1000</t>
  </si>
  <si>
    <t>elwr-caseOPR1000-fuelA-blanket3.inp</t>
  </si>
  <si>
    <t>elwr-caseOPR1000-fuelB-blanket3.inp</t>
  </si>
  <si>
    <t>elwr-caseOPR1000-fuelA-blanket2.inp</t>
  </si>
  <si>
    <t>elwr-caseOPR1000-fuelB-blanket2.inp</t>
  </si>
  <si>
    <t>VVER-440</t>
  </si>
  <si>
    <t>VVER-640</t>
  </si>
  <si>
    <t>elwr-caseOPR1000-fuelA-blanket1.inp</t>
  </si>
  <si>
    <t>elwr-caseOPR1000-fuelB-blanket1.inp</t>
  </si>
  <si>
    <t>elwr-caseAP600-blanket1-fuelB.inp</t>
  </si>
  <si>
    <t>Seed</t>
  </si>
  <si>
    <t>7%e UO2</t>
  </si>
  <si>
    <t>Blanket</t>
  </si>
  <si>
    <t>Burnup (MWd/kg)</t>
  </si>
  <si>
    <t>k-eff</t>
  </si>
  <si>
    <t>std-dev</t>
  </si>
  <si>
    <t>delta rho</t>
  </si>
  <si>
    <t>Time (days)</t>
  </si>
  <si>
    <t>Power fraction</t>
  </si>
  <si>
    <t>Seed Cells</t>
  </si>
  <si>
    <t>Blanket Cells</t>
  </si>
  <si>
    <t>U-235 (g)</t>
  </si>
  <si>
    <t>U-238 (g)</t>
  </si>
  <si>
    <t>Pu-239 (g)</t>
  </si>
  <si>
    <t>Pu-240</t>
  </si>
  <si>
    <t>Pu-241</t>
  </si>
  <si>
    <t>Pu total</t>
  </si>
  <si>
    <t>in Seed</t>
  </si>
  <si>
    <t>in Blanket</t>
  </si>
  <si>
    <t>in Total</t>
  </si>
  <si>
    <t>Pu-239/Pu</t>
  </si>
  <si>
    <t>dollars</t>
  </si>
  <si>
    <t>g of WGPu in 167 days FPO</t>
  </si>
  <si>
    <t>.</t>
  </si>
  <si>
    <t>elwr-caseAP600-fuelT.inp</t>
  </si>
  <si>
    <t>Rod 1</t>
  </si>
  <si>
    <t>Rod 2</t>
  </si>
  <si>
    <t>elwr-coreA.inp</t>
  </si>
  <si>
    <t>elwr-coreB.inp</t>
  </si>
  <si>
    <t>elwr-coreC.inp</t>
  </si>
  <si>
    <t>B</t>
  </si>
  <si>
    <t>C</t>
  </si>
  <si>
    <t>BOL k-eff</t>
  </si>
  <si>
    <t>Total Fuel</t>
  </si>
  <si>
    <t>Weight [kg]</t>
  </si>
  <si>
    <t>No.</t>
  </si>
  <si>
    <t>of FAs</t>
  </si>
  <si>
    <t>FA Picture</t>
  </si>
  <si>
    <t>Subtotal PER FA</t>
  </si>
  <si>
    <t>Subtotal IN CORE</t>
  </si>
  <si>
    <t>Pwr density</t>
  </si>
  <si>
    <t>167 days EFPO</t>
  </si>
  <si>
    <t>U metal</t>
  </si>
  <si>
    <t>BOL CXS</t>
  </si>
  <si>
    <t>A1</t>
  </si>
  <si>
    <t>A2</t>
  </si>
  <si>
    <t>elwr-coreA-reflBeO.inp</t>
  </si>
  <si>
    <t>3.5%e UO2</t>
  </si>
  <si>
    <t>Pu-242</t>
  </si>
  <si>
    <t>4.0%e UO2</t>
  </si>
  <si>
    <t>2.2%e UO2</t>
  </si>
  <si>
    <t>Reflector</t>
  </si>
  <si>
    <t>Graphite</t>
  </si>
  <si>
    <t>BeO</t>
  </si>
  <si>
    <t>None</t>
  </si>
  <si>
    <t>nUO2 (3 rings)</t>
  </si>
  <si>
    <t>nUO2 (2 rings)</t>
  </si>
  <si>
    <t>AP600 (Infinite)</t>
  </si>
  <si>
    <t>ELWR B3 (Finite)</t>
  </si>
  <si>
    <t>ELWR A3 (Finite)</t>
  </si>
  <si>
    <t>ELWR A2 (Finite)</t>
  </si>
  <si>
    <t>elwr-coreC2-reflBeO30cm-li05</t>
  </si>
  <si>
    <t>C2</t>
  </si>
  <si>
    <t>ELWR B2 (Finite)</t>
  </si>
  <si>
    <t>5 mg/kgUO2</t>
  </si>
  <si>
    <t>Lithium-6</t>
  </si>
  <si>
    <t>0 mg/kgUO2</t>
  </si>
  <si>
    <t>Pu total [kg]</t>
  </si>
  <si>
    <t>10 mg/kgUO2</t>
  </si>
  <si>
    <t>ELWR C2 (Finite)</t>
  </si>
  <si>
    <t>Tritium raw</t>
  </si>
  <si>
    <t>Tritium multiplier</t>
  </si>
  <si>
    <t>20 mg/kgUO2</t>
  </si>
  <si>
    <t>0.7%e UO2</t>
  </si>
  <si>
    <t>Pu total [KG]</t>
  </si>
  <si>
    <t>elwr-coreD2-reflBeO30cm</t>
  </si>
  <si>
    <t>D2</t>
  </si>
  <si>
    <t>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</si>
</sst>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Helvetica Neue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Helvetica Neue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1" fontId="0" fillId="2" borderId="0" xfId="0" applyNumberFormat="1" applyFill="1"/>
    <xf numFmtId="0" fontId="1" fillId="2" borderId="2" xfId="0" applyFont="1" applyFill="1" applyBorder="1"/>
    <xf numFmtId="0" fontId="1" fillId="2" borderId="3" xfId="0" applyFont="1" applyFill="1" applyBorder="1"/>
    <xf numFmtId="1" fontId="0" fillId="2" borderId="2" xfId="0" applyNumberFormat="1" applyFill="1" applyBorder="1"/>
    <xf numFmtId="0" fontId="1" fillId="3" borderId="1" xfId="0" applyFont="1" applyFill="1" applyBorder="1"/>
    <xf numFmtId="0" fontId="0" fillId="3" borderId="0" xfId="0" applyFill="1"/>
    <xf numFmtId="0" fontId="0" fillId="0" borderId="2" xfId="0" applyBorder="1" applyAlignment="1">
      <alignment horizontal="center"/>
    </xf>
    <xf numFmtId="11" fontId="0" fillId="0" borderId="0" xfId="0" applyNumberFormat="1"/>
    <xf numFmtId="0" fontId="0" fillId="0" borderId="5" xfId="0" applyBorder="1"/>
    <xf numFmtId="11" fontId="0" fillId="0" borderId="5" xfId="0" applyNumberFormat="1" applyBorder="1"/>
    <xf numFmtId="0" fontId="0" fillId="0" borderId="6" xfId="0" applyBorder="1"/>
    <xf numFmtId="11" fontId="0" fillId="0" borderId="2" xfId="0" applyNumberFormat="1" applyBorder="1"/>
    <xf numFmtId="11" fontId="0" fillId="0" borderId="6" xfId="0" applyNumberFormat="1" applyBorder="1"/>
    <xf numFmtId="2" fontId="0" fillId="0" borderId="0" xfId="0" applyNumberFormat="1"/>
    <xf numFmtId="2" fontId="0" fillId="0" borderId="8" xfId="0" applyNumberFormat="1" applyBorder="1"/>
    <xf numFmtId="11" fontId="1" fillId="3" borderId="0" xfId="0" applyNumberFormat="1" applyFont="1" applyFill="1"/>
    <xf numFmtId="0" fontId="0" fillId="0" borderId="3" xfId="0" applyBorder="1"/>
    <xf numFmtId="1" fontId="0" fillId="0" borderId="2" xfId="0" applyNumberFormat="1" applyBorder="1"/>
    <xf numFmtId="164" fontId="0" fillId="2" borderId="2" xfId="0" applyNumberFormat="1" applyFill="1" applyBorder="1"/>
    <xf numFmtId="165" fontId="0" fillId="0" borderId="0" xfId="0" applyNumberFormat="1"/>
    <xf numFmtId="0" fontId="2" fillId="0" borderId="0" xfId="0" applyFont="1"/>
    <xf numFmtId="0" fontId="1" fillId="0" borderId="9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2" fillId="0" borderId="5" xfId="0" applyFont="1" applyBorder="1"/>
    <xf numFmtId="11" fontId="2" fillId="0" borderId="0" xfId="0" applyNumberFormat="1" applyFont="1"/>
    <xf numFmtId="2" fontId="0" fillId="0" borderId="2" xfId="0" applyNumberFormat="1" applyBorder="1"/>
    <xf numFmtId="164" fontId="2" fillId="0" borderId="0" xfId="0" applyNumberFormat="1" applyFont="1"/>
    <xf numFmtId="0" fontId="3" fillId="0" borderId="9" xfId="0" applyFont="1" applyBorder="1"/>
    <xf numFmtId="2" fontId="0" fillId="0" borderId="5" xfId="0" applyNumberFormat="1" applyBorder="1"/>
    <xf numFmtId="11" fontId="1" fillId="0" borderId="0" xfId="0" applyNumberFormat="1" applyFont="1"/>
    <xf numFmtId="164" fontId="2" fillId="0" borderId="5" xfId="0" applyNumberFormat="1" applyFont="1" applyBorder="1"/>
    <xf numFmtId="11" fontId="2" fillId="0" borderId="5" xfId="0" applyNumberFormat="1" applyFont="1" applyBorder="1"/>
    <xf numFmtId="2" fontId="0" fillId="0" borderId="6" xfId="0" applyNumberFormat="1" applyBorder="1"/>
    <xf numFmtId="0" fontId="0" fillId="0" borderId="0" xfId="0" applyAlignment="1">
      <alignment horizontal="center"/>
    </xf>
    <xf numFmtId="165" fontId="0" fillId="0" borderId="5" xfId="0" applyNumberFormat="1" applyBorder="1"/>
    <xf numFmtId="165" fontId="0" fillId="0" borderId="2" xfId="0" applyNumberFormat="1" applyBorder="1"/>
    <xf numFmtId="11" fontId="2" fillId="0" borderId="2" xfId="0" applyNumberFormat="1" applyFont="1" applyBorder="1"/>
    <xf numFmtId="0" fontId="5" fillId="0" borderId="9" xfId="0" applyFont="1" applyBorder="1"/>
    <xf numFmtId="0" fontId="5" fillId="0" borderId="0" xfId="0" applyFont="1"/>
    <xf numFmtId="0" fontId="4" fillId="3" borderId="0" xfId="0" applyFont="1" applyFill="1"/>
    <xf numFmtId="0" fontId="4" fillId="0" borderId="0" xfId="0" applyFont="1"/>
    <xf numFmtId="0" fontId="4" fillId="0" borderId="7" xfId="0" applyFont="1" applyBorder="1"/>
    <xf numFmtId="0" fontId="4" fillId="0" borderId="10" xfId="0" applyFont="1" applyBorder="1"/>
    <xf numFmtId="0" fontId="4" fillId="0" borderId="9" xfId="0" applyFont="1" applyBorder="1"/>
    <xf numFmtId="0" fontId="5" fillId="0" borderId="10" xfId="0" applyFont="1" applyBorder="1"/>
    <xf numFmtId="0" fontId="5" fillId="0" borderId="2" xfId="0" applyFont="1" applyBorder="1"/>
    <xf numFmtId="0" fontId="4" fillId="0" borderId="2" xfId="0" applyFont="1" applyBorder="1"/>
    <xf numFmtId="0" fontId="6" fillId="0" borderId="0" xfId="0" applyFont="1"/>
    <xf numFmtId="2" fontId="4" fillId="0" borderId="0" xfId="0" applyNumberFormat="1" applyFont="1"/>
    <xf numFmtId="164" fontId="6" fillId="0" borderId="2" xfId="0" applyNumberFormat="1" applyFont="1" applyBorder="1"/>
    <xf numFmtId="164" fontId="6" fillId="0" borderId="0" xfId="0" applyNumberFormat="1" applyFont="1"/>
    <xf numFmtId="11" fontId="4" fillId="0" borderId="0" xfId="0" applyNumberFormat="1" applyFont="1"/>
    <xf numFmtId="11" fontId="4" fillId="0" borderId="2" xfId="0" applyNumberFormat="1" applyFont="1" applyBorder="1"/>
    <xf numFmtId="11" fontId="6" fillId="0" borderId="2" xfId="0" applyNumberFormat="1" applyFont="1" applyBorder="1"/>
    <xf numFmtId="2" fontId="4" fillId="0" borderId="2" xfId="0" applyNumberFormat="1" applyFont="1" applyBorder="1"/>
    <xf numFmtId="0" fontId="4" fillId="0" borderId="6" xfId="0" applyFont="1" applyBorder="1"/>
    <xf numFmtId="0" fontId="4" fillId="0" borderId="5" xfId="0" applyFont="1" applyBorder="1"/>
    <xf numFmtId="0" fontId="6" fillId="0" borderId="5" xfId="0" applyFont="1" applyBorder="1"/>
    <xf numFmtId="2" fontId="4" fillId="0" borderId="5" xfId="0" applyNumberFormat="1" applyFont="1" applyBorder="1"/>
    <xf numFmtId="164" fontId="6" fillId="0" borderId="6" xfId="0" applyNumberFormat="1" applyFont="1" applyBorder="1"/>
    <xf numFmtId="164" fontId="6" fillId="0" borderId="5" xfId="0" applyNumberFormat="1" applyFont="1" applyBorder="1"/>
    <xf numFmtId="11" fontId="6" fillId="0" borderId="6" xfId="0" applyNumberFormat="1" applyFont="1" applyBorder="1"/>
    <xf numFmtId="11" fontId="4" fillId="0" borderId="5" xfId="0" applyNumberFormat="1" applyFont="1" applyBorder="1"/>
    <xf numFmtId="11" fontId="4" fillId="0" borderId="6" xfId="0" applyNumberFormat="1" applyFont="1" applyBorder="1"/>
    <xf numFmtId="2" fontId="4" fillId="0" borderId="6" xfId="0" applyNumberFormat="1" applyFont="1" applyBorder="1"/>
    <xf numFmtId="0" fontId="7" fillId="0" borderId="9" xfId="0" applyFont="1" applyBorder="1"/>
    <xf numFmtId="0" fontId="8" fillId="0" borderId="9" xfId="0" applyFont="1" applyBorder="1"/>
    <xf numFmtId="0" fontId="8" fillId="0" borderId="10" xfId="0" applyFont="1" applyBorder="1"/>
    <xf numFmtId="0" fontId="7" fillId="0" borderId="10" xfId="0" applyFont="1" applyBorder="1"/>
    <xf numFmtId="0" fontId="7" fillId="0" borderId="0" xfId="0" applyFont="1"/>
    <xf numFmtId="0" fontId="7" fillId="0" borderId="2" xfId="0" applyFont="1" applyBorder="1"/>
    <xf numFmtId="0" fontId="8" fillId="0" borderId="0" xfId="0" applyFont="1"/>
    <xf numFmtId="0" fontId="8" fillId="0" borderId="2" xfId="0" applyFont="1" applyBorder="1"/>
    <xf numFmtId="0" fontId="9" fillId="0" borderId="0" xfId="0" applyFont="1"/>
    <xf numFmtId="2" fontId="8" fillId="0" borderId="0" xfId="0" applyNumberFormat="1" applyFont="1"/>
    <xf numFmtId="164" fontId="9" fillId="0" borderId="2" xfId="0" applyNumberFormat="1" applyFont="1" applyBorder="1"/>
    <xf numFmtId="164" fontId="9" fillId="0" borderId="0" xfId="0" applyNumberFormat="1" applyFont="1"/>
    <xf numFmtId="11" fontId="8" fillId="0" borderId="0" xfId="0" applyNumberFormat="1" applyFont="1"/>
    <xf numFmtId="11" fontId="8" fillId="0" borderId="2" xfId="0" applyNumberFormat="1" applyFont="1" applyBorder="1"/>
    <xf numFmtId="11" fontId="9" fillId="0" borderId="2" xfId="0" applyNumberFormat="1" applyFont="1" applyBorder="1"/>
    <xf numFmtId="2" fontId="8" fillId="0" borderId="2" xfId="0" applyNumberFormat="1" applyFont="1" applyBorder="1"/>
    <xf numFmtId="0" fontId="8" fillId="3" borderId="7" xfId="0" applyFont="1" applyFill="1" applyBorder="1"/>
    <xf numFmtId="0" fontId="8" fillId="0" borderId="6" xfId="0" applyFont="1" applyBorder="1"/>
    <xf numFmtId="0" fontId="8" fillId="0" borderId="5" xfId="0" applyFont="1" applyBorder="1"/>
    <xf numFmtId="0" fontId="9" fillId="0" borderId="5" xfId="0" applyFont="1" applyBorder="1"/>
    <xf numFmtId="2" fontId="8" fillId="0" borderId="5" xfId="0" applyNumberFormat="1" applyFont="1" applyBorder="1"/>
    <xf numFmtId="164" fontId="9" fillId="0" borderId="6" xfId="0" applyNumberFormat="1" applyFont="1" applyBorder="1"/>
    <xf numFmtId="164" fontId="9" fillId="0" borderId="5" xfId="0" applyNumberFormat="1" applyFont="1" applyBorder="1"/>
    <xf numFmtId="11" fontId="9" fillId="0" borderId="6" xfId="0" applyNumberFormat="1" applyFont="1" applyBorder="1"/>
    <xf numFmtId="11" fontId="8" fillId="0" borderId="5" xfId="0" applyNumberFormat="1" applyFont="1" applyBorder="1"/>
    <xf numFmtId="11" fontId="8" fillId="0" borderId="6" xfId="0" applyNumberFormat="1" applyFont="1" applyBorder="1"/>
    <xf numFmtId="2" fontId="8" fillId="0" borderId="6" xfId="0" applyNumberFormat="1" applyFont="1" applyBorder="1"/>
    <xf numFmtId="0" fontId="10" fillId="0" borderId="9" xfId="0" applyFont="1" applyBorder="1"/>
    <xf numFmtId="0" fontId="11" fillId="0" borderId="9" xfId="0" applyFont="1" applyBorder="1"/>
    <xf numFmtId="0" fontId="11" fillId="0" borderId="10" xfId="0" applyFont="1" applyBorder="1"/>
    <xf numFmtId="0" fontId="10" fillId="0" borderId="10" xfId="0" applyFont="1" applyBorder="1"/>
    <xf numFmtId="0" fontId="10" fillId="0" borderId="0" xfId="0" applyFont="1"/>
    <xf numFmtId="0" fontId="11" fillId="3" borderId="0" xfId="0" applyFont="1" applyFill="1"/>
    <xf numFmtId="0" fontId="10" fillId="0" borderId="2" xfId="0" applyFont="1" applyBorder="1"/>
    <xf numFmtId="0" fontId="11" fillId="0" borderId="0" xfId="0" applyFont="1"/>
    <xf numFmtId="0" fontId="11" fillId="0" borderId="2" xfId="0" applyFont="1" applyBorder="1"/>
    <xf numFmtId="0" fontId="12" fillId="0" borderId="0" xfId="0" applyFont="1"/>
    <xf numFmtId="2" fontId="11" fillId="0" borderId="0" xfId="0" applyNumberFormat="1" applyFont="1"/>
    <xf numFmtId="164" fontId="12" fillId="0" borderId="2" xfId="0" applyNumberFormat="1" applyFont="1" applyBorder="1"/>
    <xf numFmtId="164" fontId="12" fillId="0" borderId="0" xfId="0" applyNumberFormat="1" applyFont="1"/>
    <xf numFmtId="11" fontId="11" fillId="0" borderId="0" xfId="0" applyNumberFormat="1" applyFont="1"/>
    <xf numFmtId="11" fontId="11" fillId="0" borderId="2" xfId="0" applyNumberFormat="1" applyFont="1" applyBorder="1"/>
    <xf numFmtId="11" fontId="12" fillId="0" borderId="2" xfId="0" applyNumberFormat="1" applyFont="1" applyBorder="1"/>
    <xf numFmtId="2" fontId="11" fillId="0" borderId="2" xfId="0" applyNumberFormat="1" applyFont="1" applyBorder="1"/>
    <xf numFmtId="0" fontId="11" fillId="3" borderId="7" xfId="0" applyFont="1" applyFill="1" applyBorder="1"/>
    <xf numFmtId="0" fontId="11" fillId="0" borderId="6" xfId="0" applyFont="1" applyBorder="1"/>
    <xf numFmtId="0" fontId="11" fillId="0" borderId="5" xfId="0" applyFont="1" applyBorder="1"/>
    <xf numFmtId="0" fontId="12" fillId="0" borderId="5" xfId="0" applyFont="1" applyBorder="1"/>
    <xf numFmtId="2" fontId="11" fillId="0" borderId="5" xfId="0" applyNumberFormat="1" applyFont="1" applyBorder="1"/>
    <xf numFmtId="164" fontId="12" fillId="0" borderId="6" xfId="0" applyNumberFormat="1" applyFont="1" applyBorder="1"/>
    <xf numFmtId="164" fontId="12" fillId="0" borderId="5" xfId="0" applyNumberFormat="1" applyFont="1" applyBorder="1"/>
    <xf numFmtId="11" fontId="12" fillId="0" borderId="6" xfId="0" applyNumberFormat="1" applyFont="1" applyBorder="1"/>
    <xf numFmtId="11" fontId="11" fillId="0" borderId="5" xfId="0" applyNumberFormat="1" applyFont="1" applyBorder="1"/>
    <xf numFmtId="11" fontId="11" fillId="0" borderId="6" xfId="0" applyNumberFormat="1" applyFont="1" applyBorder="1"/>
    <xf numFmtId="2" fontId="11" fillId="0" borderId="6" xfId="0" applyNumberFormat="1" applyFont="1" applyBorder="1"/>
    <xf numFmtId="164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A2-Burnup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'Results 3'!$D$4:$D$13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'Results 3'!$AC$4:$AC$13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6.4700007700000006E-2</c:v>
                </c:pt>
                <c:pt idx="2">
                  <c:v>1.5392949949999999</c:v>
                </c:pt>
                <c:pt idx="3">
                  <c:v>6.0744920000000002</c:v>
                </c:pt>
                <c:pt idx="4">
                  <c:v>9.9824099999999998</c:v>
                </c:pt>
                <c:pt idx="5">
                  <c:v>13.411190000000001</c:v>
                </c:pt>
                <c:pt idx="6">
                  <c:v>22.092700000000001</c:v>
                </c:pt>
                <c:pt idx="7">
                  <c:v>30.731999999999999</c:v>
                </c:pt>
                <c:pt idx="8">
                  <c:v>34.709000000000003</c:v>
                </c:pt>
                <c:pt idx="9">
                  <c:v>36.840000000000003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4-4629-917D-8DE512BF9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</c:scatterChart>
      <c:scatterChart>
        <c:scatterStyle val="lineMarker"/>
        <c:varyColors val="0"/>
        <c:ser>
          <c:idx val="1"/>
          <c:order val="1"/>
          <c:tx>
            <c:v>A2-Time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'Results 3'!$C$4:$C$13</c:f>
              <c:numCache>
                <c:formatCode>General</c:formatCode>
                <c:ptCount val="10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  <c:pt idx="8">
                  <c:v>1410.37</c:v>
                </c:pt>
                <c:pt idx="9">
                  <c:v>1762.96</c:v>
                </c:pt>
              </c:numCache>
            </c:numRef>
          </c:xVal>
          <c:yVal>
            <c:numRef>
              <c:f>'Results 3'!$AC$4:$AC$13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6.4700007700000006E-2</c:v>
                </c:pt>
                <c:pt idx="2">
                  <c:v>1.5392949949999999</c:v>
                </c:pt>
                <c:pt idx="3">
                  <c:v>6.0744920000000002</c:v>
                </c:pt>
                <c:pt idx="4">
                  <c:v>9.9824099999999998</c:v>
                </c:pt>
                <c:pt idx="5">
                  <c:v>13.411190000000001</c:v>
                </c:pt>
                <c:pt idx="6">
                  <c:v>22.092700000000001</c:v>
                </c:pt>
                <c:pt idx="7">
                  <c:v>30.731999999999999</c:v>
                </c:pt>
                <c:pt idx="8">
                  <c:v>34.709000000000003</c:v>
                </c:pt>
                <c:pt idx="9">
                  <c:v>36.840000000000003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4-4629-917D-8DE512BF9D3A}"/>
            </c:ext>
          </c:extLst>
        </c:ser>
        <c:ser>
          <c:idx val="2"/>
          <c:order val="2"/>
          <c:tx>
            <c:v>C2-20mg-seed-time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3'!$C$69:$C$76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3'!$AC$70:$AC$76</c:f>
              <c:numCache>
                <c:formatCode>0.00E+00</c:formatCode>
                <c:ptCount val="7"/>
                <c:pt idx="0">
                  <c:v>5.8019332000000007E-2</c:v>
                </c:pt>
                <c:pt idx="1">
                  <c:v>1.372349</c:v>
                </c:pt>
                <c:pt idx="2">
                  <c:v>5.3661709999999996</c:v>
                </c:pt>
                <c:pt idx="3">
                  <c:v>8.768460000000001</c:v>
                </c:pt>
                <c:pt idx="4">
                  <c:v>11.71978</c:v>
                </c:pt>
                <c:pt idx="5">
                  <c:v>19.005200000000002</c:v>
                </c:pt>
                <c:pt idx="6">
                  <c:v>23.875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14-4629-917D-8DE512BF9D3A}"/>
            </c:ext>
          </c:extLst>
        </c:ser>
        <c:ser>
          <c:idx val="3"/>
          <c:order val="3"/>
          <c:tx>
            <c:v>C2-20mg-blank-time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3'!$C$69:$C$76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3'!$AD$70:$AD$76</c:f>
              <c:numCache>
                <c:formatCode>0.00E+00</c:formatCode>
                <c:ptCount val="7"/>
                <c:pt idx="0">
                  <c:v>7.2869970000000008E-3</c:v>
                </c:pt>
                <c:pt idx="1">
                  <c:v>0.17629578653</c:v>
                </c:pt>
                <c:pt idx="2">
                  <c:v>0.72811762999999996</c:v>
                </c:pt>
                <c:pt idx="3">
                  <c:v>1.2480448999999998</c:v>
                </c:pt>
                <c:pt idx="4">
                  <c:v>1.7439009000000001</c:v>
                </c:pt>
                <c:pt idx="5">
                  <c:v>3.1615600000000001</c:v>
                </c:pt>
                <c:pt idx="6">
                  <c:v>4.4044099999999995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14-4629-917D-8DE512BF9D3A}"/>
            </c:ext>
          </c:extLst>
        </c:ser>
        <c:ser>
          <c:idx val="4"/>
          <c:order val="4"/>
          <c:tx>
            <c:v>B2-seed-time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'Results 3'!$C$17:$C$24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3'!$AC$17:$AC$24</c:f>
              <c:numCache>
                <c:formatCode>0.00E+00</c:formatCode>
                <c:ptCount val="8"/>
                <c:pt idx="0">
                  <c:v>0</c:v>
                </c:pt>
                <c:pt idx="1">
                  <c:v>5.826337899999999E-2</c:v>
                </c:pt>
                <c:pt idx="2">
                  <c:v>1.3758328399999999</c:v>
                </c:pt>
                <c:pt idx="3">
                  <c:v>5.3122830000000008</c:v>
                </c:pt>
                <c:pt idx="4">
                  <c:v>8.5945</c:v>
                </c:pt>
                <c:pt idx="5">
                  <c:v>11.397349999999999</c:v>
                </c:pt>
                <c:pt idx="6">
                  <c:v>18.133599999999998</c:v>
                </c:pt>
                <c:pt idx="7">
                  <c:v>22.452999999999999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14-4629-917D-8DE512BF9D3A}"/>
            </c:ext>
          </c:extLst>
        </c:ser>
        <c:ser>
          <c:idx val="5"/>
          <c:order val="5"/>
          <c:tx>
            <c:v>B2-blank-time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3'!$C$17:$C$24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3'!$AD$17:$AD$24</c:f>
              <c:numCache>
                <c:formatCode>0.00E+00</c:formatCode>
                <c:ptCount val="8"/>
                <c:pt idx="0">
                  <c:v>0</c:v>
                </c:pt>
                <c:pt idx="1">
                  <c:v>7.9637499999999986E-3</c:v>
                </c:pt>
                <c:pt idx="2">
                  <c:v>0.18879185600000004</c:v>
                </c:pt>
                <c:pt idx="3">
                  <c:v>0.75070055999999996</c:v>
                </c:pt>
                <c:pt idx="4">
                  <c:v>1.2745178999999998</c:v>
                </c:pt>
                <c:pt idx="5">
                  <c:v>1.7673659999999998</c:v>
                </c:pt>
                <c:pt idx="6">
                  <c:v>3.09558</c:v>
                </c:pt>
                <c:pt idx="7">
                  <c:v>4.2515400000000003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714-4629-917D-8DE512BF9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[kg/4 t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B2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'Core 2'!$D$17:$D$24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</c:numCache>
            </c:numRef>
          </c:xVal>
          <c:yVal>
            <c:numRef>
              <c:f>'Core 2'!$E$17:$E$24</c:f>
              <c:numCache>
                <c:formatCode>General</c:formatCode>
                <c:ptCount val="8"/>
                <c:pt idx="0">
                  <c:v>1.16862</c:v>
                </c:pt>
                <c:pt idx="1">
                  <c:v>1.1294</c:v>
                </c:pt>
                <c:pt idx="2">
                  <c:v>1.1160399999999999</c:v>
                </c:pt>
                <c:pt idx="3">
                  <c:v>1.0836699999999999</c:v>
                </c:pt>
                <c:pt idx="4">
                  <c:v>1.0490999999999999</c:v>
                </c:pt>
                <c:pt idx="5">
                  <c:v>1.0170999999999999</c:v>
                </c:pt>
                <c:pt idx="6">
                  <c:v>0.92530999999999997</c:v>
                </c:pt>
                <c:pt idx="7">
                  <c:v>0.84433000000000002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CB-478E-AD35-FBCD9B0C9CE4}"/>
            </c:ext>
          </c:extLst>
        </c:ser>
        <c:ser>
          <c:idx val="3"/>
          <c:order val="3"/>
          <c:tx>
            <c:v>C2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'Core 2'!$D$69:$D$76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</c:numCache>
            </c:numRef>
          </c:xVal>
          <c:yVal>
            <c:numRef>
              <c:f>'Core 2'!$E$69:$E$76</c:f>
              <c:numCache>
                <c:formatCode>General</c:formatCode>
                <c:ptCount val="8"/>
                <c:pt idx="0">
                  <c:v>1.1368400000000001</c:v>
                </c:pt>
                <c:pt idx="1">
                  <c:v>1.1039000000000001</c:v>
                </c:pt>
                <c:pt idx="2">
                  <c:v>1.09118</c:v>
                </c:pt>
                <c:pt idx="3">
                  <c:v>1.06359</c:v>
                </c:pt>
                <c:pt idx="4">
                  <c:v>1.03552</c:v>
                </c:pt>
                <c:pt idx="5">
                  <c:v>1.0078100000000001</c:v>
                </c:pt>
                <c:pt idx="6">
                  <c:v>0.92989999999999995</c:v>
                </c:pt>
                <c:pt idx="7">
                  <c:v>0.85782999999999998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CB-478E-AD35-FBCD9B0C9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</c:scatterChart>
      <c:scatterChart>
        <c:scatterStyle val="lineMarker"/>
        <c:varyColors val="0"/>
        <c:ser>
          <c:idx val="1"/>
          <c:order val="1"/>
          <c:tx>
            <c:v>A2-Time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'Core 2'!$C$4:$C$13</c:f>
              <c:numCache>
                <c:formatCode>General</c:formatCode>
                <c:ptCount val="10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  <c:pt idx="8">
                  <c:v>1410.37</c:v>
                </c:pt>
                <c:pt idx="9">
                  <c:v>1762.96</c:v>
                </c:pt>
              </c:numCache>
            </c:numRef>
          </c:xVal>
          <c:yVal>
            <c:numRef>
              <c:f>'Core 2'!$E$4:$E$13</c:f>
              <c:numCache>
                <c:formatCode>General</c:formatCode>
                <c:ptCount val="10"/>
                <c:pt idx="0">
                  <c:v>1.2342900000000001</c:v>
                </c:pt>
                <c:pt idx="1">
                  <c:v>1.19486</c:v>
                </c:pt>
                <c:pt idx="2">
                  <c:v>1.17886</c:v>
                </c:pt>
                <c:pt idx="3">
                  <c:v>1.1470199999999999</c:v>
                </c:pt>
                <c:pt idx="4">
                  <c:v>1.1138699999999999</c:v>
                </c:pt>
                <c:pt idx="5">
                  <c:v>1.0826899999999999</c:v>
                </c:pt>
                <c:pt idx="6">
                  <c:v>0.99443999999999999</c:v>
                </c:pt>
                <c:pt idx="7">
                  <c:v>0.91393999999999997</c:v>
                </c:pt>
                <c:pt idx="8">
                  <c:v>0.84211000000000003</c:v>
                </c:pt>
                <c:pt idx="9">
                  <c:v>0.78198999999999996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B0CB-478E-AD35-FBCD9B0C9CE4}"/>
            </c:ext>
          </c:extLst>
        </c:ser>
        <c:ser>
          <c:idx val="4"/>
          <c:order val="4"/>
          <c:tx>
            <c:v>C2-5mg</c:v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'Core 2'!$C$43:$C$50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'Core 2'!$E$43:$E$50</c:f>
              <c:numCache>
                <c:formatCode>General</c:formatCode>
                <c:ptCount val="8"/>
                <c:pt idx="0">
                  <c:v>1.20699</c:v>
                </c:pt>
                <c:pt idx="1">
                  <c:v>1.1708000000000001</c:v>
                </c:pt>
                <c:pt idx="2">
                  <c:v>1.1556200000000001</c:v>
                </c:pt>
                <c:pt idx="3">
                  <c:v>1.12476</c:v>
                </c:pt>
                <c:pt idx="4">
                  <c:v>1.0932599999999999</c:v>
                </c:pt>
                <c:pt idx="5">
                  <c:v>1.06393</c:v>
                </c:pt>
                <c:pt idx="6">
                  <c:v>0.97867000000000004</c:v>
                </c:pt>
                <c:pt idx="7">
                  <c:v>0.90022000000000002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5-49B1-82A2-8234475B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'Core 2'!$D$4:$D$13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40</c:v>
                      </c:pt>
                      <c:pt idx="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'Core 2'!$E$4:$E$13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1.2342900000000001</c:v>
                      </c:pt>
                      <c:pt idx="1">
                        <c:v>1.19486</c:v>
                      </c:pt>
                      <c:pt idx="2">
                        <c:v>1.17886</c:v>
                      </c:pt>
                      <c:pt idx="3">
                        <c:v>1.1470199999999999</c:v>
                      </c:pt>
                      <c:pt idx="4">
                        <c:v>1.1138699999999999</c:v>
                      </c:pt>
                      <c:pt idx="5">
                        <c:v>1.0826899999999999</c:v>
                      </c:pt>
                      <c:pt idx="6">
                        <c:v>0.99443999999999999</c:v>
                      </c:pt>
                      <c:pt idx="7">
                        <c:v>0.91393999999999997</c:v>
                      </c:pt>
                      <c:pt idx="8">
                        <c:v>0.84211000000000003</c:v>
                      </c:pt>
                      <c:pt idx="9">
                        <c:v>0.78198999999999996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0CB-478E-AD35-FBCD9B0C9CE4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.25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k-eff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A2-Burnup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'Results 3'!$D$5:$D$13</c:f>
              <c:numCache>
                <c:formatCode>General</c:formatCode>
                <c:ptCount val="9"/>
                <c:pt idx="0">
                  <c:v>0.1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xVal>
          <c:yVal>
            <c:numRef>
              <c:f>'Results 3'!$AF$5:$AF$13</c:f>
              <c:numCache>
                <c:formatCode>0.000</c:formatCode>
                <c:ptCount val="9"/>
                <c:pt idx="0">
                  <c:v>0.99690869124888837</c:v>
                </c:pt>
                <c:pt idx="1">
                  <c:v>0.97901961930305637</c:v>
                </c:pt>
                <c:pt idx="2">
                  <c:v>0.91810146428705475</c:v>
                </c:pt>
                <c:pt idx="3">
                  <c:v>0.86371928221742045</c:v>
                </c:pt>
                <c:pt idx="4">
                  <c:v>0.81499106343284966</c:v>
                </c:pt>
                <c:pt idx="5">
                  <c:v>0.68167313184898182</c:v>
                </c:pt>
                <c:pt idx="6">
                  <c:v>0.5411297670180919</c:v>
                </c:pt>
                <c:pt idx="7">
                  <c:v>0.48805785243020539</c:v>
                </c:pt>
                <c:pt idx="8">
                  <c:v>0.45358306188925074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1-4D31-930B-C1853C7E2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</c:scatterChart>
      <c:scatterChart>
        <c:scatterStyle val="lineMarker"/>
        <c:varyColors val="0"/>
        <c:ser>
          <c:idx val="2"/>
          <c:order val="2"/>
          <c:tx>
            <c:v>C2-20mg-seed-time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3'!$C$69:$C$76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3'!$AF$70:$AF$76</c:f>
              <c:numCache>
                <c:formatCode>0.00</c:formatCode>
                <c:ptCount val="7"/>
                <c:pt idx="0">
                  <c:v>0.99639203015987832</c:v>
                </c:pt>
                <c:pt idx="1">
                  <c:v>0.97642800774438565</c:v>
                </c:pt>
                <c:pt idx="2">
                  <c:v>0.90902805743611237</c:v>
                </c:pt>
                <c:pt idx="3">
                  <c:v>0.85020630760703697</c:v>
                </c:pt>
                <c:pt idx="4">
                  <c:v>0.7984791523390371</c:v>
                </c:pt>
                <c:pt idx="5">
                  <c:v>0.66139793319723017</c:v>
                </c:pt>
                <c:pt idx="6">
                  <c:v>0.57298429319371724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11-4D31-930B-C1853C7E2891}"/>
            </c:ext>
          </c:extLst>
        </c:ser>
        <c:ser>
          <c:idx val="3"/>
          <c:order val="3"/>
          <c:tx>
            <c:v>C2-20mg-blank-time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3'!$C$69:$C$76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3'!$AG$70:$AG$76</c:f>
              <c:numCache>
                <c:formatCode>0.00</c:formatCode>
                <c:ptCount val="7"/>
                <c:pt idx="0">
                  <c:v>0.99862810427944448</c:v>
                </c:pt>
                <c:pt idx="1">
                  <c:v>0.99038101497841846</c:v>
                </c:pt>
                <c:pt idx="2">
                  <c:v>0.9617951429084336</c:v>
                </c:pt>
                <c:pt idx="3">
                  <c:v>0.93426125935052518</c:v>
                </c:pt>
                <c:pt idx="4">
                  <c:v>0.90773506682633165</c:v>
                </c:pt>
                <c:pt idx="5">
                  <c:v>0.82554182112627938</c:v>
                </c:pt>
                <c:pt idx="6">
                  <c:v>0.75310881593675438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11-4D31-930B-C1853C7E2891}"/>
            </c:ext>
          </c:extLst>
        </c:ser>
        <c:ser>
          <c:idx val="4"/>
          <c:order val="4"/>
          <c:tx>
            <c:v>B2-seed-time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3'!$C$18:$C$24</c:f>
              <c:numCache>
                <c:formatCode>General</c:formatCode>
                <c:ptCount val="7"/>
                <c:pt idx="0">
                  <c:v>3.5259299999999998</c:v>
                </c:pt>
                <c:pt idx="1">
                  <c:v>35.256599999999999</c:v>
                </c:pt>
                <c:pt idx="2">
                  <c:v>141.02600000000001</c:v>
                </c:pt>
                <c:pt idx="3">
                  <c:v>246.79599999999999</c:v>
                </c:pt>
                <c:pt idx="4">
                  <c:v>352.59300000000002</c:v>
                </c:pt>
                <c:pt idx="5">
                  <c:v>705.18499999999995</c:v>
                </c:pt>
                <c:pt idx="6">
                  <c:v>1057.78</c:v>
                </c:pt>
              </c:numCache>
            </c:numRef>
          </c:xVal>
          <c:yVal>
            <c:numRef>
              <c:f>'Results 3'!$AF$18:$AF$24</c:f>
              <c:numCache>
                <c:formatCode>0.00</c:formatCode>
                <c:ptCount val="7"/>
                <c:pt idx="0">
                  <c:v>0.99616604797329056</c:v>
                </c:pt>
                <c:pt idx="1">
                  <c:v>0.97322869542785451</c:v>
                </c:pt>
                <c:pt idx="2">
                  <c:v>0.8956601144931472</c:v>
                </c:pt>
                <c:pt idx="3">
                  <c:v>0.82855314445284778</c:v>
                </c:pt>
                <c:pt idx="4">
                  <c:v>0.76991581376372586</c:v>
                </c:pt>
                <c:pt idx="5">
                  <c:v>0.61929236334759785</c:v>
                </c:pt>
                <c:pt idx="6">
                  <c:v>0.52598761858103593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11-4D31-930B-C1853C7E2891}"/>
            </c:ext>
          </c:extLst>
        </c:ser>
        <c:ser>
          <c:idx val="5"/>
          <c:order val="5"/>
          <c:tx>
            <c:v>B2-blank-time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3'!$C$18:$C$24</c:f>
              <c:numCache>
                <c:formatCode>General</c:formatCode>
                <c:ptCount val="7"/>
                <c:pt idx="0">
                  <c:v>3.5259299999999998</c:v>
                </c:pt>
                <c:pt idx="1">
                  <c:v>35.256599999999999</c:v>
                </c:pt>
                <c:pt idx="2">
                  <c:v>141.02600000000001</c:v>
                </c:pt>
                <c:pt idx="3">
                  <c:v>246.79599999999999</c:v>
                </c:pt>
                <c:pt idx="4">
                  <c:v>352.59300000000002</c:v>
                </c:pt>
                <c:pt idx="5">
                  <c:v>705.18499999999995</c:v>
                </c:pt>
                <c:pt idx="6">
                  <c:v>1057.78</c:v>
                </c:pt>
              </c:numCache>
            </c:numRef>
          </c:xVal>
          <c:yVal>
            <c:numRef>
              <c:f>'Results 3'!$AG$18:$AG$24</c:f>
              <c:numCache>
                <c:formatCode>0.00</c:formatCode>
                <c:ptCount val="7"/>
                <c:pt idx="0">
                  <c:v>0.99839899544812438</c:v>
                </c:pt>
                <c:pt idx="1">
                  <c:v>0.98786040855491131</c:v>
                </c:pt>
                <c:pt idx="2">
                  <c:v>0.95271009255674466</c:v>
                </c:pt>
                <c:pt idx="3">
                  <c:v>0.91877877901911009</c:v>
                </c:pt>
                <c:pt idx="4">
                  <c:v>0.88606434660392941</c:v>
                </c:pt>
                <c:pt idx="5">
                  <c:v>0.79048191292100356</c:v>
                </c:pt>
                <c:pt idx="6">
                  <c:v>0.70727312926610109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11-4D31-930B-C1853C7E2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A2-Time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3'!$C$5:$C$13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3.5259299999999998</c:v>
                      </c:pt>
                      <c:pt idx="1">
                        <c:v>35.256599999999999</c:v>
                      </c:pt>
                      <c:pt idx="2">
                        <c:v>141.02600000000001</c:v>
                      </c:pt>
                      <c:pt idx="3">
                        <c:v>246.79599999999999</c:v>
                      </c:pt>
                      <c:pt idx="4">
                        <c:v>352.59300000000002</c:v>
                      </c:pt>
                      <c:pt idx="5">
                        <c:v>705.18499999999995</c:v>
                      </c:pt>
                      <c:pt idx="6">
                        <c:v>1057.78</c:v>
                      </c:pt>
                      <c:pt idx="7">
                        <c:v>1410.37</c:v>
                      </c:pt>
                      <c:pt idx="8">
                        <c:v>1762.96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3'!$AF$5:$AF$13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0.99690869124888837</c:v>
                      </c:pt>
                      <c:pt idx="1">
                        <c:v>0.97901961930305637</c:v>
                      </c:pt>
                      <c:pt idx="2">
                        <c:v>0.91810146428705475</c:v>
                      </c:pt>
                      <c:pt idx="3">
                        <c:v>0.86371928221742045</c:v>
                      </c:pt>
                      <c:pt idx="4">
                        <c:v>0.81499106343284966</c:v>
                      </c:pt>
                      <c:pt idx="5">
                        <c:v>0.68167313184898182</c:v>
                      </c:pt>
                      <c:pt idx="6">
                        <c:v>0.5411297670180919</c:v>
                      </c:pt>
                      <c:pt idx="7">
                        <c:v>0.48805785243020539</c:v>
                      </c:pt>
                      <c:pt idx="8">
                        <c:v>0.45358306188925074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E211-4D31-930B-C1853C7E2891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Quality [Pu-239/Pu]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3'!$D$43:$D$50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3'!$AN$43:$AN$50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0.12551854970694015</c:v>
                      </c:pt>
                      <c:pt idx="2">
                        <c:v>1.2339374629876365</c:v>
                      </c:pt>
                      <c:pt idx="3">
                        <c:v>4.7741288033244071</c:v>
                      </c:pt>
                      <c:pt idx="4">
                        <c:v>8.1959045664103449</c:v>
                      </c:pt>
                      <c:pt idx="5">
                        <c:v>11.599238313618619</c:v>
                      </c:pt>
                      <c:pt idx="6">
                        <c:v>23.406213221102867</c:v>
                      </c:pt>
                      <c:pt idx="7">
                        <c:v>36.365308752743459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AF0-4F0A-AB18-AF615891F0C5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A2-Time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'Results 3'!$C$43:$C$50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3'!$AN$43:$AN$50</c:f>
              <c:numCache>
                <c:formatCode>0.00</c:formatCode>
                <c:ptCount val="8"/>
                <c:pt idx="0">
                  <c:v>0</c:v>
                </c:pt>
                <c:pt idx="1">
                  <c:v>0.12551854970694015</c:v>
                </c:pt>
                <c:pt idx="2">
                  <c:v>1.2339374629876365</c:v>
                </c:pt>
                <c:pt idx="3">
                  <c:v>4.7741288033244071</c:v>
                </c:pt>
                <c:pt idx="4">
                  <c:v>8.1959045664103449</c:v>
                </c:pt>
                <c:pt idx="5">
                  <c:v>11.599238313618619</c:v>
                </c:pt>
                <c:pt idx="6">
                  <c:v>23.406213221102867</c:v>
                </c:pt>
                <c:pt idx="7">
                  <c:v>36.365308752743459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0-4F0A-AB18-AF615891F0C5}"/>
            </c:ext>
          </c:extLst>
        </c:ser>
        <c:ser>
          <c:idx val="2"/>
          <c:order val="2"/>
          <c:tx>
            <c:v>C2-Time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'Results 3'!$C$69:$C$74</c:f>
              <c:numCache>
                <c:formatCode>General</c:formatCode>
                <c:ptCount val="6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</c:numCache>
            </c:numRef>
          </c:xVal>
          <c:yVal>
            <c:numRef>
              <c:f>'Results 3'!$AN$69:$AN$74</c:f>
              <c:numCache>
                <c:formatCode>0.00</c:formatCode>
                <c:ptCount val="6"/>
                <c:pt idx="0">
                  <c:v>0</c:v>
                </c:pt>
                <c:pt idx="1">
                  <c:v>0.47062210419135803</c:v>
                </c:pt>
                <c:pt idx="2">
                  <c:v>4.618917750599187</c:v>
                </c:pt>
                <c:pt idx="3">
                  <c:v>17.84198452138514</c:v>
                </c:pt>
                <c:pt idx="4">
                  <c:v>30.544852365990867</c:v>
                </c:pt>
                <c:pt idx="5">
                  <c:v>43.06054665074177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F0-4F0A-AB18-AF615891F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</c:scatterChart>
      <c:valAx>
        <c:axId val="160028804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 [g/4 t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B2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3'!$D$17:$D$24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</c:numCache>
            </c:numRef>
          </c:xVal>
          <c:yVal>
            <c:numRef>
              <c:f>'Results 3'!$E$17:$E$24</c:f>
              <c:numCache>
                <c:formatCode>General</c:formatCode>
                <c:ptCount val="8"/>
                <c:pt idx="0">
                  <c:v>1.16862</c:v>
                </c:pt>
                <c:pt idx="1">
                  <c:v>1.1294</c:v>
                </c:pt>
                <c:pt idx="2">
                  <c:v>1.1160399999999999</c:v>
                </c:pt>
                <c:pt idx="3">
                  <c:v>1.0836699999999999</c:v>
                </c:pt>
                <c:pt idx="4">
                  <c:v>1.0490999999999999</c:v>
                </c:pt>
                <c:pt idx="5">
                  <c:v>1.0170999999999999</c:v>
                </c:pt>
                <c:pt idx="6">
                  <c:v>0.92530999999999997</c:v>
                </c:pt>
                <c:pt idx="7">
                  <c:v>0.84433000000000002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D-4D21-8D5E-D5625CF7D424}"/>
            </c:ext>
          </c:extLst>
        </c:ser>
        <c:ser>
          <c:idx val="3"/>
          <c:order val="3"/>
          <c:tx>
            <c:v>C2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3'!$D$69:$D$76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</c:numCache>
            </c:numRef>
          </c:xVal>
          <c:yVal>
            <c:numRef>
              <c:f>'Results 3'!$E$69:$E$76</c:f>
              <c:numCache>
                <c:formatCode>General</c:formatCode>
                <c:ptCount val="8"/>
                <c:pt idx="0">
                  <c:v>1.1368400000000001</c:v>
                </c:pt>
                <c:pt idx="1">
                  <c:v>1.1039000000000001</c:v>
                </c:pt>
                <c:pt idx="2">
                  <c:v>1.09118</c:v>
                </c:pt>
                <c:pt idx="3">
                  <c:v>1.06359</c:v>
                </c:pt>
                <c:pt idx="4">
                  <c:v>1.03552</c:v>
                </c:pt>
                <c:pt idx="5">
                  <c:v>1.0078100000000001</c:v>
                </c:pt>
                <c:pt idx="6">
                  <c:v>0.92989999999999995</c:v>
                </c:pt>
                <c:pt idx="7">
                  <c:v>0.85782999999999998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D-4D21-8D5E-D5625CF7D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</c:scatterChart>
      <c:scatterChart>
        <c:scatterStyle val="lineMarker"/>
        <c:varyColors val="0"/>
        <c:ser>
          <c:idx val="1"/>
          <c:order val="1"/>
          <c:tx>
            <c:v>A2-Time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3'!$C$4:$C$13</c:f>
              <c:numCache>
                <c:formatCode>General</c:formatCode>
                <c:ptCount val="10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  <c:pt idx="8">
                  <c:v>1410.37</c:v>
                </c:pt>
                <c:pt idx="9">
                  <c:v>1762.96</c:v>
                </c:pt>
              </c:numCache>
            </c:numRef>
          </c:xVal>
          <c:yVal>
            <c:numRef>
              <c:f>'Results 3'!$E$4:$E$13</c:f>
              <c:numCache>
                <c:formatCode>General</c:formatCode>
                <c:ptCount val="10"/>
                <c:pt idx="0">
                  <c:v>1.2342900000000001</c:v>
                </c:pt>
                <c:pt idx="1">
                  <c:v>1.19486</c:v>
                </c:pt>
                <c:pt idx="2">
                  <c:v>1.17886</c:v>
                </c:pt>
                <c:pt idx="3">
                  <c:v>1.1470199999999999</c:v>
                </c:pt>
                <c:pt idx="4">
                  <c:v>1.1138699999999999</c:v>
                </c:pt>
                <c:pt idx="5">
                  <c:v>1.0826899999999999</c:v>
                </c:pt>
                <c:pt idx="6">
                  <c:v>0.99443999999999999</c:v>
                </c:pt>
                <c:pt idx="7">
                  <c:v>0.91393999999999997</c:v>
                </c:pt>
                <c:pt idx="8">
                  <c:v>0.84211000000000003</c:v>
                </c:pt>
                <c:pt idx="9">
                  <c:v>0.78198999999999996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7AD-4D21-8D5E-D5625CF7D424}"/>
            </c:ext>
          </c:extLst>
        </c:ser>
        <c:ser>
          <c:idx val="4"/>
          <c:order val="4"/>
          <c:tx>
            <c:v>C2-5mg</c:v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 3'!$C$43:$C$50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3'!$E$43:$E$50</c:f>
              <c:numCache>
                <c:formatCode>General</c:formatCode>
                <c:ptCount val="8"/>
                <c:pt idx="0">
                  <c:v>1.20699</c:v>
                </c:pt>
                <c:pt idx="1">
                  <c:v>1.1708000000000001</c:v>
                </c:pt>
                <c:pt idx="2">
                  <c:v>1.1556200000000001</c:v>
                </c:pt>
                <c:pt idx="3">
                  <c:v>1.12476</c:v>
                </c:pt>
                <c:pt idx="4">
                  <c:v>1.0932599999999999</c:v>
                </c:pt>
                <c:pt idx="5">
                  <c:v>1.06393</c:v>
                </c:pt>
                <c:pt idx="6">
                  <c:v>0.97867000000000004</c:v>
                </c:pt>
                <c:pt idx="7">
                  <c:v>0.90022000000000002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AD-4D21-8D5E-D5625CF7D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3'!$D$4:$D$13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40</c:v>
                      </c:pt>
                      <c:pt idx="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3'!$E$4:$E$13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1.2342900000000001</c:v>
                      </c:pt>
                      <c:pt idx="1">
                        <c:v>1.19486</c:v>
                      </c:pt>
                      <c:pt idx="2">
                        <c:v>1.17886</c:v>
                      </c:pt>
                      <c:pt idx="3">
                        <c:v>1.1470199999999999</c:v>
                      </c:pt>
                      <c:pt idx="4">
                        <c:v>1.1138699999999999</c:v>
                      </c:pt>
                      <c:pt idx="5">
                        <c:v>1.0826899999999999</c:v>
                      </c:pt>
                      <c:pt idx="6">
                        <c:v>0.99443999999999999</c:v>
                      </c:pt>
                      <c:pt idx="7">
                        <c:v>0.91393999999999997</c:v>
                      </c:pt>
                      <c:pt idx="8">
                        <c:v>0.84211000000000003</c:v>
                      </c:pt>
                      <c:pt idx="9">
                        <c:v>0.78198999999999996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7AD-4D21-8D5E-D5625CF7D424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.25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k-eff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Sheet1!$C$5:$C$11</c:f>
              <c:numCache>
                <c:formatCode>General</c:formatCode>
                <c:ptCount val="7"/>
                <c:pt idx="0">
                  <c:v>3.5259299999999998</c:v>
                </c:pt>
                <c:pt idx="1">
                  <c:v>35.259300000000003</c:v>
                </c:pt>
                <c:pt idx="2">
                  <c:v>352.59300000000002</c:v>
                </c:pt>
                <c:pt idx="3">
                  <c:v>705.18499999999995</c:v>
                </c:pt>
                <c:pt idx="4">
                  <c:v>1057.78</c:v>
                </c:pt>
                <c:pt idx="5">
                  <c:v>1410.37</c:v>
                </c:pt>
                <c:pt idx="6">
                  <c:v>1762.96</c:v>
                </c:pt>
              </c:numCache>
            </c:numRef>
          </c:xVal>
          <c:yVal>
            <c:numRef>
              <c:f>Sheet1!$AH$5:$AH$11</c:f>
              <c:numCache>
                <c:formatCode>0.00E+00</c:formatCode>
                <c:ptCount val="7"/>
                <c:pt idx="0">
                  <c:v>0.99676721905182097</c:v>
                </c:pt>
                <c:pt idx="1">
                  <c:v>0.97838396137014749</c:v>
                </c:pt>
                <c:pt idx="2">
                  <c:v>0.82225876457032909</c:v>
                </c:pt>
                <c:pt idx="3">
                  <c:v>0.71518272425249163</c:v>
                </c:pt>
                <c:pt idx="4">
                  <c:v>0.64487342924786006</c:v>
                </c:pt>
                <c:pt idx="5">
                  <c:v>0.59463528123716991</c:v>
                </c:pt>
                <c:pt idx="6">
                  <c:v>0.55810202869026404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A-4E2E-B019-D8DC1C24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15184"/>
        <c:axId val="929017104"/>
      </c:scatterChart>
      <c:valAx>
        <c:axId val="929015184"/>
        <c:scaling>
          <c:orientation val="minMax"/>
          <c:max val="18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17104"/>
        <c:crosses val="autoZero"/>
        <c:crossBetween val="midCat"/>
      </c:valAx>
      <c:valAx>
        <c:axId val="92901710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Burnup</a:t>
            </a:r>
            <a:r>
              <a:rPr lang="en-US" baseline="0"/>
              <a:t> (MWd/kg) vs. Pu-239 (g)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Sheet1!$D$26:$D$35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Sheet1!$Q$26:$Q$35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64.5</c:v>
                </c:pt>
                <c:pt idx="2">
                  <c:v>1507</c:v>
                </c:pt>
                <c:pt idx="3">
                  <c:v>5577</c:v>
                </c:pt>
                <c:pt idx="4">
                  <c:v>8622</c:v>
                </c:pt>
                <c:pt idx="5">
                  <c:v>10930</c:v>
                </c:pt>
                <c:pt idx="6">
                  <c:v>15060</c:v>
                </c:pt>
                <c:pt idx="7">
                  <c:v>16630</c:v>
                </c:pt>
                <c:pt idx="8">
                  <c:v>16940</c:v>
                </c:pt>
                <c:pt idx="9">
                  <c:v>16710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D-AA40-8061-6EE0797CCC0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Sheet1!$D$39:$D$48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Sheet1!$Q$39:$Q$48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64.83</c:v>
                </c:pt>
                <c:pt idx="2">
                  <c:v>1510</c:v>
                </c:pt>
                <c:pt idx="3">
                  <c:v>5591</c:v>
                </c:pt>
                <c:pt idx="4">
                  <c:v>8645</c:v>
                </c:pt>
                <c:pt idx="5">
                  <c:v>10960</c:v>
                </c:pt>
                <c:pt idx="6">
                  <c:v>15110</c:v>
                </c:pt>
                <c:pt idx="7">
                  <c:v>16700</c:v>
                </c:pt>
                <c:pt idx="8">
                  <c:v>17020</c:v>
                </c:pt>
                <c:pt idx="9">
                  <c:v>16790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0D-AA40-8061-6EE0797C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</c:scatterChart>
      <c:valAx>
        <c:axId val="160028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Pu-239 (grams)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A2-Burnup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'Core 2'!$D$4:$D$13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'Core 2'!$AC$4:$AC$13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6.4700007700000006E-2</c:v>
                </c:pt>
                <c:pt idx="2">
                  <c:v>1.5392949949999999</c:v>
                </c:pt>
                <c:pt idx="3">
                  <c:v>6.0744920000000002</c:v>
                </c:pt>
                <c:pt idx="4">
                  <c:v>9.9824099999999998</c:v>
                </c:pt>
                <c:pt idx="5">
                  <c:v>13.411190000000001</c:v>
                </c:pt>
                <c:pt idx="6">
                  <c:v>22.092700000000001</c:v>
                </c:pt>
                <c:pt idx="7">
                  <c:v>30.731999999999999</c:v>
                </c:pt>
                <c:pt idx="8">
                  <c:v>34.709000000000003</c:v>
                </c:pt>
                <c:pt idx="9">
                  <c:v>36.840000000000003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1-408E-9460-FD2BB6B9F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</c:scatterChart>
      <c:scatterChart>
        <c:scatterStyle val="lineMarker"/>
        <c:varyColors val="0"/>
        <c:ser>
          <c:idx val="1"/>
          <c:order val="1"/>
          <c:tx>
            <c:v>A2-Time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'Core 2'!$C$4:$C$13</c:f>
              <c:numCache>
                <c:formatCode>General</c:formatCode>
                <c:ptCount val="10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  <c:pt idx="8">
                  <c:v>1410.37</c:v>
                </c:pt>
                <c:pt idx="9">
                  <c:v>1762.96</c:v>
                </c:pt>
              </c:numCache>
            </c:numRef>
          </c:xVal>
          <c:yVal>
            <c:numRef>
              <c:f>'Core 2'!$AC$4:$AC$13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6.4700007700000006E-2</c:v>
                </c:pt>
                <c:pt idx="2">
                  <c:v>1.5392949949999999</c:v>
                </c:pt>
                <c:pt idx="3">
                  <c:v>6.0744920000000002</c:v>
                </c:pt>
                <c:pt idx="4">
                  <c:v>9.9824099999999998</c:v>
                </c:pt>
                <c:pt idx="5">
                  <c:v>13.411190000000001</c:v>
                </c:pt>
                <c:pt idx="6">
                  <c:v>22.092700000000001</c:v>
                </c:pt>
                <c:pt idx="7">
                  <c:v>30.731999999999999</c:v>
                </c:pt>
                <c:pt idx="8">
                  <c:v>34.709000000000003</c:v>
                </c:pt>
                <c:pt idx="9">
                  <c:v>36.840000000000003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A1-408E-9460-FD2BB6B9F475}"/>
            </c:ext>
          </c:extLst>
        </c:ser>
        <c:ser>
          <c:idx val="2"/>
          <c:order val="2"/>
          <c:tx>
            <c:v>C2-20mg-seed-time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'Core 2'!$C$69:$C$76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'Core 2'!$AC$70:$AC$76</c:f>
              <c:numCache>
                <c:formatCode>0.00E+00</c:formatCode>
                <c:ptCount val="7"/>
                <c:pt idx="0">
                  <c:v>5.8019332000000007E-2</c:v>
                </c:pt>
                <c:pt idx="1">
                  <c:v>1.372349</c:v>
                </c:pt>
                <c:pt idx="2">
                  <c:v>5.3661709999999996</c:v>
                </c:pt>
                <c:pt idx="3">
                  <c:v>8.768460000000001</c:v>
                </c:pt>
                <c:pt idx="4">
                  <c:v>11.71978</c:v>
                </c:pt>
                <c:pt idx="5">
                  <c:v>19.005200000000002</c:v>
                </c:pt>
                <c:pt idx="6">
                  <c:v>23.875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A8-40B5-84AB-20ECB4702361}"/>
            </c:ext>
          </c:extLst>
        </c:ser>
        <c:ser>
          <c:idx val="3"/>
          <c:order val="3"/>
          <c:tx>
            <c:v>C2-20mg-blank-time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'Core 2'!$C$69:$C$76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'Core 2'!$AD$70:$AD$76</c:f>
              <c:numCache>
                <c:formatCode>0.00E+00</c:formatCode>
                <c:ptCount val="7"/>
                <c:pt idx="0">
                  <c:v>7.2869970000000008E-3</c:v>
                </c:pt>
                <c:pt idx="1">
                  <c:v>0.17629578653</c:v>
                </c:pt>
                <c:pt idx="2">
                  <c:v>0.72811762999999996</c:v>
                </c:pt>
                <c:pt idx="3">
                  <c:v>1.2480448999999998</c:v>
                </c:pt>
                <c:pt idx="4">
                  <c:v>1.7439009000000001</c:v>
                </c:pt>
                <c:pt idx="5">
                  <c:v>3.1615600000000001</c:v>
                </c:pt>
                <c:pt idx="6">
                  <c:v>4.4044099999999995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A8-40B5-84AB-20ECB4702361}"/>
            </c:ext>
          </c:extLst>
        </c:ser>
        <c:ser>
          <c:idx val="4"/>
          <c:order val="4"/>
          <c:tx>
            <c:v>B2-seed-time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'Core 2'!$C$17:$C$24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'Core 2'!$AC$17:$AC$24</c:f>
              <c:numCache>
                <c:formatCode>0.00E+00</c:formatCode>
                <c:ptCount val="8"/>
                <c:pt idx="0">
                  <c:v>0</c:v>
                </c:pt>
                <c:pt idx="1">
                  <c:v>5.826337899999999E-2</c:v>
                </c:pt>
                <c:pt idx="2">
                  <c:v>1.3758328399999999</c:v>
                </c:pt>
                <c:pt idx="3">
                  <c:v>5.3122830000000008</c:v>
                </c:pt>
                <c:pt idx="4">
                  <c:v>8.5945</c:v>
                </c:pt>
                <c:pt idx="5">
                  <c:v>11.397349999999999</c:v>
                </c:pt>
                <c:pt idx="6">
                  <c:v>18.133599999999998</c:v>
                </c:pt>
                <c:pt idx="7">
                  <c:v>22.452999999999999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A8-40B5-84AB-20ECB4702361}"/>
            </c:ext>
          </c:extLst>
        </c:ser>
        <c:ser>
          <c:idx val="5"/>
          <c:order val="5"/>
          <c:tx>
            <c:v>B2-blank-time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'Core 2'!$C$17:$C$24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'Core 2'!$AD$17:$AD$24</c:f>
              <c:numCache>
                <c:formatCode>0.00E+00</c:formatCode>
                <c:ptCount val="8"/>
                <c:pt idx="0">
                  <c:v>0</c:v>
                </c:pt>
                <c:pt idx="1">
                  <c:v>7.9637499999999986E-3</c:v>
                </c:pt>
                <c:pt idx="2">
                  <c:v>0.18879185600000004</c:v>
                </c:pt>
                <c:pt idx="3">
                  <c:v>0.75070055999999996</c:v>
                </c:pt>
                <c:pt idx="4">
                  <c:v>1.2745178999999998</c:v>
                </c:pt>
                <c:pt idx="5">
                  <c:v>1.7673659999999998</c:v>
                </c:pt>
                <c:pt idx="6">
                  <c:v>3.09558</c:v>
                </c:pt>
                <c:pt idx="7">
                  <c:v>4.2515400000000003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A8-40B5-84AB-20ECB470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[kg/4 t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A2-Burnup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'Core 2'!$D$5:$D$13</c:f>
              <c:numCache>
                <c:formatCode>General</c:formatCode>
                <c:ptCount val="9"/>
                <c:pt idx="0">
                  <c:v>0.1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xVal>
          <c:yVal>
            <c:numRef>
              <c:f>'Core 2'!$AF$5:$AF$13</c:f>
              <c:numCache>
                <c:formatCode>0.000</c:formatCode>
                <c:ptCount val="9"/>
                <c:pt idx="0">
                  <c:v>0.99690869124888837</c:v>
                </c:pt>
                <c:pt idx="1">
                  <c:v>0.97901961930305637</c:v>
                </c:pt>
                <c:pt idx="2">
                  <c:v>0.91810146428705475</c:v>
                </c:pt>
                <c:pt idx="3">
                  <c:v>0.86371928221742045</c:v>
                </c:pt>
                <c:pt idx="4">
                  <c:v>0.81499106343284966</c:v>
                </c:pt>
                <c:pt idx="5">
                  <c:v>0.68167313184898182</c:v>
                </c:pt>
                <c:pt idx="6">
                  <c:v>0.5411297670180919</c:v>
                </c:pt>
                <c:pt idx="7">
                  <c:v>0.48805785243020539</c:v>
                </c:pt>
                <c:pt idx="8">
                  <c:v>0.45358306188925074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6-44C7-9E70-8D3745882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</c:scatterChart>
      <c:scatterChart>
        <c:scatterStyle val="lineMarker"/>
        <c:varyColors val="0"/>
        <c:ser>
          <c:idx val="2"/>
          <c:order val="2"/>
          <c:tx>
            <c:v>C2-20mg-seed-time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'Core 2'!$C$69:$C$76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'Core 2'!$AF$70:$AF$76</c:f>
              <c:numCache>
                <c:formatCode>0.00</c:formatCode>
                <c:ptCount val="7"/>
                <c:pt idx="0">
                  <c:v>0.99639203015987832</c:v>
                </c:pt>
                <c:pt idx="1">
                  <c:v>0.97642800774438565</c:v>
                </c:pt>
                <c:pt idx="2">
                  <c:v>0.90902805743611237</c:v>
                </c:pt>
                <c:pt idx="3">
                  <c:v>0.85020630760703697</c:v>
                </c:pt>
                <c:pt idx="4">
                  <c:v>0.7984791523390371</c:v>
                </c:pt>
                <c:pt idx="5">
                  <c:v>0.66139793319723017</c:v>
                </c:pt>
                <c:pt idx="6">
                  <c:v>0.57298429319371724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41-42ED-9FDB-E821F4052068}"/>
            </c:ext>
          </c:extLst>
        </c:ser>
        <c:ser>
          <c:idx val="3"/>
          <c:order val="3"/>
          <c:tx>
            <c:v>C2-20mg-blank-time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'Core 2'!$C$69:$C$76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'Core 2'!$AG$70:$AG$76</c:f>
              <c:numCache>
                <c:formatCode>0.00</c:formatCode>
                <c:ptCount val="7"/>
                <c:pt idx="0">
                  <c:v>0.99862810427944448</c:v>
                </c:pt>
                <c:pt idx="1">
                  <c:v>0.99038101497841846</c:v>
                </c:pt>
                <c:pt idx="2">
                  <c:v>0.9617951429084336</c:v>
                </c:pt>
                <c:pt idx="3">
                  <c:v>0.93426125935052518</c:v>
                </c:pt>
                <c:pt idx="4">
                  <c:v>0.90773506682633165</c:v>
                </c:pt>
                <c:pt idx="5">
                  <c:v>0.82554182112627938</c:v>
                </c:pt>
                <c:pt idx="6">
                  <c:v>0.75310881593675438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41-42ED-9FDB-E821F4052068}"/>
            </c:ext>
          </c:extLst>
        </c:ser>
        <c:ser>
          <c:idx val="4"/>
          <c:order val="4"/>
          <c:tx>
            <c:v>B2-seed-time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'Core 2'!$C$18:$C$24</c:f>
              <c:numCache>
                <c:formatCode>General</c:formatCode>
                <c:ptCount val="7"/>
                <c:pt idx="0">
                  <c:v>3.5259299999999998</c:v>
                </c:pt>
                <c:pt idx="1">
                  <c:v>35.256599999999999</c:v>
                </c:pt>
                <c:pt idx="2">
                  <c:v>141.02600000000001</c:v>
                </c:pt>
                <c:pt idx="3">
                  <c:v>246.79599999999999</c:v>
                </c:pt>
                <c:pt idx="4">
                  <c:v>352.59300000000002</c:v>
                </c:pt>
                <c:pt idx="5">
                  <c:v>705.18499999999995</c:v>
                </c:pt>
                <c:pt idx="6">
                  <c:v>1057.78</c:v>
                </c:pt>
              </c:numCache>
            </c:numRef>
          </c:xVal>
          <c:yVal>
            <c:numRef>
              <c:f>'Core 2'!$AF$18:$AF$24</c:f>
              <c:numCache>
                <c:formatCode>0.00</c:formatCode>
                <c:ptCount val="7"/>
                <c:pt idx="0">
                  <c:v>0.99616604797329056</c:v>
                </c:pt>
                <c:pt idx="1">
                  <c:v>0.97322869542785451</c:v>
                </c:pt>
                <c:pt idx="2">
                  <c:v>0.8956601144931472</c:v>
                </c:pt>
                <c:pt idx="3">
                  <c:v>0.82855314445284778</c:v>
                </c:pt>
                <c:pt idx="4">
                  <c:v>0.76991581376372586</c:v>
                </c:pt>
                <c:pt idx="5">
                  <c:v>0.61929236334759785</c:v>
                </c:pt>
                <c:pt idx="6">
                  <c:v>0.52598761858103593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41-42ED-9FDB-E821F4052068}"/>
            </c:ext>
          </c:extLst>
        </c:ser>
        <c:ser>
          <c:idx val="5"/>
          <c:order val="5"/>
          <c:tx>
            <c:v>B2-blank-time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'Core 2'!$C$18:$C$24</c:f>
              <c:numCache>
                <c:formatCode>General</c:formatCode>
                <c:ptCount val="7"/>
                <c:pt idx="0">
                  <c:v>3.5259299999999998</c:v>
                </c:pt>
                <c:pt idx="1">
                  <c:v>35.256599999999999</c:v>
                </c:pt>
                <c:pt idx="2">
                  <c:v>141.02600000000001</c:v>
                </c:pt>
                <c:pt idx="3">
                  <c:v>246.79599999999999</c:v>
                </c:pt>
                <c:pt idx="4">
                  <c:v>352.59300000000002</c:v>
                </c:pt>
                <c:pt idx="5">
                  <c:v>705.18499999999995</c:v>
                </c:pt>
                <c:pt idx="6">
                  <c:v>1057.78</c:v>
                </c:pt>
              </c:numCache>
            </c:numRef>
          </c:xVal>
          <c:yVal>
            <c:numRef>
              <c:f>'Core 2'!$AG$18:$AG$24</c:f>
              <c:numCache>
                <c:formatCode>0.00</c:formatCode>
                <c:ptCount val="7"/>
                <c:pt idx="0">
                  <c:v>0.99839899544812438</c:v>
                </c:pt>
                <c:pt idx="1">
                  <c:v>0.98786040855491131</c:v>
                </c:pt>
                <c:pt idx="2">
                  <c:v>0.95271009255674466</c:v>
                </c:pt>
                <c:pt idx="3">
                  <c:v>0.91877877901911009</c:v>
                </c:pt>
                <c:pt idx="4">
                  <c:v>0.88606434660392941</c:v>
                </c:pt>
                <c:pt idx="5">
                  <c:v>0.79048191292100356</c:v>
                </c:pt>
                <c:pt idx="6">
                  <c:v>0.70727312926610109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041-42ED-9FDB-E821F4052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A2-Time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'Core 2'!$C$5:$C$13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3.5259299999999998</c:v>
                      </c:pt>
                      <c:pt idx="1">
                        <c:v>35.256599999999999</c:v>
                      </c:pt>
                      <c:pt idx="2">
                        <c:v>141.02600000000001</c:v>
                      </c:pt>
                      <c:pt idx="3">
                        <c:v>246.79599999999999</c:v>
                      </c:pt>
                      <c:pt idx="4">
                        <c:v>352.59300000000002</c:v>
                      </c:pt>
                      <c:pt idx="5">
                        <c:v>705.18499999999995</c:v>
                      </c:pt>
                      <c:pt idx="6">
                        <c:v>1057.78</c:v>
                      </c:pt>
                      <c:pt idx="7">
                        <c:v>1410.37</c:v>
                      </c:pt>
                      <c:pt idx="8">
                        <c:v>1762.96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'Core 2'!$AF$5:$AF$13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0.99690869124888837</c:v>
                      </c:pt>
                      <c:pt idx="1">
                        <c:v>0.97901961930305637</c:v>
                      </c:pt>
                      <c:pt idx="2">
                        <c:v>0.91810146428705475</c:v>
                      </c:pt>
                      <c:pt idx="3">
                        <c:v>0.86371928221742045</c:v>
                      </c:pt>
                      <c:pt idx="4">
                        <c:v>0.81499106343284966</c:v>
                      </c:pt>
                      <c:pt idx="5">
                        <c:v>0.68167313184898182</c:v>
                      </c:pt>
                      <c:pt idx="6">
                        <c:v>0.5411297670180919</c:v>
                      </c:pt>
                      <c:pt idx="7">
                        <c:v>0.48805785243020539</c:v>
                      </c:pt>
                      <c:pt idx="8">
                        <c:v>0.45358306188925074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506-44C7-9E70-8D37458823E6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Quality [Pu-239/Pu]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'Core 2'!$D$43:$D$50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'Core 2'!$AN$43:$AN$50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0.12551854970694015</c:v>
                      </c:pt>
                      <c:pt idx="2">
                        <c:v>1.2339374629876365</c:v>
                      </c:pt>
                      <c:pt idx="3">
                        <c:v>4.7741288033244071</c:v>
                      </c:pt>
                      <c:pt idx="4">
                        <c:v>8.1959045664103449</c:v>
                      </c:pt>
                      <c:pt idx="5">
                        <c:v>11.599238313618619</c:v>
                      </c:pt>
                      <c:pt idx="6">
                        <c:v>23.406213221102867</c:v>
                      </c:pt>
                      <c:pt idx="7">
                        <c:v>36.365308752743459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BAD-45CB-8B1B-57943789ACD2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A2-Time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'Core 2'!$C$43:$C$50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'Core 2'!$AN$43:$AN$50</c:f>
              <c:numCache>
                <c:formatCode>0.00</c:formatCode>
                <c:ptCount val="8"/>
                <c:pt idx="0">
                  <c:v>0</c:v>
                </c:pt>
                <c:pt idx="1">
                  <c:v>0.12551854970694015</c:v>
                </c:pt>
                <c:pt idx="2">
                  <c:v>1.2339374629876365</c:v>
                </c:pt>
                <c:pt idx="3">
                  <c:v>4.7741288033244071</c:v>
                </c:pt>
                <c:pt idx="4">
                  <c:v>8.1959045664103449</c:v>
                </c:pt>
                <c:pt idx="5">
                  <c:v>11.599238313618619</c:v>
                </c:pt>
                <c:pt idx="6">
                  <c:v>23.406213221102867</c:v>
                </c:pt>
                <c:pt idx="7">
                  <c:v>36.365308752743459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AD-45CB-8B1B-57943789ACD2}"/>
            </c:ext>
          </c:extLst>
        </c:ser>
        <c:ser>
          <c:idx val="2"/>
          <c:order val="2"/>
          <c:tx>
            <c:v>C2-Time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'Core 2'!$C$69:$C$74</c:f>
              <c:numCache>
                <c:formatCode>General</c:formatCode>
                <c:ptCount val="6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</c:numCache>
            </c:numRef>
          </c:xVal>
          <c:yVal>
            <c:numRef>
              <c:f>'Core 2'!$AN$69:$AN$74</c:f>
              <c:numCache>
                <c:formatCode>0.00</c:formatCode>
                <c:ptCount val="6"/>
                <c:pt idx="0">
                  <c:v>0</c:v>
                </c:pt>
                <c:pt idx="1">
                  <c:v>0.47062210419135803</c:v>
                </c:pt>
                <c:pt idx="2">
                  <c:v>4.618917750599187</c:v>
                </c:pt>
                <c:pt idx="3">
                  <c:v>17.84198452138514</c:v>
                </c:pt>
                <c:pt idx="4">
                  <c:v>30.544852365990867</c:v>
                </c:pt>
                <c:pt idx="5">
                  <c:v>43.06054665074177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AD-45CB-8B1B-57943789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</c:scatterChart>
      <c:valAx>
        <c:axId val="160028804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 [g/4 t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11191</xdr:colOff>
      <xdr:row>3</xdr:row>
      <xdr:rowOff>43544</xdr:rowOff>
    </xdr:from>
    <xdr:to>
      <xdr:col>50</xdr:col>
      <xdr:colOff>239486</xdr:colOff>
      <xdr:row>22</xdr:row>
      <xdr:rowOff>79569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43118-65E0-4BB4-BC86-EEC09346A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75112</xdr:colOff>
      <xdr:row>23</xdr:row>
      <xdr:rowOff>15239</xdr:rowOff>
    </xdr:from>
    <xdr:to>
      <xdr:col>50</xdr:col>
      <xdr:colOff>283029</xdr:colOff>
      <xdr:row>42</xdr:row>
      <xdr:rowOff>21770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763D1-E59F-439B-8DFC-F38C0C679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87087</xdr:colOff>
      <xdr:row>43</xdr:row>
      <xdr:rowOff>65315</xdr:rowOff>
    </xdr:from>
    <xdr:to>
      <xdr:col>50</xdr:col>
      <xdr:colOff>337153</xdr:colOff>
      <xdr:row>62</xdr:row>
      <xdr:rowOff>101340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F3ED85-46CA-40E1-82EF-8F605B622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587828</xdr:colOff>
      <xdr:row>64</xdr:row>
      <xdr:rowOff>152400</xdr:rowOff>
    </xdr:from>
    <xdr:to>
      <xdr:col>50</xdr:col>
      <xdr:colOff>197031</xdr:colOff>
      <xdr:row>83</xdr:row>
      <xdr:rowOff>158931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7B832B-12E9-4EF9-863B-ABAEECB71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560949</xdr:colOff>
      <xdr:row>3</xdr:row>
      <xdr:rowOff>101405</xdr:rowOff>
    </xdr:from>
    <xdr:to>
      <xdr:col>48</xdr:col>
      <xdr:colOff>263769</xdr:colOff>
      <xdr:row>20</xdr:row>
      <xdr:rowOff>29308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DB860A-C0C5-710B-ABD6-F43989FE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315991</xdr:colOff>
      <xdr:row>33</xdr:row>
      <xdr:rowOff>49607</xdr:rowOff>
    </xdr:from>
    <xdr:to>
      <xdr:col>42</xdr:col>
      <xdr:colOff>63050</xdr:colOff>
      <xdr:row>50</xdr:row>
      <xdr:rowOff>36026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07222-7655-32CB-7A92-76697BE5D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11191</xdr:colOff>
      <xdr:row>3</xdr:row>
      <xdr:rowOff>43544</xdr:rowOff>
    </xdr:from>
    <xdr:to>
      <xdr:col>50</xdr:col>
      <xdr:colOff>239486</xdr:colOff>
      <xdr:row>22</xdr:row>
      <xdr:rowOff>79569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E6BD0-8423-420B-9A7C-E308ED59A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75112</xdr:colOff>
      <xdr:row>23</xdr:row>
      <xdr:rowOff>15239</xdr:rowOff>
    </xdr:from>
    <xdr:to>
      <xdr:col>50</xdr:col>
      <xdr:colOff>283029</xdr:colOff>
      <xdr:row>42</xdr:row>
      <xdr:rowOff>21770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A1D9D-6A7C-45EA-B8EE-E9898A198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87087</xdr:colOff>
      <xdr:row>43</xdr:row>
      <xdr:rowOff>65315</xdr:rowOff>
    </xdr:from>
    <xdr:to>
      <xdr:col>50</xdr:col>
      <xdr:colOff>337153</xdr:colOff>
      <xdr:row>62</xdr:row>
      <xdr:rowOff>101340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2F3A5-93D2-47C9-901D-ADEBCF2D6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587828</xdr:colOff>
      <xdr:row>64</xdr:row>
      <xdr:rowOff>152400</xdr:rowOff>
    </xdr:from>
    <xdr:to>
      <xdr:col>50</xdr:col>
      <xdr:colOff>197031</xdr:colOff>
      <xdr:row>83</xdr:row>
      <xdr:rowOff>158931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F73B71-473A-41B8-B95C-16E64F9C1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8275-C206-4B3A-81AC-5ABD3F29A445}">
  <dimension ref="A1:AC13"/>
  <sheetViews>
    <sheetView zoomScale="70" zoomScaleNormal="70" workbookViewId="0">
      <pane ySplit="7" topLeftCell="A8" activePane="bottomLeft" state="frozen"/>
      <selection pane="bottomLeft" activeCell="B8" sqref="B8"/>
    </sheetView>
  </sheetViews>
  <sheetFormatPr defaultColWidth="8.77734375" defaultRowHeight="14.4"/>
  <cols>
    <col min="1" max="1" width="34.33203125" customWidth="1"/>
    <col min="2" max="2" width="11.109375" style="7" customWidth="1"/>
    <col min="3" max="3" width="11.109375" customWidth="1"/>
    <col min="4" max="4" width="10" customWidth="1"/>
    <col min="5" max="5" width="8.77734375" style="7"/>
    <col min="8" max="8" width="8.77734375" style="7"/>
    <col min="9" max="9" width="6.109375" customWidth="1"/>
    <col min="10" max="10" width="7.44140625" customWidth="1"/>
    <col min="12" max="12" width="12.109375" customWidth="1"/>
    <col min="13" max="13" width="7.44140625" customWidth="1"/>
    <col min="14" max="14" width="12.109375" customWidth="1"/>
    <col min="15" max="15" width="7.44140625" customWidth="1"/>
    <col min="16" max="16" width="8.77734375" style="7"/>
    <col min="17" max="17" width="6.33203125" customWidth="1"/>
    <col min="18" max="18" width="7.109375" customWidth="1"/>
    <col min="20" max="20" width="9.44140625" customWidth="1"/>
    <col min="21" max="21" width="7.77734375" customWidth="1"/>
    <col min="22" max="22" width="12.77734375" customWidth="1"/>
    <col min="23" max="23" width="10.33203125" customWidth="1"/>
    <col min="24" max="24" width="6.77734375" style="7" customWidth="1"/>
    <col min="25" max="25" width="8.6640625" style="7" customWidth="1"/>
    <col min="26" max="26" width="11.77734375" style="7" customWidth="1"/>
    <col min="27" max="27" width="11.33203125" style="7" bestFit="1" customWidth="1"/>
    <col min="28" max="28" width="15.44140625" customWidth="1"/>
    <col min="29" max="29" width="22.109375" style="7" customWidth="1"/>
  </cols>
  <sheetData>
    <row r="1" spans="1:29">
      <c r="A1" s="1"/>
      <c r="B1"/>
      <c r="E1"/>
      <c r="H1"/>
      <c r="P1"/>
      <c r="Y1"/>
      <c r="Z1"/>
      <c r="AA1"/>
    </row>
    <row r="2" spans="1:29">
      <c r="B2"/>
      <c r="D2" t="s">
        <v>77</v>
      </c>
      <c r="E2"/>
      <c r="F2">
        <f>100*167/4000</f>
        <v>4.1749999999999998</v>
      </c>
      <c r="H2"/>
      <c r="P2"/>
      <c r="Y2"/>
      <c r="Z2"/>
      <c r="AA2"/>
    </row>
    <row r="3" spans="1:29">
      <c r="B3"/>
      <c r="E3"/>
      <c r="H3"/>
      <c r="P3"/>
      <c r="Y3"/>
      <c r="Z3"/>
      <c r="AA3"/>
    </row>
    <row r="4" spans="1:29">
      <c r="B4"/>
      <c r="E4"/>
      <c r="H4"/>
      <c r="P4"/>
      <c r="Y4"/>
      <c r="Z4"/>
      <c r="AA4"/>
    </row>
    <row r="5" spans="1:29" s="6" customFormat="1" ht="15" thickBot="1">
      <c r="X5" s="26"/>
      <c r="AC5" s="26"/>
    </row>
    <row r="6" spans="1:29">
      <c r="E6" s="8" t="s">
        <v>25</v>
      </c>
      <c r="G6" s="3"/>
      <c r="H6" s="8" t="s">
        <v>61</v>
      </c>
      <c r="L6" s="2" t="s">
        <v>74</v>
      </c>
      <c r="M6" s="2"/>
      <c r="N6" s="2" t="s">
        <v>75</v>
      </c>
      <c r="O6" s="3"/>
      <c r="P6" s="8" t="s">
        <v>62</v>
      </c>
      <c r="T6" s="2" t="s">
        <v>74</v>
      </c>
      <c r="U6" s="2"/>
      <c r="V6" s="2" t="s">
        <v>75</v>
      </c>
      <c r="W6" s="3"/>
      <c r="X6" s="8" t="s">
        <v>71</v>
      </c>
      <c r="Y6" s="11" t="s">
        <v>13</v>
      </c>
      <c r="Z6" s="11" t="s">
        <v>69</v>
      </c>
      <c r="AA6" s="11" t="s">
        <v>76</v>
      </c>
      <c r="AB6" s="1"/>
    </row>
    <row r="7" spans="1:29" s="6" customFormat="1" ht="15" thickBot="1">
      <c r="A7" s="4" t="s">
        <v>0</v>
      </c>
      <c r="B7" s="9" t="s">
        <v>1</v>
      </c>
      <c r="C7" s="14" t="s">
        <v>68</v>
      </c>
      <c r="D7" s="14" t="s">
        <v>79</v>
      </c>
      <c r="E7" s="9" t="s">
        <v>24</v>
      </c>
      <c r="F7" s="4" t="s">
        <v>3</v>
      </c>
      <c r="G7" s="5" t="s">
        <v>4</v>
      </c>
      <c r="H7" s="9" t="s">
        <v>5</v>
      </c>
      <c r="I7" s="4" t="s">
        <v>12</v>
      </c>
      <c r="J7" s="4" t="s">
        <v>10</v>
      </c>
      <c r="K7" s="4" t="s">
        <v>7</v>
      </c>
      <c r="L7" s="5" t="s">
        <v>11</v>
      </c>
      <c r="M7" s="5" t="s">
        <v>4</v>
      </c>
      <c r="N7" s="5" t="s">
        <v>11</v>
      </c>
      <c r="O7" s="5" t="s">
        <v>4</v>
      </c>
      <c r="P7" s="9" t="s">
        <v>5</v>
      </c>
      <c r="Q7" s="4" t="s">
        <v>12</v>
      </c>
      <c r="R7" s="4" t="s">
        <v>10</v>
      </c>
      <c r="S7" s="4" t="s">
        <v>7</v>
      </c>
      <c r="T7" s="5" t="s">
        <v>9</v>
      </c>
      <c r="U7" s="5" t="s">
        <v>4</v>
      </c>
      <c r="V7" s="5" t="s">
        <v>11</v>
      </c>
      <c r="W7" s="5" t="s">
        <v>4</v>
      </c>
      <c r="X7" s="9" t="s">
        <v>72</v>
      </c>
      <c r="Y7" s="12" t="s">
        <v>4</v>
      </c>
      <c r="Z7" s="12" t="s">
        <v>70</v>
      </c>
      <c r="AA7" s="12" t="s">
        <v>14</v>
      </c>
      <c r="AB7" s="4"/>
      <c r="AC7" s="9" t="s">
        <v>73</v>
      </c>
    </row>
    <row r="8" spans="1:29" ht="120" customHeight="1">
      <c r="A8" s="1" t="s">
        <v>63</v>
      </c>
      <c r="B8" s="7" t="s">
        <v>80</v>
      </c>
      <c r="C8" s="15">
        <v>1.22766</v>
      </c>
      <c r="D8" s="15">
        <f>(C8-1)/C8</f>
        <v>0.18544222341690694</v>
      </c>
      <c r="E8" s="7">
        <v>0.40949999999999998</v>
      </c>
      <c r="F8">
        <v>144.16</v>
      </c>
      <c r="G8" s="3">
        <f t="shared" ref="G8:G13" si="0">PI()*E8^2*F8</f>
        <v>75.945572190120131</v>
      </c>
      <c r="H8" s="7" t="s">
        <v>6</v>
      </c>
      <c r="I8">
        <v>3.5000000000000003E-2</v>
      </c>
      <c r="J8">
        <v>9.5</v>
      </c>
      <c r="K8">
        <v>264</v>
      </c>
      <c r="L8" s="10">
        <f t="shared" ref="L8:L13" si="1">G8*K8*J8*((I8*235+(1-I8)*238)/((I8*235+(1-I8)*238)+2*16))</f>
        <v>167888.31329069051</v>
      </c>
      <c r="M8" s="10">
        <f t="shared" ref="M8:M13" si="2">G8*K8</f>
        <v>20049.631058191713</v>
      </c>
      <c r="N8" s="10">
        <f t="shared" ref="N8:N13" si="3">L8*X8</f>
        <v>3525654.5791045008</v>
      </c>
      <c r="O8" s="10">
        <f t="shared" ref="O8:O13" si="4">M8*X8</f>
        <v>421042.252222026</v>
      </c>
      <c r="P8" s="7" t="s">
        <v>6</v>
      </c>
      <c r="Q8">
        <v>0</v>
      </c>
      <c r="R8">
        <v>9.5</v>
      </c>
      <c r="S8">
        <v>0</v>
      </c>
      <c r="T8" s="10">
        <f t="shared" ref="T8:T13" si="5">G8*S8*R8*((Q8*235+(1-Q8)*238)/((Q8*235+(1-Q8)*238)+2*16))</f>
        <v>0</v>
      </c>
      <c r="U8" s="10">
        <f t="shared" ref="U8:U13" si="6">G8*S8</f>
        <v>0</v>
      </c>
      <c r="V8" s="10">
        <f t="shared" ref="V8:V13" si="7">T8*X8</f>
        <v>0</v>
      </c>
      <c r="W8" s="10">
        <f t="shared" ref="W8:W13" si="8">U8*X8</f>
        <v>0</v>
      </c>
      <c r="X8" s="27">
        <v>21</v>
      </c>
      <c r="Y8" s="13">
        <f t="shared" ref="Y8:Y13" si="9">X8*(M8+U8)</f>
        <v>421042.252222026</v>
      </c>
      <c r="Z8" s="13">
        <f t="shared" ref="Z8:Z13" si="10">(J8*M8+R8*U8)*X8/1000</f>
        <v>3999.9013961092464</v>
      </c>
      <c r="AA8" s="28">
        <f t="shared" ref="AA8:AA13" si="11">100000000/(X8*(L8+T8))</f>
        <v>28.363527327001933</v>
      </c>
      <c r="AC8" s="7" t="e" vm="1">
        <v>#VALUE!</v>
      </c>
    </row>
    <row r="9" spans="1:29" ht="120" customHeight="1">
      <c r="A9" s="1" t="s">
        <v>82</v>
      </c>
      <c r="B9" s="7" t="s">
        <v>81</v>
      </c>
      <c r="C9" s="15">
        <v>1.23109</v>
      </c>
      <c r="D9" s="15"/>
      <c r="E9" s="7">
        <v>0.40949999999999998</v>
      </c>
      <c r="F9">
        <v>144.16</v>
      </c>
      <c r="G9" s="3">
        <f t="shared" si="0"/>
        <v>75.945572190120131</v>
      </c>
      <c r="H9" s="7" t="s">
        <v>6</v>
      </c>
      <c r="I9">
        <v>3.5000000000000003E-2</v>
      </c>
      <c r="J9">
        <v>9.5</v>
      </c>
      <c r="K9">
        <v>264</v>
      </c>
      <c r="L9" s="10">
        <f t="shared" si="1"/>
        <v>167888.31329069051</v>
      </c>
      <c r="M9" s="10">
        <f t="shared" si="2"/>
        <v>20049.631058191713</v>
      </c>
      <c r="N9" s="10">
        <f t="shared" si="3"/>
        <v>3525654.5791045008</v>
      </c>
      <c r="O9" s="10">
        <f t="shared" si="4"/>
        <v>421042.252222026</v>
      </c>
      <c r="P9" s="7" t="s">
        <v>6</v>
      </c>
      <c r="Q9">
        <v>0</v>
      </c>
      <c r="R9">
        <v>9.5</v>
      </c>
      <c r="S9">
        <v>0</v>
      </c>
      <c r="T9" s="10">
        <f t="shared" si="5"/>
        <v>0</v>
      </c>
      <c r="U9" s="10">
        <f t="shared" si="6"/>
        <v>0</v>
      </c>
      <c r="V9" s="10">
        <f t="shared" si="7"/>
        <v>0</v>
      </c>
      <c r="W9" s="10">
        <f t="shared" si="8"/>
        <v>0</v>
      </c>
      <c r="X9" s="27">
        <v>21</v>
      </c>
      <c r="Y9" s="13">
        <f t="shared" si="9"/>
        <v>421042.252222026</v>
      </c>
      <c r="Z9" s="13">
        <f t="shared" si="10"/>
        <v>3999.9013961092464</v>
      </c>
      <c r="AA9" s="28">
        <f t="shared" si="11"/>
        <v>28.363527327001933</v>
      </c>
    </row>
    <row r="10" spans="1:29" ht="120" customHeight="1">
      <c r="A10" t="s">
        <v>64</v>
      </c>
      <c r="B10" s="7" t="s">
        <v>66</v>
      </c>
      <c r="C10" s="15">
        <v>1.2268699999999999</v>
      </c>
      <c r="D10" s="15">
        <f>(C10-1)/C10</f>
        <v>0.18491771744357588</v>
      </c>
      <c r="E10" s="7">
        <v>0.40949999999999998</v>
      </c>
      <c r="F10">
        <v>144.16</v>
      </c>
      <c r="G10" s="3">
        <f t="shared" si="0"/>
        <v>75.945572190120131</v>
      </c>
      <c r="H10" s="7" t="s">
        <v>6</v>
      </c>
      <c r="I10" s="29">
        <v>0.04</v>
      </c>
      <c r="J10">
        <v>9.5</v>
      </c>
      <c r="K10">
        <v>196</v>
      </c>
      <c r="L10" s="10">
        <f t="shared" si="1"/>
        <v>124643.42193135733</v>
      </c>
      <c r="M10" s="10">
        <f t="shared" si="2"/>
        <v>14885.332149263546</v>
      </c>
      <c r="N10" s="10">
        <f t="shared" si="3"/>
        <v>2617511.8605585038</v>
      </c>
      <c r="O10" s="10">
        <f t="shared" si="4"/>
        <v>312591.97513453447</v>
      </c>
      <c r="P10" s="7" t="s">
        <v>6</v>
      </c>
      <c r="Q10">
        <v>2.1999999999999999E-2</v>
      </c>
      <c r="R10">
        <v>9.5</v>
      </c>
      <c r="S10">
        <v>68</v>
      </c>
      <c r="T10" s="10">
        <f t="shared" si="5"/>
        <v>43244.799905423883</v>
      </c>
      <c r="U10" s="10">
        <f t="shared" si="6"/>
        <v>5164.2989089281691</v>
      </c>
      <c r="V10" s="10">
        <f t="shared" si="7"/>
        <v>908140.79801390157</v>
      </c>
      <c r="W10" s="10">
        <f t="shared" si="8"/>
        <v>108450.27708749156</v>
      </c>
      <c r="X10" s="27">
        <v>21</v>
      </c>
      <c r="Y10" s="13">
        <f t="shared" si="9"/>
        <v>421042.252222026</v>
      </c>
      <c r="Z10" s="13">
        <f t="shared" si="10"/>
        <v>3999.9013961092469</v>
      </c>
      <c r="AA10" s="28">
        <f t="shared" si="11"/>
        <v>28.363542777492903</v>
      </c>
      <c r="AC10" s="7" t="e" vm="2">
        <v>#VALUE!</v>
      </c>
    </row>
    <row r="11" spans="1:29" ht="120" customHeight="1">
      <c r="A11" t="s">
        <v>65</v>
      </c>
      <c r="B11" s="7" t="s">
        <v>67</v>
      </c>
      <c r="C11" s="15"/>
      <c r="D11" s="15"/>
      <c r="E11" s="7">
        <v>0.40949999999999998</v>
      </c>
      <c r="F11">
        <v>144.16</v>
      </c>
      <c r="G11" s="3">
        <f t="shared" si="0"/>
        <v>75.945572190120131</v>
      </c>
      <c r="H11" s="7" t="s">
        <v>6</v>
      </c>
      <c r="I11" s="29">
        <v>0.04</v>
      </c>
      <c r="J11">
        <v>9.5</v>
      </c>
      <c r="K11">
        <v>196</v>
      </c>
      <c r="L11" s="10">
        <f t="shared" si="1"/>
        <v>124643.42193135733</v>
      </c>
      <c r="M11" s="10">
        <f t="shared" si="2"/>
        <v>14885.332149263546</v>
      </c>
      <c r="N11" s="10">
        <f t="shared" si="3"/>
        <v>2617511.8605585038</v>
      </c>
      <c r="O11" s="10">
        <f t="shared" si="4"/>
        <v>312591.97513453447</v>
      </c>
      <c r="P11" s="7" t="s">
        <v>78</v>
      </c>
      <c r="Q11">
        <v>7.2040000000000003E-3</v>
      </c>
      <c r="R11">
        <v>18.7</v>
      </c>
      <c r="S11">
        <v>68</v>
      </c>
      <c r="T11" s="10">
        <f t="shared" si="5"/>
        <v>85125.856820775371</v>
      </c>
      <c r="U11" s="10">
        <f t="shared" si="6"/>
        <v>5164.2989089281691</v>
      </c>
      <c r="V11" s="10">
        <f t="shared" si="7"/>
        <v>1787642.9932362828</v>
      </c>
      <c r="W11" s="10">
        <f t="shared" si="8"/>
        <v>108450.27708749156</v>
      </c>
      <c r="X11" s="27">
        <v>21</v>
      </c>
      <c r="Y11" s="13">
        <f t="shared" si="9"/>
        <v>421042.252222026</v>
      </c>
      <c r="Z11" s="13">
        <f t="shared" si="10"/>
        <v>4997.6439453141693</v>
      </c>
      <c r="AA11" s="28">
        <f t="shared" si="11"/>
        <v>22.7006775741052</v>
      </c>
      <c r="AC11" s="7" t="e" vm="2">
        <v>#VALUE!</v>
      </c>
    </row>
    <row r="12" spans="1:29" ht="120" customHeight="1">
      <c r="A12" t="s">
        <v>97</v>
      </c>
      <c r="B12" s="7" t="s">
        <v>98</v>
      </c>
      <c r="C12" s="15"/>
      <c r="D12" s="15"/>
      <c r="E12" s="7">
        <v>0.40949999999999998</v>
      </c>
      <c r="F12">
        <v>144.16</v>
      </c>
      <c r="G12" s="3">
        <f t="shared" si="0"/>
        <v>75.945572190120131</v>
      </c>
      <c r="H12" s="7" t="s">
        <v>6</v>
      </c>
      <c r="I12" s="29">
        <v>0.04</v>
      </c>
      <c r="J12">
        <v>9.5</v>
      </c>
      <c r="K12">
        <v>196</v>
      </c>
      <c r="L12" s="10">
        <f t="shared" si="1"/>
        <v>124643.42193135733</v>
      </c>
      <c r="M12" s="10">
        <f t="shared" si="2"/>
        <v>14885.332149263546</v>
      </c>
      <c r="N12" s="10">
        <f t="shared" si="3"/>
        <v>2617511.8605585038</v>
      </c>
      <c r="O12" s="10">
        <f t="shared" si="4"/>
        <v>312591.97513453447</v>
      </c>
      <c r="P12" s="7" t="s">
        <v>6</v>
      </c>
      <c r="Q12">
        <v>2.1999999999999999E-2</v>
      </c>
      <c r="R12">
        <v>9.5</v>
      </c>
      <c r="S12">
        <v>68</v>
      </c>
      <c r="T12" s="10">
        <f t="shared" si="5"/>
        <v>43244.799905423883</v>
      </c>
      <c r="U12" s="10">
        <f t="shared" si="6"/>
        <v>5164.2989089281691</v>
      </c>
      <c r="V12" s="10">
        <f t="shared" si="7"/>
        <v>908140.79801390157</v>
      </c>
      <c r="W12" s="10">
        <f t="shared" si="8"/>
        <v>108450.27708749156</v>
      </c>
      <c r="X12" s="27">
        <v>21</v>
      </c>
      <c r="Y12" s="13">
        <f t="shared" si="9"/>
        <v>421042.252222026</v>
      </c>
      <c r="Z12" s="13">
        <f t="shared" si="10"/>
        <v>3999.9013961092469</v>
      </c>
      <c r="AA12" s="28">
        <f t="shared" si="11"/>
        <v>28.363542777492903</v>
      </c>
      <c r="AC12" s="7" t="e" vm="2">
        <v>#VALUE!</v>
      </c>
    </row>
    <row r="13" spans="1:29" ht="120" customHeight="1">
      <c r="A13" t="s">
        <v>111</v>
      </c>
      <c r="B13" s="7" t="s">
        <v>112</v>
      </c>
      <c r="C13" s="15"/>
      <c r="D13" s="15"/>
      <c r="E13" s="7">
        <v>0.40949999999999998</v>
      </c>
      <c r="F13">
        <v>144.16</v>
      </c>
      <c r="G13" s="3">
        <f t="shared" si="0"/>
        <v>75.945572190120131</v>
      </c>
      <c r="H13" s="7" t="s">
        <v>6</v>
      </c>
      <c r="I13" s="29">
        <v>3.5000000000000003E-2</v>
      </c>
      <c r="J13">
        <v>9.5</v>
      </c>
      <c r="K13">
        <v>196</v>
      </c>
      <c r="L13" s="10">
        <f t="shared" si="1"/>
        <v>124644.35380672479</v>
      </c>
      <c r="M13" s="10">
        <f t="shared" si="2"/>
        <v>14885.332149263546</v>
      </c>
      <c r="N13" s="10">
        <f t="shared" si="3"/>
        <v>2617531.4299412207</v>
      </c>
      <c r="O13" s="10">
        <f t="shared" si="4"/>
        <v>312591.97513453447</v>
      </c>
      <c r="P13" s="7" t="s">
        <v>113</v>
      </c>
      <c r="Q13" s="132">
        <v>2.5000000000000001E-3</v>
      </c>
      <c r="R13">
        <v>18.899999999999999</v>
      </c>
      <c r="S13">
        <v>68</v>
      </c>
      <c r="T13" s="10">
        <f t="shared" si="5"/>
        <v>86036.898479662763</v>
      </c>
      <c r="U13" s="10">
        <f t="shared" si="6"/>
        <v>5164.2989089281691</v>
      </c>
      <c r="V13" s="10">
        <f t="shared" si="7"/>
        <v>1806774.8680729179</v>
      </c>
      <c r="W13" s="10">
        <f t="shared" si="8"/>
        <v>108450.27708749156</v>
      </c>
      <c r="X13" s="27">
        <v>21</v>
      </c>
      <c r="Y13" s="13">
        <f t="shared" si="9"/>
        <v>421042.252222026</v>
      </c>
      <c r="Z13" s="13">
        <f t="shared" si="10"/>
        <v>5019.3340007316674</v>
      </c>
      <c r="AA13" s="28">
        <f t="shared" si="11"/>
        <v>22.602413409958814</v>
      </c>
      <c r="AC13" s="7" t="e" vm="2">
        <v>#VALUE!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7B75-BE0F-4E4B-ABCD-7FECD1D2E04C}">
  <dimension ref="A2:BB78"/>
  <sheetViews>
    <sheetView tabSelected="1" topLeftCell="A10" zoomScale="85" zoomScaleNormal="85" workbookViewId="0">
      <selection activeCell="F25" sqref="F25"/>
    </sheetView>
  </sheetViews>
  <sheetFormatPr defaultColWidth="8.77734375" defaultRowHeight="14.4"/>
  <cols>
    <col min="1" max="1" width="10.77734375" customWidth="1"/>
    <col min="2" max="2" width="12.33203125" customWidth="1"/>
    <col min="3" max="3" width="10.33203125" style="7" customWidth="1"/>
    <col min="4" max="4" width="16.44140625" customWidth="1"/>
    <col min="6" max="6" width="9.44140625" customWidth="1"/>
    <col min="7" max="8" width="11.77734375" customWidth="1"/>
    <col min="9" max="9" width="10.109375" style="7" customWidth="1"/>
    <col min="10" max="10" width="12.109375" customWidth="1"/>
    <col min="11" max="11" width="10.5546875" style="7" customWidth="1"/>
    <col min="12" max="12" width="9.77734375" customWidth="1"/>
    <col min="14" max="14" width="10.21875" style="7" customWidth="1"/>
    <col min="15" max="15" width="9.77734375" customWidth="1"/>
    <col min="17" max="17" width="10" style="7" customWidth="1"/>
    <col min="18" max="18" width="9.77734375" customWidth="1"/>
    <col min="20" max="20" width="10.5546875" style="7" customWidth="1"/>
    <col min="21" max="21" width="9.77734375" customWidth="1"/>
    <col min="23" max="23" width="10.5546875" style="7" customWidth="1"/>
    <col min="24" max="24" width="9.77734375" customWidth="1"/>
    <col min="26" max="26" width="10.33203125" style="7" customWidth="1"/>
    <col min="29" max="29" width="8.77734375" style="7"/>
    <col min="30" max="30" width="10.33203125" customWidth="1"/>
    <col min="32" max="32" width="8.77734375" style="7"/>
    <col min="34" max="34" width="9.77734375" bestFit="1" customWidth="1"/>
  </cols>
  <sheetData>
    <row r="2" spans="1:54" s="32" customFormat="1">
      <c r="A2" s="31" t="s">
        <v>1</v>
      </c>
      <c r="B2" s="32" t="s">
        <v>96</v>
      </c>
      <c r="C2" s="33"/>
      <c r="I2" s="34" t="s">
        <v>44</v>
      </c>
      <c r="K2" s="34" t="s">
        <v>47</v>
      </c>
      <c r="N2" s="34" t="s">
        <v>48</v>
      </c>
      <c r="O2" s="31"/>
      <c r="P2" s="31"/>
      <c r="Q2" s="34" t="s">
        <v>49</v>
      </c>
      <c r="T2" s="34" t="s">
        <v>50</v>
      </c>
      <c r="U2" s="31"/>
      <c r="V2" s="31"/>
      <c r="W2" s="34" t="s">
        <v>51</v>
      </c>
      <c r="Z2" s="34" t="s">
        <v>84</v>
      </c>
      <c r="AC2" s="34" t="s">
        <v>103</v>
      </c>
      <c r="AF2" s="34" t="s">
        <v>56</v>
      </c>
    </row>
    <row r="3" spans="1:54">
      <c r="A3" s="1" t="s">
        <v>36</v>
      </c>
      <c r="B3" s="15" t="s">
        <v>83</v>
      </c>
      <c r="C3" s="8" t="s">
        <v>43</v>
      </c>
      <c r="D3" s="1" t="s">
        <v>39</v>
      </c>
      <c r="E3" s="1" t="s">
        <v>40</v>
      </c>
      <c r="F3" s="1" t="s">
        <v>41</v>
      </c>
      <c r="G3" s="1" t="s">
        <v>42</v>
      </c>
      <c r="H3" s="1" t="s">
        <v>57</v>
      </c>
      <c r="I3" s="8" t="s">
        <v>45</v>
      </c>
      <c r="J3" s="1" t="s">
        <v>46</v>
      </c>
      <c r="K3" s="8" t="s">
        <v>53</v>
      </c>
      <c r="L3" s="1" t="s">
        <v>54</v>
      </c>
      <c r="M3" s="1" t="s">
        <v>55</v>
      </c>
      <c r="N3" s="8" t="s">
        <v>53</v>
      </c>
      <c r="O3" s="1" t="s">
        <v>54</v>
      </c>
      <c r="P3" s="1" t="s">
        <v>55</v>
      </c>
      <c r="Q3" s="8" t="s">
        <v>53</v>
      </c>
      <c r="R3" s="1" t="s">
        <v>54</v>
      </c>
      <c r="S3" s="1" t="s">
        <v>55</v>
      </c>
      <c r="T3" s="8" t="s">
        <v>53</v>
      </c>
      <c r="U3" s="1" t="s">
        <v>54</v>
      </c>
      <c r="V3" s="1" t="s">
        <v>55</v>
      </c>
      <c r="W3" s="8" t="s">
        <v>53</v>
      </c>
      <c r="X3" s="1" t="s">
        <v>54</v>
      </c>
      <c r="Y3" s="1" t="s">
        <v>55</v>
      </c>
      <c r="Z3" s="8" t="s">
        <v>53</v>
      </c>
      <c r="AA3" s="1" t="s">
        <v>54</v>
      </c>
      <c r="AB3" s="1" t="s">
        <v>55</v>
      </c>
      <c r="AC3" s="8" t="s">
        <v>53</v>
      </c>
      <c r="AD3" s="1" t="s">
        <v>54</v>
      </c>
      <c r="AE3" s="1" t="s">
        <v>55</v>
      </c>
      <c r="AF3" s="8" t="s">
        <v>53</v>
      </c>
      <c r="AG3" s="1" t="s">
        <v>54</v>
      </c>
      <c r="AH3" s="1" t="s">
        <v>55</v>
      </c>
    </row>
    <row r="4" spans="1:54">
      <c r="A4" s="1" t="s">
        <v>38</v>
      </c>
      <c r="B4" s="15" t="s">
        <v>90</v>
      </c>
      <c r="C4" s="7">
        <v>0</v>
      </c>
      <c r="D4">
        <v>0</v>
      </c>
      <c r="E4" s="30">
        <v>1.2342900000000001</v>
      </c>
      <c r="F4" s="30">
        <v>1.8000000000000001E-4</v>
      </c>
      <c r="G4" s="30">
        <v>0.18981799999999999</v>
      </c>
      <c r="H4" s="23">
        <f>G4/0.0075</f>
        <v>25.309066666666666</v>
      </c>
      <c r="I4" s="21"/>
      <c r="J4" s="17"/>
      <c r="Q4" s="7">
        <v>0</v>
      </c>
      <c r="T4" s="7">
        <v>0</v>
      </c>
      <c r="W4" s="7">
        <v>0</v>
      </c>
      <c r="Z4" s="7">
        <v>0</v>
      </c>
      <c r="AC4" s="7">
        <v>0</v>
      </c>
      <c r="AD4">
        <v>0</v>
      </c>
      <c r="AE4">
        <v>0</v>
      </c>
    </row>
    <row r="5" spans="1:54">
      <c r="A5" s="1" t="s">
        <v>87</v>
      </c>
      <c r="B5" t="s">
        <v>89</v>
      </c>
      <c r="C5" s="7">
        <v>3.5259299999999998</v>
      </c>
      <c r="D5">
        <v>0.1</v>
      </c>
      <c r="E5" s="30">
        <v>1.19486</v>
      </c>
      <c r="F5" s="30">
        <v>2.0000000000000001E-4</v>
      </c>
      <c r="G5" s="30">
        <v>0.163082</v>
      </c>
      <c r="H5" s="23">
        <f t="shared" ref="H5:H13" si="0">G5/0.0075</f>
        <v>21.744266666666668</v>
      </c>
      <c r="I5" s="21"/>
      <c r="J5" s="17"/>
      <c r="K5" s="48">
        <v>121400</v>
      </c>
      <c r="L5" s="17"/>
      <c r="M5" s="17">
        <f>K5+L5</f>
        <v>121400</v>
      </c>
      <c r="N5" s="48">
        <v>3403000</v>
      </c>
      <c r="O5" s="17"/>
      <c r="P5" s="17">
        <f>N5+O5</f>
        <v>3403000</v>
      </c>
      <c r="Q5" s="48">
        <v>64.5</v>
      </c>
      <c r="R5" s="17"/>
      <c r="S5" s="17">
        <f>Q5+R5</f>
        <v>64.5</v>
      </c>
      <c r="T5" s="48">
        <v>0.19919999999999999</v>
      </c>
      <c r="U5" s="17"/>
      <c r="V5" s="17">
        <f>T5+U5</f>
        <v>0.19919999999999999</v>
      </c>
      <c r="W5" s="48">
        <v>8.0769999999999995E-4</v>
      </c>
      <c r="X5" s="17"/>
      <c r="Y5" s="17">
        <f>W5+X5</f>
        <v>8.0769999999999995E-4</v>
      </c>
      <c r="Z5" s="48">
        <v>0</v>
      </c>
      <c r="AA5" s="17"/>
      <c r="AB5" s="17">
        <f>Z5+AA5</f>
        <v>0</v>
      </c>
      <c r="AC5" s="21">
        <f>(Q5+T5+W5+Z5)/1000</f>
        <v>6.4700007700000006E-2</v>
      </c>
      <c r="AD5" s="17"/>
      <c r="AE5" s="17">
        <f>AC5+AD5</f>
        <v>6.4700007700000006E-2</v>
      </c>
      <c r="AF5" s="47">
        <f>Q5/AC5/1000</f>
        <v>0.99690869124888837</v>
      </c>
      <c r="AG5" s="17" t="e">
        <f>R5/AD5</f>
        <v>#DIV/0!</v>
      </c>
      <c r="AH5" s="29">
        <f>S5/AE5</f>
        <v>996.90869124888832</v>
      </c>
      <c r="AJ5" s="1"/>
    </row>
    <row r="6" spans="1:54">
      <c r="A6" s="135" t="e" vm="1">
        <v>#VALUE!</v>
      </c>
      <c r="B6" s="136"/>
      <c r="C6" s="7">
        <v>35.256599999999999</v>
      </c>
      <c r="D6">
        <v>1</v>
      </c>
      <c r="E6" s="30">
        <v>1.17886</v>
      </c>
      <c r="F6" s="30">
        <v>2.2000000000000001E-4</v>
      </c>
      <c r="G6" s="30">
        <v>0.151723</v>
      </c>
      <c r="H6" s="23">
        <f>G6/0.0075</f>
        <v>20.229733333333332</v>
      </c>
      <c r="I6" s="21"/>
      <c r="J6" s="17"/>
      <c r="K6" s="48">
        <v>117700</v>
      </c>
      <c r="L6" s="17"/>
      <c r="M6" s="17">
        <f t="shared" ref="M6:M13" si="1">K6+L6</f>
        <v>117700</v>
      </c>
      <c r="N6" s="48">
        <v>3401000</v>
      </c>
      <c r="O6" s="17"/>
      <c r="P6" s="17">
        <f t="shared" ref="P6:P13" si="2">N6+O6</f>
        <v>3401000</v>
      </c>
      <c r="Q6" s="48">
        <v>1507</v>
      </c>
      <c r="R6" s="17"/>
      <c r="S6" s="17">
        <f t="shared" ref="S6:S13" si="3">Q6+R6</f>
        <v>1507</v>
      </c>
      <c r="T6" s="48">
        <v>30.96</v>
      </c>
      <c r="U6" s="17"/>
      <c r="V6" s="17">
        <f t="shared" ref="V6:V13" si="4">T6+U6</f>
        <v>30.96</v>
      </c>
      <c r="W6" s="48">
        <v>1.3260000000000001</v>
      </c>
      <c r="X6" s="17"/>
      <c r="Y6" s="17">
        <f t="shared" ref="Y6:Y13" si="5">W6+X6</f>
        <v>1.3260000000000001</v>
      </c>
      <c r="Z6" s="48">
        <v>8.9949999999999995E-3</v>
      </c>
      <c r="AA6" s="17"/>
      <c r="AB6" s="17">
        <f t="shared" ref="AB6:AB13" si="6">Z6+AA6</f>
        <v>8.9949999999999995E-3</v>
      </c>
      <c r="AC6" s="21">
        <f t="shared" ref="AC6:AC13" si="7">(Q6+T6+W6+Z6)/1000</f>
        <v>1.5392949949999999</v>
      </c>
      <c r="AD6" s="17"/>
      <c r="AE6" s="17">
        <f t="shared" ref="AE6:AE13" si="8">AC6+AD6</f>
        <v>1.5392949949999999</v>
      </c>
      <c r="AF6" s="47">
        <f t="shared" ref="AF6:AF13" si="9">Q6/AC6/1000</f>
        <v>0.97901961930305637</v>
      </c>
      <c r="AG6" s="17" t="e">
        <f t="shared" ref="AG6:AH13" si="10">R6/AD6</f>
        <v>#DIV/0!</v>
      </c>
      <c r="AH6" s="29">
        <f t="shared" si="10"/>
        <v>979.0196193030564</v>
      </c>
      <c r="AJ6" s="1"/>
    </row>
    <row r="7" spans="1:54">
      <c r="A7" s="135"/>
      <c r="B7" s="136"/>
      <c r="C7" s="7">
        <v>141.02600000000001</v>
      </c>
      <c r="D7">
        <v>4</v>
      </c>
      <c r="E7" s="30">
        <v>1.1470199999999999</v>
      </c>
      <c r="F7" s="30">
        <v>2.1000000000000001E-4</v>
      </c>
      <c r="G7" s="30">
        <v>0.12817600000000001</v>
      </c>
      <c r="H7" s="23">
        <f t="shared" si="0"/>
        <v>17.090133333333334</v>
      </c>
      <c r="I7" s="21"/>
      <c r="J7" s="17"/>
      <c r="K7" s="48">
        <v>106000</v>
      </c>
      <c r="L7" s="17"/>
      <c r="M7" s="17">
        <f t="shared" si="1"/>
        <v>106000</v>
      </c>
      <c r="N7" s="48">
        <v>3395000</v>
      </c>
      <c r="O7" s="17"/>
      <c r="P7" s="17">
        <f t="shared" si="2"/>
        <v>3395000</v>
      </c>
      <c r="Q7" s="48">
        <v>5577</v>
      </c>
      <c r="R7" s="17"/>
      <c r="S7" s="17">
        <f t="shared" si="3"/>
        <v>5577</v>
      </c>
      <c r="T7" s="48">
        <v>421.8</v>
      </c>
      <c r="U7" s="17"/>
      <c r="V7" s="17">
        <f t="shared" si="4"/>
        <v>421.8</v>
      </c>
      <c r="W7" s="48">
        <v>73.56</v>
      </c>
      <c r="X7" s="17"/>
      <c r="Y7" s="17">
        <f t="shared" si="5"/>
        <v>73.56</v>
      </c>
      <c r="Z7" s="48">
        <v>2.1320000000000001</v>
      </c>
      <c r="AA7" s="17"/>
      <c r="AB7" s="17">
        <f t="shared" si="6"/>
        <v>2.1320000000000001</v>
      </c>
      <c r="AC7" s="21">
        <f t="shared" si="7"/>
        <v>6.0744920000000002</v>
      </c>
      <c r="AD7" s="17"/>
      <c r="AE7" s="17">
        <f t="shared" si="8"/>
        <v>6.0744920000000002</v>
      </c>
      <c r="AF7" s="47">
        <f t="shared" si="9"/>
        <v>0.91810146428705475</v>
      </c>
      <c r="AG7" s="17" t="e">
        <f t="shared" si="10"/>
        <v>#DIV/0!</v>
      </c>
      <c r="AH7" s="29">
        <f t="shared" si="10"/>
        <v>918.1014642870548</v>
      </c>
      <c r="AJ7" s="1"/>
    </row>
    <row r="8" spans="1:54">
      <c r="A8" s="135"/>
      <c r="B8" s="136"/>
      <c r="C8" s="7">
        <v>246.79599999999999</v>
      </c>
      <c r="D8">
        <v>7</v>
      </c>
      <c r="E8" s="30">
        <v>1.1138699999999999</v>
      </c>
      <c r="F8" s="30">
        <v>2.1000000000000001E-4</v>
      </c>
      <c r="G8" s="30">
        <v>0.102229</v>
      </c>
      <c r="H8" s="23">
        <f t="shared" si="0"/>
        <v>13.630533333333334</v>
      </c>
      <c r="I8" s="21"/>
      <c r="J8" s="17"/>
      <c r="K8" s="48">
        <v>95340</v>
      </c>
      <c r="L8" s="17"/>
      <c r="M8" s="17">
        <f t="shared" si="1"/>
        <v>95340</v>
      </c>
      <c r="N8" s="48">
        <v>3389000</v>
      </c>
      <c r="O8" s="17"/>
      <c r="P8" s="17">
        <f t="shared" si="2"/>
        <v>3389000</v>
      </c>
      <c r="Q8" s="48">
        <v>8622</v>
      </c>
      <c r="R8" s="17"/>
      <c r="S8" s="17">
        <f t="shared" si="3"/>
        <v>8622</v>
      </c>
      <c r="T8" s="48">
        <v>1044</v>
      </c>
      <c r="U8" s="17"/>
      <c r="V8" s="17">
        <f t="shared" si="4"/>
        <v>1044</v>
      </c>
      <c r="W8" s="48">
        <v>300.3</v>
      </c>
      <c r="X8" s="17"/>
      <c r="Y8" s="17">
        <f t="shared" si="5"/>
        <v>300.3</v>
      </c>
      <c r="Z8" s="48">
        <v>16.11</v>
      </c>
      <c r="AA8" s="17"/>
      <c r="AB8" s="17">
        <f t="shared" si="6"/>
        <v>16.11</v>
      </c>
      <c r="AC8" s="21">
        <f t="shared" si="7"/>
        <v>9.9824099999999998</v>
      </c>
      <c r="AD8" s="17"/>
      <c r="AE8" s="17">
        <f t="shared" si="8"/>
        <v>9.9824099999999998</v>
      </c>
      <c r="AF8" s="47">
        <f t="shared" si="9"/>
        <v>0.86371928221742045</v>
      </c>
      <c r="AG8" s="17" t="e">
        <f t="shared" si="10"/>
        <v>#DIV/0!</v>
      </c>
      <c r="AH8" s="29">
        <f t="shared" si="10"/>
        <v>863.71928221742041</v>
      </c>
      <c r="AJ8" s="41"/>
      <c r="BB8" t="s">
        <v>59</v>
      </c>
    </row>
    <row r="9" spans="1:54">
      <c r="A9" s="135"/>
      <c r="B9" s="136"/>
      <c r="C9" s="7">
        <v>352.59300000000002</v>
      </c>
      <c r="D9">
        <v>10</v>
      </c>
      <c r="E9" s="30">
        <v>1.0826899999999999</v>
      </c>
      <c r="F9" s="30">
        <v>2.0000000000000001E-4</v>
      </c>
      <c r="G9" s="30">
        <v>7.6374999999999998E-2</v>
      </c>
      <c r="H9" s="23">
        <f t="shared" si="0"/>
        <v>10.183333333333334</v>
      </c>
      <c r="I9" s="21"/>
      <c r="J9" s="17"/>
      <c r="K9" s="48">
        <v>85540</v>
      </c>
      <c r="L9" s="17"/>
      <c r="M9" s="17">
        <f t="shared" si="1"/>
        <v>85540</v>
      </c>
      <c r="N9" s="48">
        <v>3383000</v>
      </c>
      <c r="O9" s="17"/>
      <c r="P9" s="17">
        <f t="shared" si="2"/>
        <v>3383000</v>
      </c>
      <c r="Q9" s="48">
        <v>10930</v>
      </c>
      <c r="R9" s="17"/>
      <c r="S9" s="17">
        <f t="shared" si="3"/>
        <v>10930</v>
      </c>
      <c r="T9" s="48">
        <v>1769</v>
      </c>
      <c r="U9" s="17"/>
      <c r="V9" s="17">
        <f t="shared" si="4"/>
        <v>1769</v>
      </c>
      <c r="W9" s="48">
        <v>658.5</v>
      </c>
      <c r="X9" s="17"/>
      <c r="Y9" s="17">
        <f t="shared" si="5"/>
        <v>658.5</v>
      </c>
      <c r="Z9" s="48">
        <v>53.69</v>
      </c>
      <c r="AA9" s="17"/>
      <c r="AB9" s="17">
        <f t="shared" si="6"/>
        <v>53.69</v>
      </c>
      <c r="AC9" s="21">
        <f t="shared" si="7"/>
        <v>13.411190000000001</v>
      </c>
      <c r="AD9" s="17"/>
      <c r="AE9" s="17">
        <f t="shared" si="8"/>
        <v>13.411190000000001</v>
      </c>
      <c r="AF9" s="47">
        <f t="shared" si="9"/>
        <v>0.81499106343284966</v>
      </c>
      <c r="AG9" s="17" t="e">
        <f t="shared" si="10"/>
        <v>#DIV/0!</v>
      </c>
      <c r="AH9" s="29">
        <f t="shared" si="10"/>
        <v>814.99106343284961</v>
      </c>
    </row>
    <row r="10" spans="1:54">
      <c r="A10" s="135"/>
      <c r="B10" s="136"/>
      <c r="C10" s="7">
        <v>705.18499999999995</v>
      </c>
      <c r="D10">
        <v>20</v>
      </c>
      <c r="E10" s="30">
        <v>0.99443999999999999</v>
      </c>
      <c r="F10" s="30">
        <v>1.9000000000000001E-4</v>
      </c>
      <c r="G10" s="30">
        <v>-5.5909999999999996E-3</v>
      </c>
      <c r="H10" s="23">
        <f t="shared" si="0"/>
        <v>-0.74546666666666661</v>
      </c>
      <c r="I10" s="21"/>
      <c r="J10" s="17"/>
      <c r="K10" s="48">
        <v>58150</v>
      </c>
      <c r="L10" s="17"/>
      <c r="M10" s="17">
        <f t="shared" si="1"/>
        <v>58150</v>
      </c>
      <c r="N10" s="48">
        <v>3360000</v>
      </c>
      <c r="O10" s="17"/>
      <c r="P10" s="17">
        <f t="shared" si="2"/>
        <v>3360000</v>
      </c>
      <c r="Q10" s="48">
        <v>15060</v>
      </c>
      <c r="R10" s="17"/>
      <c r="S10" s="17">
        <f t="shared" si="3"/>
        <v>15060</v>
      </c>
      <c r="T10" s="48">
        <v>4116</v>
      </c>
      <c r="U10" s="17"/>
      <c r="V10" s="17">
        <f t="shared" si="4"/>
        <v>4116</v>
      </c>
      <c r="W10" s="48">
        <v>2458</v>
      </c>
      <c r="X10" s="17"/>
      <c r="Y10" s="17">
        <f t="shared" si="5"/>
        <v>2458</v>
      </c>
      <c r="Z10" s="48">
        <v>458.7</v>
      </c>
      <c r="AA10" s="17"/>
      <c r="AB10" s="17">
        <f t="shared" si="6"/>
        <v>458.7</v>
      </c>
      <c r="AC10" s="21">
        <f t="shared" si="7"/>
        <v>22.092700000000001</v>
      </c>
      <c r="AD10" s="17"/>
      <c r="AE10" s="17">
        <f t="shared" si="8"/>
        <v>22.092700000000001</v>
      </c>
      <c r="AF10" s="47">
        <f t="shared" si="9"/>
        <v>0.68167313184898182</v>
      </c>
      <c r="AG10" s="17" t="e">
        <f t="shared" si="10"/>
        <v>#DIV/0!</v>
      </c>
      <c r="AH10" s="29">
        <f t="shared" si="10"/>
        <v>681.67313184898182</v>
      </c>
    </row>
    <row r="11" spans="1:54">
      <c r="A11" s="135"/>
      <c r="B11" s="136"/>
      <c r="C11" s="7">
        <v>1057.78</v>
      </c>
      <c r="D11">
        <v>30</v>
      </c>
      <c r="E11" s="30">
        <v>0.91393999999999997</v>
      </c>
      <c r="F11" s="30">
        <v>1.9000000000000001E-4</v>
      </c>
      <c r="G11" s="30">
        <v>-9.4163999999999998E-2</v>
      </c>
      <c r="H11" s="23">
        <f t="shared" si="0"/>
        <v>-12.555200000000001</v>
      </c>
      <c r="I11" s="21"/>
      <c r="J11" s="17"/>
      <c r="K11" s="48">
        <v>37440</v>
      </c>
      <c r="L11" s="17"/>
      <c r="M11" s="17">
        <f t="shared" si="1"/>
        <v>37440</v>
      </c>
      <c r="N11" s="48">
        <v>3334000</v>
      </c>
      <c r="O11" s="17"/>
      <c r="P11" s="17">
        <f t="shared" si="2"/>
        <v>3334000</v>
      </c>
      <c r="Q11" s="48">
        <v>16630</v>
      </c>
      <c r="R11" s="17"/>
      <c r="S11" s="17">
        <f t="shared" si="3"/>
        <v>16630</v>
      </c>
      <c r="T11" s="48">
        <v>6322</v>
      </c>
      <c r="U11" s="17"/>
      <c r="V11" s="17">
        <f t="shared" si="4"/>
        <v>6322</v>
      </c>
      <c r="W11" s="48">
        <v>3890</v>
      </c>
      <c r="X11" s="17"/>
      <c r="Y11" s="17">
        <f t="shared" si="5"/>
        <v>3890</v>
      </c>
      <c r="Z11" s="48">
        <v>3890</v>
      </c>
      <c r="AA11" s="17"/>
      <c r="AB11" s="17">
        <f t="shared" si="6"/>
        <v>3890</v>
      </c>
      <c r="AC11" s="21">
        <f t="shared" si="7"/>
        <v>30.731999999999999</v>
      </c>
      <c r="AD11" s="17"/>
      <c r="AE11" s="17">
        <f t="shared" si="8"/>
        <v>30.731999999999999</v>
      </c>
      <c r="AF11" s="47">
        <f t="shared" si="9"/>
        <v>0.5411297670180919</v>
      </c>
      <c r="AG11" s="17" t="e">
        <f t="shared" si="10"/>
        <v>#DIV/0!</v>
      </c>
      <c r="AH11" s="29">
        <f t="shared" si="10"/>
        <v>541.12976701809191</v>
      </c>
    </row>
    <row r="12" spans="1:54">
      <c r="A12" s="135"/>
      <c r="B12" s="136"/>
      <c r="C12" s="7">
        <v>1410.37</v>
      </c>
      <c r="D12">
        <v>40</v>
      </c>
      <c r="E12" s="30">
        <v>0.84211000000000003</v>
      </c>
      <c r="F12" s="30">
        <v>1.8000000000000001E-4</v>
      </c>
      <c r="G12" s="30">
        <v>-0.18749299999999999</v>
      </c>
      <c r="H12" s="23">
        <f t="shared" si="0"/>
        <v>-24.999066666666668</v>
      </c>
      <c r="I12" s="21"/>
      <c r="J12" s="17"/>
      <c r="K12" s="48">
        <v>22530</v>
      </c>
      <c r="L12" s="17"/>
      <c r="M12" s="17">
        <f t="shared" si="1"/>
        <v>22530</v>
      </c>
      <c r="N12" s="48">
        <v>3305000</v>
      </c>
      <c r="O12" s="17"/>
      <c r="P12" s="17">
        <f t="shared" si="2"/>
        <v>3305000</v>
      </c>
      <c r="Q12" s="48">
        <v>16940</v>
      </c>
      <c r="R12" s="17"/>
      <c r="S12" s="17">
        <f t="shared" si="3"/>
        <v>16940</v>
      </c>
      <c r="T12" s="48">
        <v>8167</v>
      </c>
      <c r="U12" s="17"/>
      <c r="V12" s="17">
        <f t="shared" si="4"/>
        <v>8167</v>
      </c>
      <c r="W12" s="48">
        <v>4801</v>
      </c>
      <c r="X12" s="17"/>
      <c r="Y12" s="17">
        <f t="shared" si="5"/>
        <v>4801</v>
      </c>
      <c r="Z12" s="48">
        <v>4801</v>
      </c>
      <c r="AA12" s="17"/>
      <c r="AB12" s="17">
        <f t="shared" si="6"/>
        <v>4801</v>
      </c>
      <c r="AC12" s="21">
        <f t="shared" si="7"/>
        <v>34.709000000000003</v>
      </c>
      <c r="AD12" s="17"/>
      <c r="AE12" s="17">
        <f t="shared" si="8"/>
        <v>34.709000000000003</v>
      </c>
      <c r="AF12" s="47">
        <f t="shared" si="9"/>
        <v>0.48805785243020539</v>
      </c>
      <c r="AG12" s="17" t="e">
        <f t="shared" si="10"/>
        <v>#DIV/0!</v>
      </c>
      <c r="AH12" s="29">
        <f t="shared" si="10"/>
        <v>488.0578524302054</v>
      </c>
    </row>
    <row r="13" spans="1:54" s="18" customFormat="1">
      <c r="A13" s="137"/>
      <c r="B13" s="138"/>
      <c r="C13" s="20">
        <v>1762.96</v>
      </c>
      <c r="D13" s="18">
        <v>50</v>
      </c>
      <c r="E13" s="35">
        <v>0.78198999999999996</v>
      </c>
      <c r="F13" s="35">
        <v>1.9000000000000001E-4</v>
      </c>
      <c r="G13" s="35">
        <v>-0.27878900000000001</v>
      </c>
      <c r="H13" s="40">
        <f t="shared" si="0"/>
        <v>-37.171866666666666</v>
      </c>
      <c r="I13" s="22"/>
      <c r="J13" s="19"/>
      <c r="K13" s="48">
        <v>12580</v>
      </c>
      <c r="L13" s="19"/>
      <c r="M13" s="19">
        <f t="shared" si="1"/>
        <v>12580</v>
      </c>
      <c r="N13" s="48">
        <v>3274000</v>
      </c>
      <c r="O13" s="19"/>
      <c r="P13" s="19">
        <f t="shared" si="2"/>
        <v>3274000</v>
      </c>
      <c r="Q13" s="48">
        <v>16710</v>
      </c>
      <c r="R13" s="19"/>
      <c r="S13" s="19">
        <f t="shared" si="3"/>
        <v>16710</v>
      </c>
      <c r="T13" s="48">
        <v>9558</v>
      </c>
      <c r="U13" s="19"/>
      <c r="V13" s="19">
        <f t="shared" si="4"/>
        <v>9558</v>
      </c>
      <c r="W13" s="48">
        <v>5286</v>
      </c>
      <c r="X13" s="19"/>
      <c r="Y13" s="19">
        <f t="shared" si="5"/>
        <v>5286</v>
      </c>
      <c r="Z13" s="48">
        <v>5286</v>
      </c>
      <c r="AA13" s="19"/>
      <c r="AB13" s="19">
        <f t="shared" si="6"/>
        <v>5286</v>
      </c>
      <c r="AC13" s="21">
        <f t="shared" si="7"/>
        <v>36.840000000000003</v>
      </c>
      <c r="AD13" s="19"/>
      <c r="AE13" s="19">
        <f t="shared" si="8"/>
        <v>36.840000000000003</v>
      </c>
      <c r="AF13" s="47">
        <f t="shared" si="9"/>
        <v>0.45358306188925074</v>
      </c>
      <c r="AG13" s="19" t="e">
        <f t="shared" si="10"/>
        <v>#DIV/0!</v>
      </c>
      <c r="AH13" s="46">
        <f t="shared" si="10"/>
        <v>453.58306188925076</v>
      </c>
    </row>
    <row r="14" spans="1:54">
      <c r="A14" s="45"/>
      <c r="B14" s="45"/>
      <c r="E14" s="30"/>
      <c r="F14" s="30"/>
      <c r="G14" s="30"/>
      <c r="H14" s="23"/>
      <c r="I14" s="21"/>
      <c r="J14" s="17"/>
      <c r="K14" s="48"/>
      <c r="L14" s="17"/>
      <c r="M14" s="17"/>
      <c r="N14" s="48"/>
      <c r="O14" s="17"/>
      <c r="P14" s="17"/>
      <c r="Q14" s="48"/>
      <c r="R14" s="17"/>
      <c r="S14" s="17"/>
      <c r="T14" s="48"/>
      <c r="U14" s="17"/>
      <c r="V14" s="17"/>
      <c r="W14" s="48"/>
      <c r="X14" s="17"/>
      <c r="Y14" s="17"/>
      <c r="Z14" s="48"/>
      <c r="AA14" s="17"/>
      <c r="AB14" s="17"/>
      <c r="AC14" s="21"/>
      <c r="AD14" s="17"/>
      <c r="AE14" s="17"/>
      <c r="AF14" s="47"/>
      <c r="AG14" s="17"/>
      <c r="AH14" s="29"/>
    </row>
    <row r="15" spans="1:54" s="55" customFormat="1">
      <c r="A15" s="49" t="s">
        <v>1</v>
      </c>
      <c r="B15" s="49" t="s">
        <v>99</v>
      </c>
      <c r="C15" s="54"/>
      <c r="I15" s="56" t="s">
        <v>44</v>
      </c>
      <c r="K15" s="56" t="s">
        <v>47</v>
      </c>
      <c r="N15" s="56" t="s">
        <v>48</v>
      </c>
      <c r="O15" s="49"/>
      <c r="P15" s="49"/>
      <c r="Q15" s="56" t="s">
        <v>49</v>
      </c>
      <c r="T15" s="56" t="s">
        <v>50</v>
      </c>
      <c r="U15" s="49"/>
      <c r="V15" s="49"/>
      <c r="W15" s="56" t="s">
        <v>51</v>
      </c>
      <c r="Z15" s="56" t="s">
        <v>84</v>
      </c>
      <c r="AC15" s="56" t="s">
        <v>52</v>
      </c>
      <c r="AF15" s="56" t="s">
        <v>56</v>
      </c>
      <c r="AI15" s="56"/>
      <c r="AL15" s="56"/>
    </row>
    <row r="16" spans="1:54" s="52" customFormat="1">
      <c r="A16" s="50" t="s">
        <v>36</v>
      </c>
      <c r="B16" s="51" t="s">
        <v>83</v>
      </c>
      <c r="C16" s="57" t="s">
        <v>43</v>
      </c>
      <c r="D16" s="50" t="s">
        <v>39</v>
      </c>
      <c r="E16" s="50" t="s">
        <v>40</v>
      </c>
      <c r="F16" s="50" t="s">
        <v>41</v>
      </c>
      <c r="G16" s="50" t="s">
        <v>42</v>
      </c>
      <c r="H16" s="50" t="s">
        <v>57</v>
      </c>
      <c r="I16" s="57" t="s">
        <v>45</v>
      </c>
      <c r="J16" s="50" t="s">
        <v>46</v>
      </c>
      <c r="K16" s="57" t="s">
        <v>53</v>
      </c>
      <c r="L16" s="50" t="s">
        <v>54</v>
      </c>
      <c r="M16" s="50" t="s">
        <v>55</v>
      </c>
      <c r="N16" s="57" t="s">
        <v>53</v>
      </c>
      <c r="O16" s="50" t="s">
        <v>54</v>
      </c>
      <c r="P16" s="50" t="s">
        <v>55</v>
      </c>
      <c r="Q16" s="57" t="s">
        <v>53</v>
      </c>
      <c r="R16" s="50" t="s">
        <v>54</v>
      </c>
      <c r="S16" s="50" t="s">
        <v>55</v>
      </c>
      <c r="T16" s="57" t="s">
        <v>53</v>
      </c>
      <c r="U16" s="50" t="s">
        <v>54</v>
      </c>
      <c r="V16" s="50" t="s">
        <v>55</v>
      </c>
      <c r="W16" s="57" t="s">
        <v>53</v>
      </c>
      <c r="X16" s="50" t="s">
        <v>54</v>
      </c>
      <c r="Y16" s="50" t="s">
        <v>55</v>
      </c>
      <c r="Z16" s="57" t="s">
        <v>53</v>
      </c>
      <c r="AA16" s="50" t="s">
        <v>54</v>
      </c>
      <c r="AB16" s="50" t="s">
        <v>55</v>
      </c>
      <c r="AC16" s="57" t="s">
        <v>53</v>
      </c>
      <c r="AD16" s="50" t="s">
        <v>54</v>
      </c>
      <c r="AE16" s="50" t="s">
        <v>55</v>
      </c>
      <c r="AF16" s="57" t="s">
        <v>53</v>
      </c>
      <c r="AG16" s="50" t="s">
        <v>54</v>
      </c>
      <c r="AH16" s="50" t="s">
        <v>55</v>
      </c>
      <c r="AI16" s="57"/>
      <c r="AJ16" s="50"/>
      <c r="AK16" s="50"/>
      <c r="AL16" s="57"/>
      <c r="AM16" s="50"/>
      <c r="AN16" s="50"/>
    </row>
    <row r="17" spans="1:54" s="52" customFormat="1">
      <c r="A17" s="50" t="s">
        <v>38</v>
      </c>
      <c r="B17" s="51" t="s">
        <v>109</v>
      </c>
      <c r="C17" s="58">
        <v>0</v>
      </c>
      <c r="D17" s="52">
        <v>0</v>
      </c>
      <c r="E17" s="59">
        <v>1.16862</v>
      </c>
      <c r="F17" s="59">
        <v>3.8999999999999999E-4</v>
      </c>
      <c r="G17" s="59">
        <v>0.14429</v>
      </c>
      <c r="H17" s="60">
        <f>G17/0.0075</f>
        <v>19.238666666666667</v>
      </c>
      <c r="I17" s="61">
        <v>0.96201999999999999</v>
      </c>
      <c r="J17" s="62">
        <v>3.7979600000000002E-2</v>
      </c>
      <c r="K17" s="58"/>
      <c r="N17" s="58"/>
      <c r="Q17" s="58">
        <v>0</v>
      </c>
      <c r="R17" s="52">
        <v>0</v>
      </c>
      <c r="S17" s="63">
        <f t="shared" ref="S17:S26" si="11">Q17+R17</f>
        <v>0</v>
      </c>
      <c r="T17" s="58"/>
      <c r="U17" s="52">
        <v>0</v>
      </c>
      <c r="V17" s="63">
        <f t="shared" ref="V17:V18" si="12">T17+U17</f>
        <v>0</v>
      </c>
      <c r="W17" s="58">
        <v>0</v>
      </c>
      <c r="X17" s="52">
        <v>0</v>
      </c>
      <c r="Y17" s="63">
        <f t="shared" ref="Y17" si="13">W17+X17</f>
        <v>0</v>
      </c>
      <c r="Z17" s="58">
        <v>0</v>
      </c>
      <c r="AA17" s="52">
        <v>0</v>
      </c>
      <c r="AB17" s="63">
        <f t="shared" ref="AB17" si="14">Z17+AA17</f>
        <v>0</v>
      </c>
      <c r="AC17" s="64">
        <f t="shared" ref="AC17:AD17" si="15">(Q17+T17+W17+Z17)/1000</f>
        <v>0</v>
      </c>
      <c r="AD17" s="64">
        <f t="shared" si="15"/>
        <v>0</v>
      </c>
      <c r="AE17" s="52">
        <v>0</v>
      </c>
      <c r="AF17" s="58"/>
      <c r="AI17" s="64"/>
      <c r="AJ17" s="63"/>
      <c r="AK17" s="63"/>
      <c r="AL17" s="64"/>
      <c r="AN17" s="60"/>
    </row>
    <row r="18" spans="1:54" s="52" customFormat="1">
      <c r="A18" s="50" t="s">
        <v>87</v>
      </c>
      <c r="B18" s="52" t="s">
        <v>89</v>
      </c>
      <c r="C18" s="58">
        <v>3.5259299999999998</v>
      </c>
      <c r="D18" s="52">
        <v>0.1</v>
      </c>
      <c r="E18" s="59">
        <v>1.1294</v>
      </c>
      <c r="F18" s="59">
        <v>3.6999999999999999E-4</v>
      </c>
      <c r="G18" s="59">
        <v>0.114574</v>
      </c>
      <c r="H18" s="60">
        <f t="shared" ref="H18" si="16">G18/0.0075</f>
        <v>15.276533333333333</v>
      </c>
      <c r="I18" s="61">
        <v>0.961341</v>
      </c>
      <c r="J18" s="62">
        <v>3.8658999999999999E-2</v>
      </c>
      <c r="K18" s="65">
        <v>90070</v>
      </c>
      <c r="L18" s="63">
        <v>6444</v>
      </c>
      <c r="M18" s="63">
        <f>K18+L18</f>
        <v>96514</v>
      </c>
      <c r="N18" s="65">
        <v>2526000</v>
      </c>
      <c r="O18" s="63">
        <v>901500</v>
      </c>
      <c r="P18" s="63">
        <f>N18+O18</f>
        <v>3427500</v>
      </c>
      <c r="Q18" s="65">
        <v>58.04</v>
      </c>
      <c r="R18" s="63">
        <v>7.9509999999999996</v>
      </c>
      <c r="S18" s="63">
        <f t="shared" si="11"/>
        <v>65.991</v>
      </c>
      <c r="T18" s="65">
        <v>0.2223</v>
      </c>
      <c r="U18" s="63">
        <v>1.2749999999999999E-2</v>
      </c>
      <c r="V18" s="63">
        <f t="shared" si="12"/>
        <v>0.23505000000000001</v>
      </c>
      <c r="W18" s="65">
        <v>1.0790000000000001E-3</v>
      </c>
      <c r="X18" s="63">
        <v>0</v>
      </c>
      <c r="Y18" s="63">
        <f>W18+X18</f>
        <v>1.0790000000000001E-3</v>
      </c>
      <c r="Z18" s="65">
        <v>0</v>
      </c>
      <c r="AA18" s="63">
        <v>0</v>
      </c>
      <c r="AB18" s="63">
        <f>Z18+AA18</f>
        <v>0</v>
      </c>
      <c r="AC18" s="64">
        <f>(Q18+T18+W18+Z18)/1000</f>
        <v>5.826337899999999E-2</v>
      </c>
      <c r="AD18" s="64">
        <f>(R18+U18+X18+AA18)/1000</f>
        <v>7.9637499999999986E-3</v>
      </c>
      <c r="AE18" s="63">
        <f>AC18+AD18</f>
        <v>6.6227128999999996E-2</v>
      </c>
      <c r="AF18" s="66">
        <f>Q18/AC18/1000</f>
        <v>0.99616604797329056</v>
      </c>
      <c r="AG18" s="66">
        <f>R18/AD18/1000</f>
        <v>0.99839899544812438</v>
      </c>
      <c r="AH18" s="60">
        <f>S18/AE18</f>
        <v>996.4345578078736</v>
      </c>
      <c r="AI18" s="64"/>
      <c r="AJ18" s="63"/>
      <c r="AK18" s="63"/>
      <c r="AL18" s="64"/>
      <c r="AM18" s="60"/>
      <c r="AN18" s="60"/>
    </row>
    <row r="19" spans="1:54" s="52" customFormat="1">
      <c r="A19" s="50" t="s">
        <v>101</v>
      </c>
      <c r="B19" s="53" t="s">
        <v>102</v>
      </c>
      <c r="C19" s="58">
        <v>35.256599999999999</v>
      </c>
      <c r="D19" s="52">
        <v>1</v>
      </c>
      <c r="E19" s="59">
        <v>1.1160399999999999</v>
      </c>
      <c r="F19" s="59">
        <v>3.8999999999999999E-4</v>
      </c>
      <c r="G19" s="59">
        <v>0.103975</v>
      </c>
      <c r="H19" s="60">
        <f>G19/0.0075</f>
        <v>13.863333333333333</v>
      </c>
      <c r="I19" s="61">
        <v>0.95976099999999998</v>
      </c>
      <c r="J19" s="62">
        <v>4.0239299999999999E-2</v>
      </c>
      <c r="K19" s="65">
        <v>86470</v>
      </c>
      <c r="L19" s="63">
        <v>6314</v>
      </c>
      <c r="M19" s="63">
        <f t="shared" ref="M19:M26" si="17">K19+L19</f>
        <v>92784</v>
      </c>
      <c r="N19" s="65">
        <v>2525000</v>
      </c>
      <c r="O19" s="63">
        <v>901300</v>
      </c>
      <c r="P19" s="63">
        <f t="shared" ref="P19:P26" si="18">N19+O19</f>
        <v>3426300</v>
      </c>
      <c r="Q19" s="65">
        <v>1339</v>
      </c>
      <c r="R19" s="63">
        <v>186.5</v>
      </c>
      <c r="S19" s="63">
        <f t="shared" si="11"/>
        <v>1525.5</v>
      </c>
      <c r="T19" s="65">
        <v>35.020000000000003</v>
      </c>
      <c r="U19" s="63">
        <v>2.25</v>
      </c>
      <c r="V19" s="63">
        <f>T19+U19</f>
        <v>37.270000000000003</v>
      </c>
      <c r="W19" s="65">
        <v>1.7969999999999999</v>
      </c>
      <c r="X19" s="63">
        <v>4.1680000000000002E-2</v>
      </c>
      <c r="Y19" s="63">
        <f t="shared" ref="Y19:Y26" si="19">W19+X19</f>
        <v>1.8386799999999999</v>
      </c>
      <c r="Z19" s="65">
        <v>1.584E-2</v>
      </c>
      <c r="AA19" s="63">
        <v>1.76E-4</v>
      </c>
      <c r="AB19" s="63">
        <f t="shared" ref="AB19:AB26" si="20">Z19+AA19</f>
        <v>1.6015999999999999E-2</v>
      </c>
      <c r="AC19" s="64">
        <f t="shared" ref="AC19:AD24" si="21">(Q19+T19+W19+Z19)/1000</f>
        <v>1.3758328399999999</v>
      </c>
      <c r="AD19" s="64">
        <f t="shared" si="21"/>
        <v>0.18879185600000004</v>
      </c>
      <c r="AE19" s="63">
        <f t="shared" ref="AE19:AE26" si="22">AC19+AD19</f>
        <v>1.5646246960000001</v>
      </c>
      <c r="AF19" s="66">
        <f t="shared" ref="AF19:AG24" si="23">Q19/AC19/1000</f>
        <v>0.97322869542785451</v>
      </c>
      <c r="AG19" s="66">
        <f t="shared" si="23"/>
        <v>0.98786040855491131</v>
      </c>
      <c r="AH19" s="60">
        <f t="shared" ref="AH19:AH26" si="24">S19/AE19</f>
        <v>974.99419758615386</v>
      </c>
      <c r="AI19" s="64"/>
      <c r="AJ19" s="63"/>
      <c r="AK19" s="63"/>
      <c r="AL19" s="64"/>
      <c r="AM19" s="60"/>
      <c r="AN19" s="60"/>
    </row>
    <row r="20" spans="1:54" s="52" customFormat="1">
      <c r="A20" s="147" t="e" vm="2">
        <v>#VALUE!</v>
      </c>
      <c r="B20" s="148"/>
      <c r="C20" s="58">
        <v>141.02600000000001</v>
      </c>
      <c r="D20" s="52">
        <v>4</v>
      </c>
      <c r="E20" s="59">
        <v>1.0836699999999999</v>
      </c>
      <c r="F20" s="59">
        <v>3.8000000000000002E-4</v>
      </c>
      <c r="G20" s="59">
        <v>7.7210000000000001E-2</v>
      </c>
      <c r="H20" s="60">
        <f t="shared" ref="H20:H26" si="25">G20/0.0075</f>
        <v>10.294666666666668</v>
      </c>
      <c r="I20" s="61">
        <v>0.95454700000000003</v>
      </c>
      <c r="J20" s="62">
        <v>4.54525E-2</v>
      </c>
      <c r="K20" s="65">
        <v>75420</v>
      </c>
      <c r="L20" s="63">
        <v>5915</v>
      </c>
      <c r="M20" s="63">
        <f t="shared" si="17"/>
        <v>81335</v>
      </c>
      <c r="N20" s="65">
        <v>2519000</v>
      </c>
      <c r="O20" s="63">
        <v>900600</v>
      </c>
      <c r="P20" s="63">
        <f t="shared" si="18"/>
        <v>3419600</v>
      </c>
      <c r="Q20" s="65">
        <v>4758</v>
      </c>
      <c r="R20" s="63">
        <v>715.2</v>
      </c>
      <c r="S20" s="63">
        <f t="shared" si="11"/>
        <v>5473.2</v>
      </c>
      <c r="T20" s="65">
        <v>456.4</v>
      </c>
      <c r="U20" s="63">
        <v>32.99</v>
      </c>
      <c r="V20" s="63">
        <f>T20+U20</f>
        <v>489.39</v>
      </c>
      <c r="W20" s="65">
        <v>94.27</v>
      </c>
      <c r="X20" s="63">
        <v>2.468</v>
      </c>
      <c r="Y20" s="63">
        <f t="shared" si="19"/>
        <v>96.738</v>
      </c>
      <c r="Z20" s="65">
        <v>3.613</v>
      </c>
      <c r="AA20" s="63">
        <v>4.2560000000000001E-2</v>
      </c>
      <c r="AB20" s="63">
        <f t="shared" si="20"/>
        <v>3.6555599999999999</v>
      </c>
      <c r="AC20" s="64">
        <f t="shared" si="21"/>
        <v>5.3122830000000008</v>
      </c>
      <c r="AD20" s="64">
        <f t="shared" si="21"/>
        <v>0.75070055999999996</v>
      </c>
      <c r="AE20" s="63">
        <f t="shared" si="22"/>
        <v>6.062983560000001</v>
      </c>
      <c r="AF20" s="66">
        <f t="shared" si="23"/>
        <v>0.8956601144931472</v>
      </c>
      <c r="AG20" s="66">
        <f t="shared" si="23"/>
        <v>0.95271009255674466</v>
      </c>
      <c r="AH20" s="60">
        <f t="shared" si="24"/>
        <v>902.72387279902159</v>
      </c>
      <c r="AI20" s="64"/>
      <c r="AJ20" s="63"/>
      <c r="AK20" s="63"/>
      <c r="AL20" s="64"/>
      <c r="AM20" s="60"/>
      <c r="AN20" s="60"/>
    </row>
    <row r="21" spans="1:54" s="52" customFormat="1">
      <c r="A21" s="147"/>
      <c r="B21" s="148"/>
      <c r="C21" s="58">
        <v>246.79599999999999</v>
      </c>
      <c r="D21" s="52">
        <v>7</v>
      </c>
      <c r="E21" s="59">
        <v>1.0490999999999999</v>
      </c>
      <c r="F21" s="59">
        <v>3.4000000000000002E-4</v>
      </c>
      <c r="G21" s="59">
        <v>4.6802000000000003E-2</v>
      </c>
      <c r="H21" s="60">
        <f t="shared" si="25"/>
        <v>6.2402666666666677</v>
      </c>
      <c r="I21" s="61">
        <v>0.94977400000000001</v>
      </c>
      <c r="J21" s="62">
        <v>5.0226300000000001E-2</v>
      </c>
      <c r="K21" s="65">
        <v>65570</v>
      </c>
      <c r="L21" s="63">
        <v>5534</v>
      </c>
      <c r="M21" s="63">
        <f t="shared" si="17"/>
        <v>71104</v>
      </c>
      <c r="N21" s="65">
        <v>2514000</v>
      </c>
      <c r="O21" s="63">
        <v>899900</v>
      </c>
      <c r="P21" s="63">
        <f t="shared" si="18"/>
        <v>3413900</v>
      </c>
      <c r="Q21" s="65">
        <v>7121</v>
      </c>
      <c r="R21" s="63">
        <v>1171</v>
      </c>
      <c r="S21" s="63">
        <f t="shared" si="11"/>
        <v>8292</v>
      </c>
      <c r="T21" s="65">
        <v>1086</v>
      </c>
      <c r="U21" s="63">
        <v>91.36</v>
      </c>
      <c r="V21" s="63">
        <f>T21+U21</f>
        <v>1177.3599999999999</v>
      </c>
      <c r="W21" s="65">
        <v>361.4</v>
      </c>
      <c r="X21" s="63">
        <v>11.79</v>
      </c>
      <c r="Y21" s="63">
        <f t="shared" si="19"/>
        <v>373.19</v>
      </c>
      <c r="Z21" s="65">
        <v>26.1</v>
      </c>
      <c r="AA21" s="63">
        <v>0.3679</v>
      </c>
      <c r="AB21" s="63">
        <f t="shared" si="20"/>
        <v>26.4679</v>
      </c>
      <c r="AC21" s="64">
        <f t="shared" si="21"/>
        <v>8.5945</v>
      </c>
      <c r="AD21" s="64">
        <f t="shared" si="21"/>
        <v>1.2745178999999998</v>
      </c>
      <c r="AE21" s="63">
        <f t="shared" si="22"/>
        <v>9.8690178999999993</v>
      </c>
      <c r="AF21" s="66">
        <f t="shared" si="23"/>
        <v>0.82855314445284778</v>
      </c>
      <c r="AG21" s="66">
        <f t="shared" si="23"/>
        <v>0.91877877901911009</v>
      </c>
      <c r="AH21" s="60">
        <f t="shared" si="24"/>
        <v>840.20518394236581</v>
      </c>
      <c r="AI21" s="64"/>
      <c r="AJ21" s="63"/>
      <c r="AK21" s="63"/>
      <c r="AL21" s="64"/>
      <c r="AM21" s="60"/>
      <c r="AN21" s="60"/>
      <c r="BB21" s="52" t="s">
        <v>59</v>
      </c>
    </row>
    <row r="22" spans="1:54" s="52" customFormat="1">
      <c r="A22" s="147"/>
      <c r="B22" s="148"/>
      <c r="C22" s="58">
        <v>352.59300000000002</v>
      </c>
      <c r="D22" s="52">
        <v>10</v>
      </c>
      <c r="E22" s="59">
        <v>1.0170999999999999</v>
      </c>
      <c r="F22" s="59">
        <v>3.5E-4</v>
      </c>
      <c r="G22" s="59">
        <v>1.6813000000000002E-2</v>
      </c>
      <c r="H22" s="60">
        <f t="shared" si="25"/>
        <v>2.2417333333333338</v>
      </c>
      <c r="I22" s="61">
        <v>0.94509200000000004</v>
      </c>
      <c r="J22" s="62">
        <v>5.4908400000000003E-2</v>
      </c>
      <c r="K22" s="65">
        <v>56700</v>
      </c>
      <c r="L22" s="63">
        <v>5169</v>
      </c>
      <c r="M22" s="63">
        <f t="shared" si="17"/>
        <v>61869</v>
      </c>
      <c r="N22" s="65">
        <v>2508000</v>
      </c>
      <c r="O22" s="63">
        <v>899200</v>
      </c>
      <c r="P22" s="63">
        <f t="shared" si="18"/>
        <v>3407200</v>
      </c>
      <c r="Q22" s="65">
        <v>8775</v>
      </c>
      <c r="R22" s="63">
        <v>1566</v>
      </c>
      <c r="S22" s="63">
        <f t="shared" si="11"/>
        <v>10341</v>
      </c>
      <c r="T22" s="65">
        <v>1793</v>
      </c>
      <c r="U22" s="63">
        <v>169.6</v>
      </c>
      <c r="V22" s="63">
        <f t="shared" ref="V22:V26" si="26">T22+U22</f>
        <v>1962.6</v>
      </c>
      <c r="W22" s="65">
        <v>745.8</v>
      </c>
      <c r="X22" s="63">
        <v>30.36</v>
      </c>
      <c r="Y22" s="63">
        <f t="shared" si="19"/>
        <v>776.16</v>
      </c>
      <c r="Z22" s="65">
        <v>83.55</v>
      </c>
      <c r="AA22" s="63">
        <v>1.4059999999999999</v>
      </c>
      <c r="AB22" s="63">
        <f t="shared" si="20"/>
        <v>84.956000000000003</v>
      </c>
      <c r="AC22" s="64">
        <f t="shared" si="21"/>
        <v>11.397349999999999</v>
      </c>
      <c r="AD22" s="64">
        <f t="shared" si="21"/>
        <v>1.7673659999999998</v>
      </c>
      <c r="AE22" s="63">
        <f t="shared" si="22"/>
        <v>13.164715999999999</v>
      </c>
      <c r="AF22" s="66">
        <f t="shared" si="23"/>
        <v>0.76991581376372586</v>
      </c>
      <c r="AG22" s="66">
        <f t="shared" si="23"/>
        <v>0.88606434660392941</v>
      </c>
      <c r="AH22" s="60">
        <f t="shared" si="24"/>
        <v>785.50877968047325</v>
      </c>
      <c r="AI22" s="64"/>
      <c r="AJ22" s="63"/>
      <c r="AK22" s="63"/>
      <c r="AL22" s="64"/>
      <c r="AM22" s="60"/>
      <c r="AN22" s="60"/>
    </row>
    <row r="23" spans="1:54" s="52" customFormat="1">
      <c r="A23" s="147"/>
      <c r="B23" s="148"/>
      <c r="C23" s="58">
        <v>705.18499999999995</v>
      </c>
      <c r="D23" s="52">
        <v>20</v>
      </c>
      <c r="E23" s="59">
        <v>0.92530999999999997</v>
      </c>
      <c r="F23" s="59">
        <v>3.5E-4</v>
      </c>
      <c r="G23" s="59">
        <v>-8.0718999999999999E-2</v>
      </c>
      <c r="H23" s="60">
        <f t="shared" si="25"/>
        <v>-10.762533333333334</v>
      </c>
      <c r="I23" s="61">
        <v>0.93108100000000005</v>
      </c>
      <c r="J23" s="62">
        <v>6.8918499999999994E-2</v>
      </c>
      <c r="K23" s="65">
        <v>33160</v>
      </c>
      <c r="L23" s="63">
        <v>4134</v>
      </c>
      <c r="M23" s="63">
        <f t="shared" si="17"/>
        <v>37294</v>
      </c>
      <c r="N23" s="65">
        <v>2486000</v>
      </c>
      <c r="O23" s="63">
        <v>896700</v>
      </c>
      <c r="P23" s="63">
        <f t="shared" si="18"/>
        <v>3382700</v>
      </c>
      <c r="Q23" s="65">
        <v>11230</v>
      </c>
      <c r="R23" s="63">
        <v>2447</v>
      </c>
      <c r="S23" s="63">
        <f t="shared" si="11"/>
        <v>13677</v>
      </c>
      <c r="T23" s="65">
        <v>3843</v>
      </c>
      <c r="U23" s="63">
        <v>482.5</v>
      </c>
      <c r="V23" s="63">
        <f t="shared" si="26"/>
        <v>4325.5</v>
      </c>
      <c r="W23" s="65">
        <v>2413</v>
      </c>
      <c r="X23" s="63">
        <v>151</v>
      </c>
      <c r="Y23" s="63">
        <f t="shared" si="19"/>
        <v>2564</v>
      </c>
      <c r="Z23" s="65">
        <v>647.6</v>
      </c>
      <c r="AA23" s="63">
        <v>15.08</v>
      </c>
      <c r="AB23" s="63">
        <f t="shared" si="20"/>
        <v>662.68000000000006</v>
      </c>
      <c r="AC23" s="64">
        <f t="shared" si="21"/>
        <v>18.133599999999998</v>
      </c>
      <c r="AD23" s="64">
        <f t="shared" si="21"/>
        <v>3.09558</v>
      </c>
      <c r="AE23" s="63">
        <f t="shared" si="22"/>
        <v>21.229179999999999</v>
      </c>
      <c r="AF23" s="66">
        <f t="shared" si="23"/>
        <v>0.61929236334759785</v>
      </c>
      <c r="AG23" s="66">
        <f t="shared" si="23"/>
        <v>0.79048191292100356</v>
      </c>
      <c r="AH23" s="60">
        <f t="shared" si="24"/>
        <v>644.25474747493786</v>
      </c>
      <c r="AI23" s="64"/>
      <c r="AJ23" s="63"/>
      <c r="AK23" s="63"/>
      <c r="AL23" s="64"/>
      <c r="AM23" s="60"/>
      <c r="AN23" s="60"/>
    </row>
    <row r="24" spans="1:54" s="52" customFormat="1">
      <c r="A24" s="147"/>
      <c r="B24" s="148"/>
      <c r="C24" s="58">
        <v>1057.78</v>
      </c>
      <c r="D24" s="52">
        <v>30</v>
      </c>
      <c r="E24" s="59">
        <v>0.84433000000000002</v>
      </c>
      <c r="F24" s="59">
        <v>3.2000000000000003E-4</v>
      </c>
      <c r="G24" s="59">
        <v>-0.18437100000000001</v>
      </c>
      <c r="H24" s="60">
        <f t="shared" si="25"/>
        <v>-24.582800000000002</v>
      </c>
      <c r="I24" s="61">
        <v>0.91671400000000003</v>
      </c>
      <c r="J24" s="62">
        <v>8.3285899999999996E-2</v>
      </c>
      <c r="K24" s="65">
        <v>17480</v>
      </c>
      <c r="L24" s="63">
        <v>3203</v>
      </c>
      <c r="M24" s="63">
        <f t="shared" si="17"/>
        <v>20683</v>
      </c>
      <c r="N24" s="65">
        <v>2460000</v>
      </c>
      <c r="O24" s="63">
        <v>893800</v>
      </c>
      <c r="P24" s="63">
        <f t="shared" si="18"/>
        <v>3353800</v>
      </c>
      <c r="Q24" s="65">
        <v>11810</v>
      </c>
      <c r="R24" s="63">
        <v>3007</v>
      </c>
      <c r="S24" s="63">
        <f t="shared" si="11"/>
        <v>14817</v>
      </c>
      <c r="T24" s="65">
        <v>5577</v>
      </c>
      <c r="U24" s="63">
        <v>854.5</v>
      </c>
      <c r="V24" s="63">
        <f t="shared" si="26"/>
        <v>6431.5</v>
      </c>
      <c r="W24" s="65">
        <v>3367</v>
      </c>
      <c r="X24" s="63">
        <v>332.3</v>
      </c>
      <c r="Y24" s="63">
        <f t="shared" si="19"/>
        <v>3699.3</v>
      </c>
      <c r="Z24" s="65">
        <v>1699</v>
      </c>
      <c r="AA24" s="63">
        <v>57.74</v>
      </c>
      <c r="AB24" s="63">
        <f t="shared" si="20"/>
        <v>1756.74</v>
      </c>
      <c r="AC24" s="64">
        <f t="shared" si="21"/>
        <v>22.452999999999999</v>
      </c>
      <c r="AD24" s="64">
        <f t="shared" si="21"/>
        <v>4.2515400000000003</v>
      </c>
      <c r="AE24" s="63">
        <f t="shared" si="22"/>
        <v>26.704540000000001</v>
      </c>
      <c r="AF24" s="66">
        <f t="shared" si="23"/>
        <v>0.52598761858103593</v>
      </c>
      <c r="AG24" s="66">
        <f t="shared" si="23"/>
        <v>0.70727312926610109</v>
      </c>
      <c r="AH24" s="60">
        <f t="shared" si="24"/>
        <v>554.84947503308422</v>
      </c>
      <c r="AI24" s="64"/>
      <c r="AJ24" s="63"/>
      <c r="AK24" s="63"/>
      <c r="AL24" s="64"/>
      <c r="AM24" s="60"/>
      <c r="AN24" s="60"/>
    </row>
    <row r="25" spans="1:54" s="52" customFormat="1">
      <c r="A25" s="147"/>
      <c r="B25" s="148"/>
      <c r="C25" s="58">
        <v>1410.37</v>
      </c>
      <c r="D25" s="52">
        <v>40</v>
      </c>
      <c r="E25" s="59"/>
      <c r="F25" s="59"/>
      <c r="G25" s="59"/>
      <c r="H25" s="60">
        <f t="shared" si="25"/>
        <v>0</v>
      </c>
      <c r="I25" s="61"/>
      <c r="J25" s="62"/>
      <c r="K25" s="65"/>
      <c r="L25" s="63"/>
      <c r="M25" s="63">
        <f t="shared" si="17"/>
        <v>0</v>
      </c>
      <c r="N25" s="65"/>
      <c r="O25" s="63"/>
      <c r="P25" s="63">
        <f t="shared" si="18"/>
        <v>0</v>
      </c>
      <c r="Q25" s="65"/>
      <c r="R25" s="63"/>
      <c r="S25" s="63">
        <f t="shared" si="11"/>
        <v>0</v>
      </c>
      <c r="T25" s="65"/>
      <c r="U25" s="63"/>
      <c r="V25" s="63">
        <f t="shared" si="26"/>
        <v>0</v>
      </c>
      <c r="W25" s="65"/>
      <c r="X25" s="63"/>
      <c r="Y25" s="63">
        <f t="shared" si="19"/>
        <v>0</v>
      </c>
      <c r="Z25" s="65"/>
      <c r="AA25" s="63"/>
      <c r="AB25" s="63">
        <f t="shared" si="20"/>
        <v>0</v>
      </c>
      <c r="AC25" s="64">
        <f t="shared" ref="AC25:AD26" si="27">Q25+T25+W25+Z25</f>
        <v>0</v>
      </c>
      <c r="AD25" s="64">
        <f t="shared" si="27"/>
        <v>0</v>
      </c>
      <c r="AE25" s="63">
        <f t="shared" si="22"/>
        <v>0</v>
      </c>
      <c r="AF25" s="66" t="e">
        <f t="shared" ref="AF25:AG26" si="28">Q25/AC25</f>
        <v>#DIV/0!</v>
      </c>
      <c r="AG25" s="60" t="e">
        <f t="shared" si="28"/>
        <v>#DIV/0!</v>
      </c>
      <c r="AH25" s="60" t="e">
        <f t="shared" si="24"/>
        <v>#DIV/0!</v>
      </c>
      <c r="AI25" s="66"/>
      <c r="AJ25" s="60"/>
      <c r="AK25" s="63"/>
      <c r="AL25" s="64"/>
      <c r="AM25" s="60"/>
      <c r="AN25" s="60"/>
    </row>
    <row r="26" spans="1:54" s="68" customFormat="1">
      <c r="A26" s="149"/>
      <c r="B26" s="150"/>
      <c r="C26" s="67">
        <v>1762.96</v>
      </c>
      <c r="D26" s="68">
        <v>50</v>
      </c>
      <c r="E26" s="69"/>
      <c r="F26" s="69"/>
      <c r="G26" s="69"/>
      <c r="H26" s="70">
        <f t="shared" si="25"/>
        <v>0</v>
      </c>
      <c r="I26" s="71"/>
      <c r="J26" s="72"/>
      <c r="K26" s="73"/>
      <c r="L26" s="74"/>
      <c r="M26" s="74">
        <f t="shared" si="17"/>
        <v>0</v>
      </c>
      <c r="N26" s="73"/>
      <c r="O26" s="74"/>
      <c r="P26" s="74">
        <f t="shared" si="18"/>
        <v>0</v>
      </c>
      <c r="Q26" s="73"/>
      <c r="R26" s="74"/>
      <c r="S26" s="74">
        <f t="shared" si="11"/>
        <v>0</v>
      </c>
      <c r="T26" s="73"/>
      <c r="U26" s="74"/>
      <c r="V26" s="74">
        <f t="shared" si="26"/>
        <v>0</v>
      </c>
      <c r="W26" s="73"/>
      <c r="X26" s="74"/>
      <c r="Y26" s="74">
        <f t="shared" si="19"/>
        <v>0</v>
      </c>
      <c r="Z26" s="73"/>
      <c r="AA26" s="74"/>
      <c r="AB26" s="74">
        <f t="shared" si="20"/>
        <v>0</v>
      </c>
      <c r="AC26" s="75">
        <f t="shared" si="27"/>
        <v>0</v>
      </c>
      <c r="AD26" s="75">
        <f t="shared" si="27"/>
        <v>0</v>
      </c>
      <c r="AE26" s="74">
        <f t="shared" si="22"/>
        <v>0</v>
      </c>
      <c r="AF26" s="76" t="e">
        <f t="shared" si="28"/>
        <v>#DIV/0!</v>
      </c>
      <c r="AG26" s="70" t="e">
        <f t="shared" si="28"/>
        <v>#DIV/0!</v>
      </c>
      <c r="AH26" s="70" t="e">
        <f t="shared" si="24"/>
        <v>#DIV/0!</v>
      </c>
      <c r="AI26" s="76"/>
      <c r="AJ26" s="70"/>
      <c r="AK26" s="63"/>
      <c r="AL26" s="64"/>
      <c r="AM26" s="70"/>
      <c r="AN26" s="60"/>
    </row>
    <row r="27" spans="1:54">
      <c r="A27" s="45"/>
      <c r="B27" s="45"/>
      <c r="E27" s="30"/>
      <c r="F27" s="30"/>
      <c r="G27" s="30"/>
      <c r="H27" s="23"/>
      <c r="I27" s="21"/>
      <c r="J27" s="17"/>
      <c r="K27" s="48"/>
      <c r="L27" s="17"/>
      <c r="M27" s="17"/>
      <c r="N27" s="48"/>
      <c r="O27" s="17"/>
      <c r="P27" s="17"/>
      <c r="Q27" s="48"/>
      <c r="R27" s="17"/>
      <c r="S27" s="17"/>
      <c r="T27" s="48"/>
      <c r="U27" s="17"/>
      <c r="V27" s="17"/>
      <c r="W27" s="48"/>
      <c r="X27" s="17"/>
      <c r="Y27" s="17"/>
      <c r="Z27" s="48"/>
      <c r="AA27" s="17"/>
      <c r="AB27" s="17"/>
      <c r="AC27" s="21"/>
      <c r="AD27" s="17"/>
      <c r="AE27" s="17"/>
      <c r="AF27" s="37"/>
      <c r="AG27" s="17"/>
      <c r="AH27" s="17"/>
    </row>
    <row r="28" spans="1:54" s="105" customFormat="1">
      <c r="A28" s="104" t="s">
        <v>1</v>
      </c>
      <c r="B28" s="105" t="s">
        <v>105</v>
      </c>
      <c r="C28" s="106"/>
      <c r="I28" s="107" t="s">
        <v>44</v>
      </c>
      <c r="K28" s="107" t="s">
        <v>47</v>
      </c>
      <c r="N28" s="107" t="s">
        <v>48</v>
      </c>
      <c r="O28" s="104"/>
      <c r="P28" s="104"/>
      <c r="Q28" s="107" t="s">
        <v>49</v>
      </c>
      <c r="T28" s="107" t="s">
        <v>50</v>
      </c>
      <c r="U28" s="104"/>
      <c r="V28" s="104"/>
      <c r="W28" s="107" t="s">
        <v>51</v>
      </c>
      <c r="Z28" s="107" t="s">
        <v>84</v>
      </c>
      <c r="AC28" s="107" t="s">
        <v>52</v>
      </c>
      <c r="AF28" s="107" t="s">
        <v>56</v>
      </c>
      <c r="AI28" s="107" t="s">
        <v>106</v>
      </c>
      <c r="AL28" s="107" t="s">
        <v>107</v>
      </c>
    </row>
    <row r="29" spans="1:54" s="111" customFormat="1">
      <c r="A29" s="108" t="s">
        <v>36</v>
      </c>
      <c r="B29" s="109" t="s">
        <v>85</v>
      </c>
      <c r="C29" s="110" t="s">
        <v>43</v>
      </c>
      <c r="D29" s="108" t="s">
        <v>39</v>
      </c>
      <c r="E29" s="108" t="s">
        <v>40</v>
      </c>
      <c r="F29" s="108" t="s">
        <v>41</v>
      </c>
      <c r="G29" s="108" t="s">
        <v>42</v>
      </c>
      <c r="H29" s="108" t="s">
        <v>57</v>
      </c>
      <c r="I29" s="110" t="s">
        <v>45</v>
      </c>
      <c r="J29" s="108" t="s">
        <v>46</v>
      </c>
      <c r="K29" s="110" t="s">
        <v>53</v>
      </c>
      <c r="L29" s="108" t="s">
        <v>54</v>
      </c>
      <c r="M29" s="108" t="s">
        <v>55</v>
      </c>
      <c r="N29" s="110" t="s">
        <v>53</v>
      </c>
      <c r="O29" s="108" t="s">
        <v>54</v>
      </c>
      <c r="P29" s="108" t="s">
        <v>55</v>
      </c>
      <c r="Q29" s="110" t="s">
        <v>53</v>
      </c>
      <c r="R29" s="108" t="s">
        <v>54</v>
      </c>
      <c r="S29" s="108" t="s">
        <v>55</v>
      </c>
      <c r="T29" s="110" t="s">
        <v>53</v>
      </c>
      <c r="U29" s="108" t="s">
        <v>54</v>
      </c>
      <c r="V29" s="108" t="s">
        <v>55</v>
      </c>
      <c r="W29" s="110" t="s">
        <v>53</v>
      </c>
      <c r="X29" s="108" t="s">
        <v>54</v>
      </c>
      <c r="Y29" s="108" t="s">
        <v>55</v>
      </c>
      <c r="Z29" s="110" t="s">
        <v>53</v>
      </c>
      <c r="AA29" s="108" t="s">
        <v>54</v>
      </c>
      <c r="AB29" s="108" t="s">
        <v>55</v>
      </c>
      <c r="AC29" s="110" t="s">
        <v>53</v>
      </c>
      <c r="AD29" s="108" t="s">
        <v>54</v>
      </c>
      <c r="AE29" s="108" t="s">
        <v>55</v>
      </c>
      <c r="AF29" s="110" t="s">
        <v>53</v>
      </c>
      <c r="AG29" s="108" t="s">
        <v>54</v>
      </c>
      <c r="AH29" s="108" t="s">
        <v>55</v>
      </c>
      <c r="AI29" s="110" t="s">
        <v>53</v>
      </c>
      <c r="AJ29" s="108" t="s">
        <v>54</v>
      </c>
      <c r="AK29" s="108" t="s">
        <v>55</v>
      </c>
      <c r="AL29" s="110" t="s">
        <v>53</v>
      </c>
      <c r="AM29" s="108" t="s">
        <v>54</v>
      </c>
      <c r="AN29" s="108" t="s">
        <v>55</v>
      </c>
    </row>
    <row r="30" spans="1:54" s="111" customFormat="1">
      <c r="A30" s="108" t="s">
        <v>38</v>
      </c>
      <c r="B30" s="109" t="s">
        <v>86</v>
      </c>
      <c r="C30" s="112">
        <v>0</v>
      </c>
      <c r="D30" s="111">
        <v>0</v>
      </c>
      <c r="E30" s="113"/>
      <c r="F30" s="113"/>
      <c r="G30" s="113"/>
      <c r="H30" s="114">
        <f>G30/0.0075</f>
        <v>0</v>
      </c>
      <c r="I30" s="115"/>
      <c r="J30" s="116"/>
      <c r="K30" s="112"/>
      <c r="N30" s="112"/>
      <c r="Q30" s="112"/>
      <c r="S30" s="117">
        <f t="shared" ref="S30:S39" si="29">Q30+R30</f>
        <v>0</v>
      </c>
      <c r="T30" s="112"/>
      <c r="V30" s="117">
        <f t="shared" ref="V30:V31" si="30">T30+U30</f>
        <v>0</v>
      </c>
      <c r="W30" s="112"/>
      <c r="Y30" s="117">
        <f t="shared" ref="Y30" si="31">W30+X30</f>
        <v>0</v>
      </c>
      <c r="Z30" s="112"/>
      <c r="AB30" s="117">
        <f t="shared" ref="AB30" si="32">Z30+AA30</f>
        <v>0</v>
      </c>
      <c r="AC30" s="112">
        <v>0</v>
      </c>
      <c r="AD30" s="111">
        <v>0</v>
      </c>
      <c r="AE30" s="111">
        <v>0</v>
      </c>
      <c r="AF30" s="112"/>
      <c r="AI30" s="118"/>
      <c r="AJ30" s="117"/>
      <c r="AK30" s="117">
        <f>AI30+AJ30</f>
        <v>0</v>
      </c>
      <c r="AL30" s="118">
        <f>AI30*(7710000000000000000)*23.1662*3.016/(6.022E+23)*(C30*24*60*60)</f>
        <v>0</v>
      </c>
      <c r="AN30" s="114">
        <f>AL30+AM30</f>
        <v>0</v>
      </c>
    </row>
    <row r="31" spans="1:54" s="111" customFormat="1">
      <c r="A31" s="108" t="s">
        <v>87</v>
      </c>
      <c r="B31" s="111" t="s">
        <v>89</v>
      </c>
      <c r="C31" s="112">
        <v>3.5259299999999998</v>
      </c>
      <c r="D31" s="111">
        <v>0.1</v>
      </c>
      <c r="E31" s="113"/>
      <c r="F31" s="113"/>
      <c r="G31" s="113"/>
      <c r="H31" s="114">
        <f t="shared" ref="H31" si="33">G31/0.0075</f>
        <v>0</v>
      </c>
      <c r="I31" s="115"/>
      <c r="J31" s="116"/>
      <c r="K31" s="119"/>
      <c r="L31" s="117"/>
      <c r="M31" s="117">
        <f>K31+L31</f>
        <v>0</v>
      </c>
      <c r="N31" s="119"/>
      <c r="O31" s="117"/>
      <c r="P31" s="117">
        <f>N31+O31</f>
        <v>0</v>
      </c>
      <c r="Q31" s="119"/>
      <c r="R31" s="117"/>
      <c r="S31" s="117">
        <f t="shared" si="29"/>
        <v>0</v>
      </c>
      <c r="T31" s="119"/>
      <c r="U31" s="117"/>
      <c r="V31" s="117">
        <f t="shared" si="30"/>
        <v>0</v>
      </c>
      <c r="W31" s="119"/>
      <c r="X31" s="117"/>
      <c r="Y31" s="117">
        <f>W31+X31</f>
        <v>0</v>
      </c>
      <c r="Z31" s="119"/>
      <c r="AA31" s="117"/>
      <c r="AB31" s="117">
        <f>Z31+AA31</f>
        <v>0</v>
      </c>
      <c r="AC31" s="118">
        <f>Q31+T31+W31+Z31</f>
        <v>0</v>
      </c>
      <c r="AD31" s="118">
        <f>R31+U31+X31+AA31</f>
        <v>0</v>
      </c>
      <c r="AE31" s="117">
        <f>AC31+AD31</f>
        <v>0</v>
      </c>
      <c r="AF31" s="120" t="e">
        <f>Q31/AC31</f>
        <v>#DIV/0!</v>
      </c>
      <c r="AG31" s="114" t="e">
        <f>R31/AD31</f>
        <v>#DIV/0!</v>
      </c>
      <c r="AH31" s="114" t="e">
        <f>S31/AE31</f>
        <v>#DIV/0!</v>
      </c>
      <c r="AI31" s="118"/>
      <c r="AJ31" s="117"/>
      <c r="AK31" s="117">
        <f>AI31+AJ31</f>
        <v>0</v>
      </c>
      <c r="AL31" s="118">
        <f t="shared" ref="AL31:AL39" si="34">AI31*(7710000000000000000)*23.1662*3.016/(6.022E+23)*(C31*24*60*60)</f>
        <v>0</v>
      </c>
      <c r="AM31" s="114"/>
      <c r="AN31" s="114">
        <f>AL31+AM31</f>
        <v>0</v>
      </c>
    </row>
    <row r="32" spans="1:54" s="111" customFormat="1">
      <c r="A32" s="108" t="s">
        <v>101</v>
      </c>
      <c r="B32" s="121" t="s">
        <v>102</v>
      </c>
      <c r="C32" s="112">
        <v>35.256599999999999</v>
      </c>
      <c r="D32" s="111">
        <v>1</v>
      </c>
      <c r="E32" s="113"/>
      <c r="F32" s="113"/>
      <c r="G32" s="113"/>
      <c r="H32" s="114">
        <f>G32/0.0075</f>
        <v>0</v>
      </c>
      <c r="I32" s="115"/>
      <c r="J32" s="116"/>
      <c r="K32" s="119"/>
      <c r="L32" s="117"/>
      <c r="M32" s="117">
        <f t="shared" ref="M32:M39" si="35">K32+L32</f>
        <v>0</v>
      </c>
      <c r="N32" s="119"/>
      <c r="O32" s="117"/>
      <c r="P32" s="117">
        <f t="shared" ref="P32:P39" si="36">N32+O32</f>
        <v>0</v>
      </c>
      <c r="Q32" s="119"/>
      <c r="R32" s="117"/>
      <c r="S32" s="117">
        <f t="shared" si="29"/>
        <v>0</v>
      </c>
      <c r="T32" s="119"/>
      <c r="U32" s="117"/>
      <c r="V32" s="117">
        <f>T32+U32</f>
        <v>0</v>
      </c>
      <c r="W32" s="119"/>
      <c r="X32" s="117"/>
      <c r="Y32" s="117">
        <f t="shared" ref="Y32:Y39" si="37">W32+X32</f>
        <v>0</v>
      </c>
      <c r="Z32" s="119"/>
      <c r="AA32" s="117"/>
      <c r="AB32" s="117">
        <f t="shared" ref="AB32:AB39" si="38">Z32+AA32</f>
        <v>0</v>
      </c>
      <c r="AC32" s="118">
        <f t="shared" ref="AC32:AD39" si="39">Q32+T32+W32+Z32</f>
        <v>0</v>
      </c>
      <c r="AD32" s="118">
        <f t="shared" si="39"/>
        <v>0</v>
      </c>
      <c r="AE32" s="117">
        <f t="shared" ref="AE32:AE39" si="40">AC32+AD32</f>
        <v>0</v>
      </c>
      <c r="AF32" s="120" t="e">
        <f t="shared" ref="AF32:AH39" si="41">Q32/AC32</f>
        <v>#DIV/0!</v>
      </c>
      <c r="AG32" s="114" t="e">
        <f t="shared" si="41"/>
        <v>#DIV/0!</v>
      </c>
      <c r="AH32" s="114" t="e">
        <f t="shared" si="41"/>
        <v>#DIV/0!</v>
      </c>
      <c r="AI32" s="120"/>
      <c r="AJ32" s="114"/>
      <c r="AK32" s="117">
        <f t="shared" ref="AK32:AK39" si="42">AI32+AJ32</f>
        <v>0</v>
      </c>
      <c r="AL32" s="118">
        <f t="shared" si="34"/>
        <v>0</v>
      </c>
      <c r="AM32" s="114"/>
      <c r="AN32" s="114">
        <f t="shared" ref="AN32:AN39" si="43">AL32+AM32</f>
        <v>0</v>
      </c>
    </row>
    <row r="33" spans="1:54" s="111" customFormat="1">
      <c r="A33" s="139" t="e" vm="2">
        <v>#VALUE!</v>
      </c>
      <c r="B33" s="140"/>
      <c r="C33" s="112">
        <v>141.02600000000001</v>
      </c>
      <c r="D33" s="111">
        <v>4</v>
      </c>
      <c r="E33" s="113"/>
      <c r="F33" s="113"/>
      <c r="G33" s="113"/>
      <c r="H33" s="114">
        <f t="shared" ref="H33:H39" si="44">G33/0.0075</f>
        <v>0</v>
      </c>
      <c r="I33" s="115"/>
      <c r="J33" s="116"/>
      <c r="K33" s="119"/>
      <c r="L33" s="117"/>
      <c r="M33" s="117">
        <f t="shared" si="35"/>
        <v>0</v>
      </c>
      <c r="N33" s="119"/>
      <c r="O33" s="117"/>
      <c r="P33" s="117">
        <f t="shared" si="36"/>
        <v>0</v>
      </c>
      <c r="Q33" s="119"/>
      <c r="R33" s="117"/>
      <c r="S33" s="117">
        <f t="shared" si="29"/>
        <v>0</v>
      </c>
      <c r="T33" s="119"/>
      <c r="U33" s="117"/>
      <c r="V33" s="117">
        <f>T33+U33</f>
        <v>0</v>
      </c>
      <c r="W33" s="119"/>
      <c r="X33" s="117"/>
      <c r="Y33" s="117">
        <f t="shared" si="37"/>
        <v>0</v>
      </c>
      <c r="Z33" s="119"/>
      <c r="AA33" s="117"/>
      <c r="AB33" s="117">
        <f t="shared" si="38"/>
        <v>0</v>
      </c>
      <c r="AC33" s="118">
        <f t="shared" si="39"/>
        <v>0</v>
      </c>
      <c r="AD33" s="118">
        <f t="shared" si="39"/>
        <v>0</v>
      </c>
      <c r="AE33" s="117">
        <f t="shared" si="40"/>
        <v>0</v>
      </c>
      <c r="AF33" s="120" t="e">
        <f t="shared" si="41"/>
        <v>#DIV/0!</v>
      </c>
      <c r="AG33" s="114" t="e">
        <f t="shared" si="41"/>
        <v>#DIV/0!</v>
      </c>
      <c r="AH33" s="114" t="e">
        <f t="shared" si="41"/>
        <v>#DIV/0!</v>
      </c>
      <c r="AI33" s="120"/>
      <c r="AJ33" s="114"/>
      <c r="AK33" s="117">
        <f t="shared" si="42"/>
        <v>0</v>
      </c>
      <c r="AL33" s="118">
        <f t="shared" si="34"/>
        <v>0</v>
      </c>
      <c r="AM33" s="114"/>
      <c r="AN33" s="114">
        <f t="shared" si="43"/>
        <v>0</v>
      </c>
    </row>
    <row r="34" spans="1:54" s="111" customFormat="1">
      <c r="A34" s="139"/>
      <c r="B34" s="140"/>
      <c r="C34" s="112">
        <v>246.79599999999999</v>
      </c>
      <c r="D34" s="111">
        <v>7</v>
      </c>
      <c r="E34" s="113"/>
      <c r="F34" s="113"/>
      <c r="G34" s="113"/>
      <c r="H34" s="114">
        <f t="shared" si="44"/>
        <v>0</v>
      </c>
      <c r="I34" s="115"/>
      <c r="J34" s="116"/>
      <c r="K34" s="119"/>
      <c r="L34" s="117"/>
      <c r="M34" s="117">
        <f t="shared" si="35"/>
        <v>0</v>
      </c>
      <c r="N34" s="119"/>
      <c r="O34" s="117"/>
      <c r="P34" s="117">
        <f t="shared" si="36"/>
        <v>0</v>
      </c>
      <c r="Q34" s="119"/>
      <c r="R34" s="117"/>
      <c r="S34" s="117">
        <f t="shared" si="29"/>
        <v>0</v>
      </c>
      <c r="T34" s="119"/>
      <c r="U34" s="117"/>
      <c r="V34" s="117">
        <f>T34+U34</f>
        <v>0</v>
      </c>
      <c r="W34" s="119"/>
      <c r="X34" s="117"/>
      <c r="Y34" s="117">
        <f t="shared" si="37"/>
        <v>0</v>
      </c>
      <c r="Z34" s="119"/>
      <c r="AA34" s="117"/>
      <c r="AB34" s="117">
        <f t="shared" si="38"/>
        <v>0</v>
      </c>
      <c r="AC34" s="118">
        <f t="shared" si="39"/>
        <v>0</v>
      </c>
      <c r="AD34" s="118">
        <f t="shared" si="39"/>
        <v>0</v>
      </c>
      <c r="AE34" s="117">
        <f t="shared" si="40"/>
        <v>0</v>
      </c>
      <c r="AF34" s="120" t="e">
        <f t="shared" si="41"/>
        <v>#DIV/0!</v>
      </c>
      <c r="AG34" s="114" t="e">
        <f t="shared" si="41"/>
        <v>#DIV/0!</v>
      </c>
      <c r="AH34" s="114" t="e">
        <f t="shared" si="41"/>
        <v>#DIV/0!</v>
      </c>
      <c r="AI34" s="120"/>
      <c r="AJ34" s="114"/>
      <c r="AK34" s="117">
        <f t="shared" si="42"/>
        <v>0</v>
      </c>
      <c r="AL34" s="118">
        <f t="shared" si="34"/>
        <v>0</v>
      </c>
      <c r="AM34" s="114"/>
      <c r="AN34" s="114">
        <f t="shared" si="43"/>
        <v>0</v>
      </c>
      <c r="BB34" s="111" t="s">
        <v>59</v>
      </c>
    </row>
    <row r="35" spans="1:54" s="111" customFormat="1">
      <c r="A35" s="139"/>
      <c r="B35" s="140"/>
      <c r="C35" s="112">
        <v>352.59300000000002</v>
      </c>
      <c r="D35" s="111">
        <v>10</v>
      </c>
      <c r="E35" s="113"/>
      <c r="F35" s="113"/>
      <c r="G35" s="113"/>
      <c r="H35" s="114">
        <f t="shared" si="44"/>
        <v>0</v>
      </c>
      <c r="I35" s="115"/>
      <c r="J35" s="116"/>
      <c r="K35" s="119"/>
      <c r="L35" s="117"/>
      <c r="M35" s="117">
        <f t="shared" si="35"/>
        <v>0</v>
      </c>
      <c r="N35" s="119"/>
      <c r="O35" s="117"/>
      <c r="P35" s="117">
        <f t="shared" si="36"/>
        <v>0</v>
      </c>
      <c r="Q35" s="119"/>
      <c r="R35" s="117"/>
      <c r="S35" s="117">
        <f t="shared" si="29"/>
        <v>0</v>
      </c>
      <c r="T35" s="119"/>
      <c r="U35" s="117"/>
      <c r="V35" s="117">
        <f t="shared" ref="V35:V39" si="45">T35+U35</f>
        <v>0</v>
      </c>
      <c r="W35" s="119"/>
      <c r="X35" s="117"/>
      <c r="Y35" s="117">
        <f t="shared" si="37"/>
        <v>0</v>
      </c>
      <c r="Z35" s="119"/>
      <c r="AA35" s="117"/>
      <c r="AB35" s="117">
        <f t="shared" si="38"/>
        <v>0</v>
      </c>
      <c r="AC35" s="118">
        <f t="shared" si="39"/>
        <v>0</v>
      </c>
      <c r="AD35" s="118">
        <f t="shared" si="39"/>
        <v>0</v>
      </c>
      <c r="AE35" s="117">
        <f t="shared" si="40"/>
        <v>0</v>
      </c>
      <c r="AF35" s="120" t="e">
        <f t="shared" si="41"/>
        <v>#DIV/0!</v>
      </c>
      <c r="AG35" s="114" t="e">
        <f t="shared" si="41"/>
        <v>#DIV/0!</v>
      </c>
      <c r="AH35" s="114" t="e">
        <f t="shared" si="41"/>
        <v>#DIV/0!</v>
      </c>
      <c r="AI35" s="120"/>
      <c r="AJ35" s="114"/>
      <c r="AK35" s="117">
        <f t="shared" si="42"/>
        <v>0</v>
      </c>
      <c r="AL35" s="118">
        <f t="shared" si="34"/>
        <v>0</v>
      </c>
      <c r="AM35" s="114"/>
      <c r="AN35" s="114">
        <f t="shared" si="43"/>
        <v>0</v>
      </c>
    </row>
    <row r="36" spans="1:54" s="111" customFormat="1">
      <c r="A36" s="139"/>
      <c r="B36" s="140"/>
      <c r="C36" s="112">
        <v>705.18499999999995</v>
      </c>
      <c r="D36" s="111">
        <v>20</v>
      </c>
      <c r="E36" s="113"/>
      <c r="F36" s="113"/>
      <c r="G36" s="113"/>
      <c r="H36" s="114">
        <f t="shared" si="44"/>
        <v>0</v>
      </c>
      <c r="I36" s="115"/>
      <c r="J36" s="116"/>
      <c r="K36" s="119"/>
      <c r="L36" s="117"/>
      <c r="M36" s="117">
        <f t="shared" si="35"/>
        <v>0</v>
      </c>
      <c r="N36" s="119"/>
      <c r="O36" s="117"/>
      <c r="P36" s="117">
        <f t="shared" si="36"/>
        <v>0</v>
      </c>
      <c r="Q36" s="119"/>
      <c r="R36" s="117"/>
      <c r="S36" s="117">
        <f t="shared" si="29"/>
        <v>0</v>
      </c>
      <c r="T36" s="119"/>
      <c r="U36" s="117"/>
      <c r="V36" s="117">
        <f t="shared" si="45"/>
        <v>0</v>
      </c>
      <c r="W36" s="119"/>
      <c r="X36" s="117"/>
      <c r="Y36" s="117">
        <f t="shared" si="37"/>
        <v>0</v>
      </c>
      <c r="Z36" s="119"/>
      <c r="AA36" s="117"/>
      <c r="AB36" s="117">
        <f t="shared" si="38"/>
        <v>0</v>
      </c>
      <c r="AC36" s="118">
        <f t="shared" si="39"/>
        <v>0</v>
      </c>
      <c r="AD36" s="118">
        <f t="shared" si="39"/>
        <v>0</v>
      </c>
      <c r="AE36" s="117">
        <f t="shared" si="40"/>
        <v>0</v>
      </c>
      <c r="AF36" s="120" t="e">
        <f t="shared" si="41"/>
        <v>#DIV/0!</v>
      </c>
      <c r="AG36" s="114" t="e">
        <f t="shared" si="41"/>
        <v>#DIV/0!</v>
      </c>
      <c r="AH36" s="114" t="e">
        <f t="shared" si="41"/>
        <v>#DIV/0!</v>
      </c>
      <c r="AI36" s="120"/>
      <c r="AJ36" s="114"/>
      <c r="AK36" s="117">
        <f t="shared" si="42"/>
        <v>0</v>
      </c>
      <c r="AL36" s="118">
        <f t="shared" si="34"/>
        <v>0</v>
      </c>
      <c r="AM36" s="114"/>
      <c r="AN36" s="114">
        <f t="shared" si="43"/>
        <v>0</v>
      </c>
    </row>
    <row r="37" spans="1:54" s="111" customFormat="1">
      <c r="A37" s="139"/>
      <c r="B37" s="140"/>
      <c r="C37" s="112">
        <v>1057.78</v>
      </c>
      <c r="D37" s="111">
        <v>30</v>
      </c>
      <c r="E37" s="113"/>
      <c r="F37" s="113"/>
      <c r="G37" s="113"/>
      <c r="H37" s="114">
        <f t="shared" si="44"/>
        <v>0</v>
      </c>
      <c r="I37" s="115"/>
      <c r="J37" s="116"/>
      <c r="K37" s="119"/>
      <c r="L37" s="117"/>
      <c r="M37" s="117">
        <f t="shared" si="35"/>
        <v>0</v>
      </c>
      <c r="N37" s="119"/>
      <c r="O37" s="117"/>
      <c r="P37" s="117">
        <f t="shared" si="36"/>
        <v>0</v>
      </c>
      <c r="Q37" s="119"/>
      <c r="R37" s="117"/>
      <c r="S37" s="117">
        <f t="shared" si="29"/>
        <v>0</v>
      </c>
      <c r="T37" s="119"/>
      <c r="U37" s="117"/>
      <c r="V37" s="117">
        <f t="shared" si="45"/>
        <v>0</v>
      </c>
      <c r="W37" s="119"/>
      <c r="X37" s="117"/>
      <c r="Y37" s="117">
        <f t="shared" si="37"/>
        <v>0</v>
      </c>
      <c r="Z37" s="119"/>
      <c r="AA37" s="117"/>
      <c r="AB37" s="117">
        <f t="shared" si="38"/>
        <v>0</v>
      </c>
      <c r="AC37" s="118">
        <f t="shared" si="39"/>
        <v>0</v>
      </c>
      <c r="AD37" s="118">
        <f t="shared" si="39"/>
        <v>0</v>
      </c>
      <c r="AE37" s="117">
        <f t="shared" si="40"/>
        <v>0</v>
      </c>
      <c r="AF37" s="120" t="e">
        <f t="shared" si="41"/>
        <v>#DIV/0!</v>
      </c>
      <c r="AG37" s="114" t="e">
        <f t="shared" si="41"/>
        <v>#DIV/0!</v>
      </c>
      <c r="AH37" s="114" t="e">
        <f t="shared" si="41"/>
        <v>#DIV/0!</v>
      </c>
      <c r="AI37" s="120"/>
      <c r="AJ37" s="114"/>
      <c r="AK37" s="117">
        <f t="shared" si="42"/>
        <v>0</v>
      </c>
      <c r="AL37" s="118">
        <f t="shared" si="34"/>
        <v>0</v>
      </c>
      <c r="AM37" s="114"/>
      <c r="AN37" s="114">
        <f t="shared" si="43"/>
        <v>0</v>
      </c>
    </row>
    <row r="38" spans="1:54" s="111" customFormat="1">
      <c r="A38" s="139"/>
      <c r="B38" s="140"/>
      <c r="C38" s="112">
        <v>1410.37</v>
      </c>
      <c r="D38" s="111">
        <v>40</v>
      </c>
      <c r="E38" s="113"/>
      <c r="F38" s="113"/>
      <c r="G38" s="113"/>
      <c r="H38" s="114">
        <f t="shared" si="44"/>
        <v>0</v>
      </c>
      <c r="I38" s="115"/>
      <c r="J38" s="116"/>
      <c r="K38" s="119"/>
      <c r="L38" s="117"/>
      <c r="M38" s="117">
        <f t="shared" si="35"/>
        <v>0</v>
      </c>
      <c r="N38" s="119"/>
      <c r="O38" s="117"/>
      <c r="P38" s="117">
        <f t="shared" si="36"/>
        <v>0</v>
      </c>
      <c r="Q38" s="119"/>
      <c r="R38" s="117"/>
      <c r="S38" s="117">
        <f t="shared" si="29"/>
        <v>0</v>
      </c>
      <c r="T38" s="119"/>
      <c r="U38" s="117"/>
      <c r="V38" s="117">
        <f t="shared" si="45"/>
        <v>0</v>
      </c>
      <c r="W38" s="119"/>
      <c r="X38" s="117"/>
      <c r="Y38" s="117">
        <f t="shared" si="37"/>
        <v>0</v>
      </c>
      <c r="Z38" s="119"/>
      <c r="AA38" s="117"/>
      <c r="AB38" s="117">
        <f t="shared" si="38"/>
        <v>0</v>
      </c>
      <c r="AC38" s="118">
        <f t="shared" si="39"/>
        <v>0</v>
      </c>
      <c r="AD38" s="118">
        <f t="shared" si="39"/>
        <v>0</v>
      </c>
      <c r="AE38" s="117">
        <f t="shared" si="40"/>
        <v>0</v>
      </c>
      <c r="AF38" s="120" t="e">
        <f t="shared" si="41"/>
        <v>#DIV/0!</v>
      </c>
      <c r="AG38" s="114" t="e">
        <f t="shared" si="41"/>
        <v>#DIV/0!</v>
      </c>
      <c r="AH38" s="114" t="e">
        <f t="shared" si="41"/>
        <v>#DIV/0!</v>
      </c>
      <c r="AI38" s="120"/>
      <c r="AJ38" s="114"/>
      <c r="AK38" s="117">
        <f t="shared" si="42"/>
        <v>0</v>
      </c>
      <c r="AL38" s="118">
        <f t="shared" si="34"/>
        <v>0</v>
      </c>
      <c r="AM38" s="114"/>
      <c r="AN38" s="114">
        <f t="shared" si="43"/>
        <v>0</v>
      </c>
    </row>
    <row r="39" spans="1:54" s="123" customFormat="1">
      <c r="A39" s="141"/>
      <c r="B39" s="142"/>
      <c r="C39" s="122">
        <v>1762.96</v>
      </c>
      <c r="D39" s="123">
        <v>50</v>
      </c>
      <c r="E39" s="124"/>
      <c r="F39" s="124"/>
      <c r="G39" s="124"/>
      <c r="H39" s="125">
        <f t="shared" si="44"/>
        <v>0</v>
      </c>
      <c r="I39" s="126"/>
      <c r="J39" s="127"/>
      <c r="K39" s="128"/>
      <c r="L39" s="129"/>
      <c r="M39" s="129">
        <f t="shared" si="35"/>
        <v>0</v>
      </c>
      <c r="N39" s="128"/>
      <c r="O39" s="129"/>
      <c r="P39" s="129">
        <f t="shared" si="36"/>
        <v>0</v>
      </c>
      <c r="Q39" s="128"/>
      <c r="R39" s="129"/>
      <c r="S39" s="129">
        <f t="shared" si="29"/>
        <v>0</v>
      </c>
      <c r="T39" s="128"/>
      <c r="U39" s="129"/>
      <c r="V39" s="129">
        <f t="shared" si="45"/>
        <v>0</v>
      </c>
      <c r="W39" s="128"/>
      <c r="X39" s="129"/>
      <c r="Y39" s="129">
        <f t="shared" si="37"/>
        <v>0</v>
      </c>
      <c r="Z39" s="128"/>
      <c r="AA39" s="129"/>
      <c r="AB39" s="129">
        <f t="shared" si="38"/>
        <v>0</v>
      </c>
      <c r="AC39" s="130">
        <f t="shared" si="39"/>
        <v>0</v>
      </c>
      <c r="AD39" s="130">
        <f t="shared" si="39"/>
        <v>0</v>
      </c>
      <c r="AE39" s="129">
        <f t="shared" si="40"/>
        <v>0</v>
      </c>
      <c r="AF39" s="131" t="e">
        <f t="shared" si="41"/>
        <v>#DIV/0!</v>
      </c>
      <c r="AG39" s="125" t="e">
        <f t="shared" si="41"/>
        <v>#DIV/0!</v>
      </c>
      <c r="AH39" s="125" t="e">
        <f t="shared" si="41"/>
        <v>#DIV/0!</v>
      </c>
      <c r="AI39" s="131"/>
      <c r="AJ39" s="125"/>
      <c r="AK39" s="117">
        <f t="shared" si="42"/>
        <v>0</v>
      </c>
      <c r="AL39" s="118">
        <f t="shared" si="34"/>
        <v>0</v>
      </c>
      <c r="AM39" s="125"/>
      <c r="AN39" s="114">
        <f t="shared" si="43"/>
        <v>0</v>
      </c>
    </row>
    <row r="40" spans="1:54" s="83" customFormat="1">
      <c r="C40" s="84"/>
      <c r="I40" s="84"/>
      <c r="K40" s="84"/>
      <c r="N40" s="84"/>
      <c r="Q40" s="84"/>
      <c r="T40" s="84"/>
      <c r="W40" s="84"/>
      <c r="Z40" s="84"/>
      <c r="AC40" s="84"/>
      <c r="AF40" s="84"/>
    </row>
    <row r="41" spans="1:54" s="78" customFormat="1">
      <c r="A41" s="77" t="s">
        <v>1</v>
      </c>
      <c r="B41" s="78" t="s">
        <v>105</v>
      </c>
      <c r="C41" s="79"/>
      <c r="I41" s="80" t="s">
        <v>44</v>
      </c>
      <c r="K41" s="80" t="s">
        <v>47</v>
      </c>
      <c r="N41" s="80" t="s">
        <v>48</v>
      </c>
      <c r="O41" s="77"/>
      <c r="P41" s="77"/>
      <c r="Q41" s="80" t="s">
        <v>49</v>
      </c>
      <c r="T41" s="80" t="s">
        <v>50</v>
      </c>
      <c r="U41" s="77"/>
      <c r="V41" s="77"/>
      <c r="W41" s="80" t="s">
        <v>51</v>
      </c>
      <c r="Z41" s="80" t="s">
        <v>84</v>
      </c>
      <c r="AC41" s="80" t="s">
        <v>52</v>
      </c>
      <c r="AF41" s="80" t="s">
        <v>56</v>
      </c>
      <c r="AI41" s="80" t="s">
        <v>106</v>
      </c>
      <c r="AL41" s="80" t="s">
        <v>107</v>
      </c>
    </row>
    <row r="42" spans="1:54" s="83" customFormat="1">
      <c r="A42" s="81" t="s">
        <v>36</v>
      </c>
      <c r="B42" s="83" t="s">
        <v>85</v>
      </c>
      <c r="C42" s="82" t="s">
        <v>43</v>
      </c>
      <c r="D42" s="81" t="s">
        <v>39</v>
      </c>
      <c r="E42" s="81" t="s">
        <v>40</v>
      </c>
      <c r="F42" s="81" t="s">
        <v>41</v>
      </c>
      <c r="G42" s="81" t="s">
        <v>42</v>
      </c>
      <c r="H42" s="81" t="s">
        <v>57</v>
      </c>
      <c r="I42" s="82" t="s">
        <v>45</v>
      </c>
      <c r="J42" s="81" t="s">
        <v>46</v>
      </c>
      <c r="K42" s="82" t="s">
        <v>53</v>
      </c>
      <c r="L42" s="81" t="s">
        <v>54</v>
      </c>
      <c r="M42" s="81" t="s">
        <v>55</v>
      </c>
      <c r="N42" s="82" t="s">
        <v>53</v>
      </c>
      <c r="O42" s="81" t="s">
        <v>54</v>
      </c>
      <c r="P42" s="81" t="s">
        <v>55</v>
      </c>
      <c r="Q42" s="82" t="s">
        <v>53</v>
      </c>
      <c r="R42" s="81" t="s">
        <v>54</v>
      </c>
      <c r="S42" s="81" t="s">
        <v>55</v>
      </c>
      <c r="T42" s="82" t="s">
        <v>53</v>
      </c>
      <c r="U42" s="81" t="s">
        <v>54</v>
      </c>
      <c r="V42" s="81" t="s">
        <v>55</v>
      </c>
      <c r="W42" s="82" t="s">
        <v>53</v>
      </c>
      <c r="X42" s="81" t="s">
        <v>54</v>
      </c>
      <c r="Y42" s="81" t="s">
        <v>55</v>
      </c>
      <c r="Z42" s="82" t="s">
        <v>53</v>
      </c>
      <c r="AA42" s="81" t="s">
        <v>54</v>
      </c>
      <c r="AB42" s="81" t="s">
        <v>55</v>
      </c>
      <c r="AC42" s="82" t="s">
        <v>53</v>
      </c>
      <c r="AD42" s="81" t="s">
        <v>54</v>
      </c>
      <c r="AE42" s="81" t="s">
        <v>55</v>
      </c>
      <c r="AF42" s="82" t="s">
        <v>53</v>
      </c>
      <c r="AG42" s="81" t="s">
        <v>54</v>
      </c>
      <c r="AH42" s="81" t="s">
        <v>55</v>
      </c>
      <c r="AI42" s="82" t="s">
        <v>53</v>
      </c>
      <c r="AJ42" s="81" t="s">
        <v>54</v>
      </c>
      <c r="AK42" s="81" t="s">
        <v>55</v>
      </c>
      <c r="AL42" s="82" t="s">
        <v>53</v>
      </c>
      <c r="AM42" s="81" t="s">
        <v>54</v>
      </c>
      <c r="AN42" s="81" t="s">
        <v>55</v>
      </c>
    </row>
    <row r="43" spans="1:54" s="83" customFormat="1">
      <c r="A43" s="81" t="s">
        <v>38</v>
      </c>
      <c r="B43" s="83" t="s">
        <v>86</v>
      </c>
      <c r="C43" s="84">
        <v>0</v>
      </c>
      <c r="D43" s="83">
        <v>0</v>
      </c>
      <c r="E43" s="85">
        <v>1.20699</v>
      </c>
      <c r="F43" s="85">
        <v>2.9999999999999997E-4</v>
      </c>
      <c r="G43" s="85">
        <v>0.17149300000000001</v>
      </c>
      <c r="H43" s="86">
        <f>G43/0.0075</f>
        <v>22.865733333333335</v>
      </c>
      <c r="I43" s="87">
        <v>0.921732</v>
      </c>
      <c r="J43" s="88">
        <v>7.8268199999999996E-2</v>
      </c>
      <c r="K43" s="84"/>
      <c r="N43" s="84"/>
      <c r="Q43" s="84">
        <v>0</v>
      </c>
      <c r="R43" s="83">
        <v>0</v>
      </c>
      <c r="S43" s="89">
        <f t="shared" ref="S43:S52" si="46">Q43+R43</f>
        <v>0</v>
      </c>
      <c r="T43" s="84">
        <v>0</v>
      </c>
      <c r="U43" s="83">
        <v>0</v>
      </c>
      <c r="V43" s="89">
        <f t="shared" ref="V43:V44" si="47">T43+U43</f>
        <v>0</v>
      </c>
      <c r="W43" s="84">
        <v>0</v>
      </c>
      <c r="X43" s="83">
        <v>0</v>
      </c>
      <c r="Y43" s="89">
        <f t="shared" ref="Y43:Y52" si="48">W43+X43</f>
        <v>0</v>
      </c>
      <c r="Z43" s="84">
        <v>0</v>
      </c>
      <c r="AA43" s="83">
        <v>0</v>
      </c>
      <c r="AB43" s="89">
        <f t="shared" ref="AB43:AB52" si="49">Z43+AA43</f>
        <v>0</v>
      </c>
      <c r="AC43" s="84">
        <v>0</v>
      </c>
      <c r="AD43" s="83">
        <v>0</v>
      </c>
      <c r="AE43" s="83">
        <v>0</v>
      </c>
      <c r="AF43" s="84"/>
      <c r="AI43" s="90">
        <v>4.6870000000000001E-4</v>
      </c>
      <c r="AJ43" s="89">
        <v>1.99693E-4</v>
      </c>
      <c r="AK43" s="89">
        <f>AI43+AJ43</f>
        <v>6.6839299999999998E-4</v>
      </c>
      <c r="AL43" s="90">
        <f>AI43*(7710000000000000000)*23.1662*3.016/(6.022E+23)*(C43*24*60*60)</f>
        <v>0</v>
      </c>
      <c r="AM43" s="90">
        <f>AJ43*(7710000000000000000)*23.1662*3.016/(6.022E+23)*(D43*24*60*60)</f>
        <v>0</v>
      </c>
      <c r="AN43" s="86">
        <f>AL43+AM43</f>
        <v>0</v>
      </c>
    </row>
    <row r="44" spans="1:54" s="83" customFormat="1">
      <c r="A44" s="81" t="s">
        <v>87</v>
      </c>
      <c r="B44" s="83" t="s">
        <v>89</v>
      </c>
      <c r="C44" s="84">
        <v>3.5259299999999998</v>
      </c>
      <c r="D44" s="83">
        <v>0.1</v>
      </c>
      <c r="E44" s="85">
        <v>1.1708000000000001</v>
      </c>
      <c r="F44" s="85">
        <v>3.5E-4</v>
      </c>
      <c r="G44" s="85">
        <v>0.14588300000000001</v>
      </c>
      <c r="H44" s="86">
        <f t="shared" ref="H44" si="50">G44/0.0075</f>
        <v>19.451066666666669</v>
      </c>
      <c r="I44" s="87">
        <v>0.92100499999999996</v>
      </c>
      <c r="J44" s="88">
        <v>7.8995099999999999E-2</v>
      </c>
      <c r="K44" s="91">
        <v>103000</v>
      </c>
      <c r="L44" s="89">
        <v>19700</v>
      </c>
      <c r="M44" s="89">
        <f>K44+L44</f>
        <v>122700</v>
      </c>
      <c r="N44" s="91">
        <v>2513000</v>
      </c>
      <c r="O44" s="89">
        <v>888200</v>
      </c>
      <c r="P44" s="89">
        <f>N44+O44</f>
        <v>3401200</v>
      </c>
      <c r="Q44" s="91">
        <v>55.38</v>
      </c>
      <c r="R44" s="89">
        <v>7.0640000000000001</v>
      </c>
      <c r="S44" s="89">
        <f t="shared" si="46"/>
        <v>62.444000000000003</v>
      </c>
      <c r="T44" s="91">
        <v>0.19420000000000001</v>
      </c>
      <c r="U44" s="89">
        <v>9.502E-3</v>
      </c>
      <c r="V44" s="89">
        <f t="shared" si="47"/>
        <v>0.20370200000000002</v>
      </c>
      <c r="W44" s="91">
        <v>9.1699999999999995E-4</v>
      </c>
      <c r="X44" s="89">
        <v>0</v>
      </c>
      <c r="Y44" s="89">
        <f>W44+X44</f>
        <v>9.1699999999999995E-4</v>
      </c>
      <c r="Z44" s="91">
        <v>0</v>
      </c>
      <c r="AA44" s="89">
        <v>0</v>
      </c>
      <c r="AB44" s="89">
        <f>Z44+AA44</f>
        <v>0</v>
      </c>
      <c r="AC44" s="90">
        <f>Q44+T44+W44+Z44</f>
        <v>55.575117000000006</v>
      </c>
      <c r="AD44" s="90">
        <f>R44+U44+X44+AA44</f>
        <v>7.0735020000000004</v>
      </c>
      <c r="AE44" s="89">
        <f>AC44+AD44</f>
        <v>62.648619000000004</v>
      </c>
      <c r="AF44" s="92">
        <f>Q44/AC44</f>
        <v>0.9964891301983223</v>
      </c>
      <c r="AG44" s="86">
        <f>R44/AD44</f>
        <v>0.99865667670695502</v>
      </c>
      <c r="AH44" s="86">
        <f>S44/AE44</f>
        <v>0.99673386256128005</v>
      </c>
      <c r="AI44" s="90">
        <v>4.5506499999999999E-4</v>
      </c>
      <c r="AJ44" s="89">
        <v>1.9504E-4</v>
      </c>
      <c r="AK44" s="89">
        <f>AI44+AJ44</f>
        <v>6.50105E-4</v>
      </c>
      <c r="AL44" s="90">
        <f t="shared" ref="AL44:AM52" si="51">AI44*(7710000000000000000)*23.1662*3.016/(6.022E+23)*(C44*24*60*60)</f>
        <v>0.12401111956070728</v>
      </c>
      <c r="AM44" s="90">
        <f t="shared" si="51"/>
        <v>1.5074301462328725E-3</v>
      </c>
      <c r="AN44" s="86">
        <f>AL44+AM44</f>
        <v>0.12551854970694015</v>
      </c>
    </row>
    <row r="45" spans="1:54" s="83" customFormat="1">
      <c r="A45" s="81" t="s">
        <v>101</v>
      </c>
      <c r="B45" s="93" t="s">
        <v>100</v>
      </c>
      <c r="C45" s="84">
        <v>35.256599999999999</v>
      </c>
      <c r="D45" s="83">
        <v>1</v>
      </c>
      <c r="E45" s="85">
        <v>1.1556200000000001</v>
      </c>
      <c r="F45" s="85">
        <v>3.6999999999999999E-4</v>
      </c>
      <c r="G45" s="85">
        <v>0.13466400000000001</v>
      </c>
      <c r="H45" s="86">
        <f>G45/0.0075</f>
        <v>17.955200000000001</v>
      </c>
      <c r="I45" s="87">
        <v>0.92036300000000004</v>
      </c>
      <c r="J45" s="88">
        <v>7.9636899999999997E-2</v>
      </c>
      <c r="K45" s="91">
        <v>99550</v>
      </c>
      <c r="L45" s="89">
        <v>19400</v>
      </c>
      <c r="M45" s="89">
        <f t="shared" ref="M45:M52" si="52">K45+L45</f>
        <v>118950</v>
      </c>
      <c r="N45" s="91">
        <v>2512000</v>
      </c>
      <c r="O45" s="89">
        <v>888000</v>
      </c>
      <c r="P45" s="89">
        <f t="shared" ref="P45:P52" si="53">N45+O45</f>
        <v>3400000</v>
      </c>
      <c r="Q45" s="91">
        <v>1289</v>
      </c>
      <c r="R45" s="89">
        <v>168.3</v>
      </c>
      <c r="S45" s="89">
        <f t="shared" si="46"/>
        <v>1457.3</v>
      </c>
      <c r="T45" s="91">
        <v>29.32</v>
      </c>
      <c r="U45" s="89">
        <v>1.6</v>
      </c>
      <c r="V45" s="89">
        <f>T45+U45</f>
        <v>30.92</v>
      </c>
      <c r="W45" s="91">
        <v>1.458</v>
      </c>
      <c r="X45" s="89">
        <v>2.8340000000000001E-2</v>
      </c>
      <c r="Y45" s="89">
        <f t="shared" si="48"/>
        <v>1.48634</v>
      </c>
      <c r="Z45" s="91">
        <v>1.0880000000000001E-2</v>
      </c>
      <c r="AA45" s="89">
        <v>0</v>
      </c>
      <c r="AB45" s="89">
        <f t="shared" si="49"/>
        <v>1.0880000000000001E-2</v>
      </c>
      <c r="AC45" s="90">
        <f t="shared" ref="AC45:AD52" si="54">Q45+T45+W45+Z45</f>
        <v>1319.7888800000001</v>
      </c>
      <c r="AD45" s="90">
        <f t="shared" si="54"/>
        <v>169.92833999999999</v>
      </c>
      <c r="AE45" s="89">
        <f t="shared" ref="AE45:AE52" si="55">AC45+AD45</f>
        <v>1489.71722</v>
      </c>
      <c r="AF45" s="92">
        <f t="shared" ref="AF45:AH52" si="56">Q45/AC45</f>
        <v>0.97667135974050634</v>
      </c>
      <c r="AG45" s="86">
        <f t="shared" si="56"/>
        <v>0.99041749010200431</v>
      </c>
      <c r="AH45" s="86">
        <f t="shared" si="56"/>
        <v>0.9782393466593613</v>
      </c>
      <c r="AI45" s="90">
        <v>4.4739299999999998E-4</v>
      </c>
      <c r="AJ45" s="89">
        <v>1.91838E-4</v>
      </c>
      <c r="AK45" s="89">
        <f t="shared" ref="AK45:AK52" si="57">AI45+AJ45</f>
        <v>6.3923099999999998E-4</v>
      </c>
      <c r="AL45" s="90">
        <f t="shared" si="51"/>
        <v>1.2191106385212183</v>
      </c>
      <c r="AM45" s="90">
        <f t="shared" si="51"/>
        <v>1.4826824466418261E-2</v>
      </c>
      <c r="AN45" s="86">
        <f t="shared" ref="AN45:AN52" si="58">AL45+AM45</f>
        <v>1.2339374629876365</v>
      </c>
    </row>
    <row r="46" spans="1:54" s="83" customFormat="1">
      <c r="A46" s="143" t="e" vm="2">
        <v>#VALUE!</v>
      </c>
      <c r="B46" s="144"/>
      <c r="C46" s="84">
        <v>141.02600000000001</v>
      </c>
      <c r="D46" s="83">
        <v>4</v>
      </c>
      <c r="E46" s="85">
        <v>1.12476</v>
      </c>
      <c r="F46" s="85">
        <v>3.5E-4</v>
      </c>
      <c r="G46" s="85">
        <v>0.11092100000000001</v>
      </c>
      <c r="H46" s="86">
        <f t="shared" ref="H46:H52" si="59">G46/0.0075</f>
        <v>14.789466666666668</v>
      </c>
      <c r="I46" s="87">
        <v>0.91778999999999999</v>
      </c>
      <c r="J46" s="88">
        <v>8.2210000000000005E-2</v>
      </c>
      <c r="K46" s="91">
        <v>88760</v>
      </c>
      <c r="L46" s="89">
        <v>18470</v>
      </c>
      <c r="M46" s="89">
        <f t="shared" si="52"/>
        <v>107230</v>
      </c>
      <c r="N46" s="91">
        <v>2507000</v>
      </c>
      <c r="O46" s="89">
        <v>887400</v>
      </c>
      <c r="P46" s="89">
        <f t="shared" si="53"/>
        <v>3394400</v>
      </c>
      <c r="Q46" s="91">
        <v>4696</v>
      </c>
      <c r="R46" s="89">
        <v>676.8</v>
      </c>
      <c r="S46" s="89">
        <f t="shared" si="46"/>
        <v>5372.8</v>
      </c>
      <c r="T46" s="91">
        <v>386.9</v>
      </c>
      <c r="U46" s="89">
        <v>24.99</v>
      </c>
      <c r="V46" s="89">
        <f>T46+U46</f>
        <v>411.89</v>
      </c>
      <c r="W46" s="91">
        <v>79.03</v>
      </c>
      <c r="X46" s="89">
        <v>1.8160000000000001</v>
      </c>
      <c r="Y46" s="89">
        <f t="shared" si="48"/>
        <v>80.846000000000004</v>
      </c>
      <c r="Z46" s="91">
        <v>2.536</v>
      </c>
      <c r="AA46" s="89">
        <v>2.3949999999999999E-2</v>
      </c>
      <c r="AB46" s="89">
        <f t="shared" si="49"/>
        <v>2.5599500000000002</v>
      </c>
      <c r="AC46" s="90">
        <f t="shared" si="54"/>
        <v>5164.4659999999994</v>
      </c>
      <c r="AD46" s="90">
        <f t="shared" si="54"/>
        <v>703.62995000000001</v>
      </c>
      <c r="AE46" s="89">
        <f t="shared" si="55"/>
        <v>5868.095949999999</v>
      </c>
      <c r="AF46" s="92">
        <f t="shared" si="56"/>
        <v>0.90929052490615692</v>
      </c>
      <c r="AG46" s="86">
        <f t="shared" si="56"/>
        <v>0.96186923254190637</v>
      </c>
      <c r="AH46" s="86">
        <f t="shared" si="56"/>
        <v>0.91559511735659349</v>
      </c>
      <c r="AI46" s="90">
        <v>4.3272699999999999E-4</v>
      </c>
      <c r="AJ46" s="89">
        <v>1.8616800000000001E-4</v>
      </c>
      <c r="AK46" s="89">
        <f t="shared" si="57"/>
        <v>6.1889499999999995E-4</v>
      </c>
      <c r="AL46" s="90">
        <f t="shared" si="51"/>
        <v>4.71657440310622</v>
      </c>
      <c r="AM46" s="90">
        <f t="shared" si="51"/>
        <v>5.7554400218187314E-2</v>
      </c>
      <c r="AN46" s="86">
        <f t="shared" si="58"/>
        <v>4.7741288033244071</v>
      </c>
    </row>
    <row r="47" spans="1:54" s="83" customFormat="1">
      <c r="A47" s="143"/>
      <c r="B47" s="144"/>
      <c r="C47" s="84">
        <v>246.79599999999999</v>
      </c>
      <c r="D47" s="83">
        <v>7</v>
      </c>
      <c r="E47" s="85">
        <v>1.0932599999999999</v>
      </c>
      <c r="F47" s="85">
        <v>3.4000000000000002E-4</v>
      </c>
      <c r="G47" s="85">
        <v>8.5305000000000006E-2</v>
      </c>
      <c r="H47" s="86">
        <f t="shared" si="59"/>
        <v>11.374000000000001</v>
      </c>
      <c r="I47" s="87">
        <v>0.91504399999999997</v>
      </c>
      <c r="J47" s="88">
        <v>8.4955699999999995E-2</v>
      </c>
      <c r="K47" s="91">
        <v>78960</v>
      </c>
      <c r="L47" s="89">
        <v>17560</v>
      </c>
      <c r="M47" s="89">
        <f t="shared" si="52"/>
        <v>96520</v>
      </c>
      <c r="N47" s="91">
        <v>2501000</v>
      </c>
      <c r="O47" s="89">
        <v>886700</v>
      </c>
      <c r="P47" s="89">
        <f t="shared" si="53"/>
        <v>3387700</v>
      </c>
      <c r="Q47" s="91">
        <v>7177</v>
      </c>
      <c r="R47" s="89">
        <v>1128</v>
      </c>
      <c r="S47" s="89">
        <f t="shared" si="46"/>
        <v>8305</v>
      </c>
      <c r="T47" s="91">
        <v>934.7</v>
      </c>
      <c r="U47" s="89">
        <v>70.25</v>
      </c>
      <c r="V47" s="89">
        <f>T47+U47</f>
        <v>1004.95</v>
      </c>
      <c r="W47" s="91">
        <v>311.7</v>
      </c>
      <c r="X47" s="89">
        <v>8.9019999999999992</v>
      </c>
      <c r="Y47" s="89">
        <f t="shared" si="48"/>
        <v>320.60199999999998</v>
      </c>
      <c r="Z47" s="91">
        <v>18.66</v>
      </c>
      <c r="AA47" s="89">
        <v>0.21160000000000001</v>
      </c>
      <c r="AB47" s="89">
        <f t="shared" si="49"/>
        <v>18.871600000000001</v>
      </c>
      <c r="AC47" s="90">
        <f t="shared" si="54"/>
        <v>8442.06</v>
      </c>
      <c r="AD47" s="90">
        <f t="shared" si="54"/>
        <v>1207.3636000000001</v>
      </c>
      <c r="AE47" s="89">
        <f t="shared" si="55"/>
        <v>9649.4236000000001</v>
      </c>
      <c r="AF47" s="92">
        <f t="shared" si="56"/>
        <v>0.85014794967105189</v>
      </c>
      <c r="AG47" s="86">
        <f t="shared" si="56"/>
        <v>0.93426702610547463</v>
      </c>
      <c r="AH47" s="86">
        <f t="shared" si="56"/>
        <v>0.86067317015702371</v>
      </c>
      <c r="AI47" s="90">
        <v>4.24506E-4</v>
      </c>
      <c r="AJ47" s="89">
        <v>1.8242200000000001E-4</v>
      </c>
      <c r="AK47" s="89">
        <f t="shared" si="57"/>
        <v>6.0692800000000007E-4</v>
      </c>
      <c r="AL47" s="90">
        <f t="shared" si="51"/>
        <v>8.0972110186789745</v>
      </c>
      <c r="AM47" s="90">
        <f t="shared" si="51"/>
        <v>9.869354773137054E-2</v>
      </c>
      <c r="AN47" s="86">
        <f t="shared" si="58"/>
        <v>8.1959045664103449</v>
      </c>
      <c r="BB47" s="83" t="s">
        <v>59</v>
      </c>
    </row>
    <row r="48" spans="1:54" s="83" customFormat="1">
      <c r="A48" s="143"/>
      <c r="B48" s="144"/>
      <c r="C48" s="84">
        <v>352.59300000000002</v>
      </c>
      <c r="D48" s="83">
        <v>10</v>
      </c>
      <c r="E48" s="85">
        <v>1.06393</v>
      </c>
      <c r="F48" s="85">
        <v>3.1E-4</v>
      </c>
      <c r="G48" s="85">
        <v>6.0088999999999997E-2</v>
      </c>
      <c r="H48" s="86">
        <f t="shared" si="59"/>
        <v>8.0118666666666662</v>
      </c>
      <c r="I48" s="87">
        <v>0.912219</v>
      </c>
      <c r="J48" s="88">
        <v>8.7780800000000006E-2</v>
      </c>
      <c r="K48" s="91">
        <v>70010</v>
      </c>
      <c r="L48" s="89">
        <v>16680</v>
      </c>
      <c r="M48" s="89">
        <f t="shared" si="52"/>
        <v>86690</v>
      </c>
      <c r="N48" s="91">
        <v>2496000</v>
      </c>
      <c r="O48" s="89">
        <v>886000</v>
      </c>
      <c r="P48" s="89">
        <f t="shared" si="53"/>
        <v>3382000</v>
      </c>
      <c r="Q48" s="91">
        <v>9005</v>
      </c>
      <c r="R48" s="89">
        <v>1530</v>
      </c>
      <c r="S48" s="89">
        <f t="shared" si="46"/>
        <v>10535</v>
      </c>
      <c r="T48" s="91">
        <v>1561</v>
      </c>
      <c r="U48" s="89">
        <v>132.1</v>
      </c>
      <c r="V48" s="89">
        <f t="shared" ref="V48:V52" si="60">T48+U48</f>
        <v>1693.1</v>
      </c>
      <c r="W48" s="91">
        <v>660.2</v>
      </c>
      <c r="X48" s="89">
        <v>23.14</v>
      </c>
      <c r="Y48" s="89">
        <f t="shared" si="48"/>
        <v>683.34</v>
      </c>
      <c r="Z48" s="91">
        <v>60.65</v>
      </c>
      <c r="AA48" s="89">
        <v>0.81710000000000005</v>
      </c>
      <c r="AB48" s="89">
        <f t="shared" si="49"/>
        <v>61.467100000000002</v>
      </c>
      <c r="AC48" s="90">
        <f t="shared" si="54"/>
        <v>11286.85</v>
      </c>
      <c r="AD48" s="90">
        <f t="shared" si="54"/>
        <v>1686.0571</v>
      </c>
      <c r="AE48" s="89">
        <f t="shared" si="55"/>
        <v>12972.9071</v>
      </c>
      <c r="AF48" s="92">
        <f t="shared" si="56"/>
        <v>0.79783110433823434</v>
      </c>
      <c r="AG48" s="86">
        <f t="shared" si="56"/>
        <v>0.90744257712268461</v>
      </c>
      <c r="AH48" s="86">
        <f t="shared" si="56"/>
        <v>0.81207704015702076</v>
      </c>
      <c r="AI48" s="90">
        <v>4.2054000000000001E-4</v>
      </c>
      <c r="AJ48" s="89">
        <v>1.79817E-4</v>
      </c>
      <c r="AK48" s="89">
        <f t="shared" si="57"/>
        <v>6.0035700000000004E-4</v>
      </c>
      <c r="AL48" s="90">
        <f t="shared" si="51"/>
        <v>11.460260890215647</v>
      </c>
      <c r="AM48" s="90">
        <f t="shared" si="51"/>
        <v>0.13897742340297189</v>
      </c>
      <c r="AN48" s="86">
        <f t="shared" si="58"/>
        <v>11.599238313618619</v>
      </c>
    </row>
    <row r="49" spans="1:54" s="83" customFormat="1">
      <c r="A49" s="143"/>
      <c r="B49" s="144"/>
      <c r="C49" s="84">
        <v>705.18499999999995</v>
      </c>
      <c r="D49" s="83">
        <v>20</v>
      </c>
      <c r="E49" s="85">
        <v>0.97867000000000004</v>
      </c>
      <c r="F49" s="85">
        <v>2.9999999999999997E-4</v>
      </c>
      <c r="G49" s="85">
        <v>-2.1794999999999998E-2</v>
      </c>
      <c r="H49" s="86">
        <f t="shared" si="59"/>
        <v>-2.9059999999999997</v>
      </c>
      <c r="I49" s="87">
        <v>0.90279100000000001</v>
      </c>
      <c r="J49" s="88">
        <v>9.7208900000000001E-2</v>
      </c>
      <c r="K49" s="91">
        <v>45280</v>
      </c>
      <c r="L49" s="89">
        <v>13980</v>
      </c>
      <c r="M49" s="89">
        <f t="shared" si="52"/>
        <v>59260</v>
      </c>
      <c r="N49" s="91">
        <v>2475000</v>
      </c>
      <c r="O49" s="89">
        <v>883600</v>
      </c>
      <c r="P49" s="89">
        <f t="shared" si="53"/>
        <v>3358600</v>
      </c>
      <c r="Q49" s="91">
        <v>12040</v>
      </c>
      <c r="R49" s="89">
        <v>2520</v>
      </c>
      <c r="S49" s="89">
        <f t="shared" si="46"/>
        <v>14560</v>
      </c>
      <c r="T49" s="91">
        <v>3471</v>
      </c>
      <c r="U49" s="89">
        <v>399.7</v>
      </c>
      <c r="V49" s="89">
        <f t="shared" si="60"/>
        <v>3870.7</v>
      </c>
      <c r="W49" s="91">
        <v>2301</v>
      </c>
      <c r="X49" s="89">
        <v>129</v>
      </c>
      <c r="Y49" s="89">
        <f t="shared" si="48"/>
        <v>2430</v>
      </c>
      <c r="Z49" s="91">
        <v>490.3</v>
      </c>
      <c r="AA49" s="89">
        <v>9.8789999999999996</v>
      </c>
      <c r="AB49" s="89">
        <f t="shared" si="49"/>
        <v>500.17900000000003</v>
      </c>
      <c r="AC49" s="90">
        <f t="shared" si="54"/>
        <v>18302.3</v>
      </c>
      <c r="AD49" s="90">
        <f t="shared" si="54"/>
        <v>3058.5789999999997</v>
      </c>
      <c r="AE49" s="89">
        <f t="shared" si="55"/>
        <v>21360.879000000001</v>
      </c>
      <c r="AF49" s="92">
        <f t="shared" si="56"/>
        <v>0.65784081782071113</v>
      </c>
      <c r="AG49" s="86">
        <f t="shared" si="56"/>
        <v>0.82391201927431013</v>
      </c>
      <c r="AH49" s="86">
        <f t="shared" si="56"/>
        <v>0.68161989026762426</v>
      </c>
      <c r="AI49" s="90">
        <v>4.2443899999999998E-4</v>
      </c>
      <c r="AJ49" s="89">
        <v>1.7675300000000001E-4</v>
      </c>
      <c r="AK49" s="89">
        <f t="shared" si="57"/>
        <v>6.0119199999999996E-4</v>
      </c>
      <c r="AL49" s="90">
        <f t="shared" si="51"/>
        <v>23.1329945986284</v>
      </c>
      <c r="AM49" s="90">
        <f t="shared" si="51"/>
        <v>0.2732186224744656</v>
      </c>
      <c r="AN49" s="86">
        <f t="shared" si="58"/>
        <v>23.406213221102867</v>
      </c>
    </row>
    <row r="50" spans="1:54" s="83" customFormat="1">
      <c r="A50" s="143"/>
      <c r="B50" s="144"/>
      <c r="C50" s="84">
        <v>1057.78</v>
      </c>
      <c r="D50" s="83">
        <v>30</v>
      </c>
      <c r="E50" s="85">
        <v>0.90022000000000002</v>
      </c>
      <c r="F50" s="85">
        <v>2.9999999999999997E-4</v>
      </c>
      <c r="G50" s="85">
        <v>-0.11083999999999999</v>
      </c>
      <c r="H50" s="86">
        <f t="shared" si="59"/>
        <v>-14.778666666666666</v>
      </c>
      <c r="I50" s="87">
        <v>0.89266199999999996</v>
      </c>
      <c r="J50" s="88">
        <v>0.107338</v>
      </c>
      <c r="K50" s="91">
        <v>27250</v>
      </c>
      <c r="L50" s="89">
        <v>11470</v>
      </c>
      <c r="M50" s="89">
        <f t="shared" si="52"/>
        <v>38720</v>
      </c>
      <c r="N50" s="91">
        <v>2452000</v>
      </c>
      <c r="O50" s="89">
        <v>881000</v>
      </c>
      <c r="P50" s="89">
        <f t="shared" si="53"/>
        <v>3333000</v>
      </c>
      <c r="Q50" s="91">
        <v>12990</v>
      </c>
      <c r="R50" s="89">
        <v>3194</v>
      </c>
      <c r="S50" s="89">
        <f t="shared" si="46"/>
        <v>16184</v>
      </c>
      <c r="T50" s="91">
        <v>5182</v>
      </c>
      <c r="U50" s="89">
        <v>725.7</v>
      </c>
      <c r="V50" s="89">
        <f t="shared" si="60"/>
        <v>5907.7</v>
      </c>
      <c r="W50" s="91">
        <v>3434</v>
      </c>
      <c r="X50" s="89">
        <v>300.10000000000002</v>
      </c>
      <c r="Y50" s="89">
        <f t="shared" si="48"/>
        <v>3734.1</v>
      </c>
      <c r="Z50" s="91">
        <v>1346</v>
      </c>
      <c r="AA50" s="89">
        <v>39.6</v>
      </c>
      <c r="AB50" s="89">
        <f t="shared" si="49"/>
        <v>1385.6</v>
      </c>
      <c r="AC50" s="90">
        <f t="shared" si="54"/>
        <v>22952</v>
      </c>
      <c r="AD50" s="90">
        <f t="shared" si="54"/>
        <v>4259.4000000000005</v>
      </c>
      <c r="AE50" s="89">
        <f t="shared" si="55"/>
        <v>27211.4</v>
      </c>
      <c r="AF50" s="92">
        <f t="shared" si="56"/>
        <v>0.56596375043569191</v>
      </c>
      <c r="AG50" s="86">
        <f t="shared" si="56"/>
        <v>0.74987087383199502</v>
      </c>
      <c r="AH50" s="86">
        <f t="shared" si="56"/>
        <v>0.59475072947367646</v>
      </c>
      <c r="AI50" s="90">
        <v>4.3977799999999999E-4</v>
      </c>
      <c r="AJ50" s="89">
        <v>1.77565E-4</v>
      </c>
      <c r="AK50" s="89">
        <f t="shared" si="57"/>
        <v>6.1734300000000002E-4</v>
      </c>
      <c r="AL50" s="90">
        <f t="shared" si="51"/>
        <v>35.953598077114094</v>
      </c>
      <c r="AM50" s="90">
        <f t="shared" si="51"/>
        <v>0.41171067562936831</v>
      </c>
      <c r="AN50" s="86">
        <f t="shared" si="58"/>
        <v>36.365308752743459</v>
      </c>
    </row>
    <row r="51" spans="1:54" s="83" customFormat="1">
      <c r="A51" s="143"/>
      <c r="B51" s="144"/>
      <c r="C51" s="84">
        <v>1410.37</v>
      </c>
      <c r="D51" s="83">
        <v>40</v>
      </c>
      <c r="E51" s="85"/>
      <c r="F51" s="85"/>
      <c r="G51" s="85"/>
      <c r="H51" s="86">
        <f t="shared" si="59"/>
        <v>0</v>
      </c>
      <c r="I51" s="87"/>
      <c r="J51" s="88"/>
      <c r="K51" s="91"/>
      <c r="L51" s="89"/>
      <c r="M51" s="89">
        <f t="shared" si="52"/>
        <v>0</v>
      </c>
      <c r="N51" s="91"/>
      <c r="O51" s="89"/>
      <c r="P51" s="89">
        <f t="shared" si="53"/>
        <v>0</v>
      </c>
      <c r="Q51" s="91"/>
      <c r="R51" s="89"/>
      <c r="S51" s="89">
        <f t="shared" si="46"/>
        <v>0</v>
      </c>
      <c r="T51" s="91"/>
      <c r="U51" s="89"/>
      <c r="V51" s="89">
        <f t="shared" si="60"/>
        <v>0</v>
      </c>
      <c r="W51" s="91"/>
      <c r="X51" s="89"/>
      <c r="Y51" s="89">
        <f t="shared" si="48"/>
        <v>0</v>
      </c>
      <c r="Z51" s="91"/>
      <c r="AA51" s="89"/>
      <c r="AB51" s="89">
        <f t="shared" si="49"/>
        <v>0</v>
      </c>
      <c r="AC51" s="90">
        <f t="shared" si="54"/>
        <v>0</v>
      </c>
      <c r="AD51" s="90">
        <f t="shared" si="54"/>
        <v>0</v>
      </c>
      <c r="AE51" s="89">
        <f t="shared" si="55"/>
        <v>0</v>
      </c>
      <c r="AF51" s="92" t="e">
        <f t="shared" si="56"/>
        <v>#DIV/0!</v>
      </c>
      <c r="AG51" s="86" t="e">
        <f t="shared" si="56"/>
        <v>#DIV/0!</v>
      </c>
      <c r="AH51" s="86" t="e">
        <f t="shared" si="56"/>
        <v>#DIV/0!</v>
      </c>
      <c r="AI51" s="90"/>
      <c r="AJ51" s="89"/>
      <c r="AK51" s="89">
        <f t="shared" si="57"/>
        <v>0</v>
      </c>
      <c r="AL51" s="90">
        <f t="shared" si="51"/>
        <v>0</v>
      </c>
      <c r="AM51" s="90">
        <f>AJ51*(7710000000000000000)*23.1662*3.016/(6.022E+23)*(D51*24*60*60)</f>
        <v>0</v>
      </c>
      <c r="AN51" s="86">
        <f t="shared" si="58"/>
        <v>0</v>
      </c>
    </row>
    <row r="52" spans="1:54" s="95" customFormat="1">
      <c r="A52" s="145"/>
      <c r="B52" s="146"/>
      <c r="C52" s="94">
        <v>1762.96</v>
      </c>
      <c r="D52" s="95">
        <v>50</v>
      </c>
      <c r="E52" s="96"/>
      <c r="F52" s="96"/>
      <c r="G52" s="96"/>
      <c r="H52" s="97">
        <f t="shared" si="59"/>
        <v>0</v>
      </c>
      <c r="I52" s="98"/>
      <c r="J52" s="99"/>
      <c r="K52" s="100"/>
      <c r="L52" s="101"/>
      <c r="M52" s="101">
        <f t="shared" si="52"/>
        <v>0</v>
      </c>
      <c r="N52" s="100"/>
      <c r="O52" s="101"/>
      <c r="P52" s="101">
        <f t="shared" si="53"/>
        <v>0</v>
      </c>
      <c r="Q52" s="100"/>
      <c r="R52" s="101"/>
      <c r="S52" s="101">
        <f t="shared" si="46"/>
        <v>0</v>
      </c>
      <c r="T52" s="100"/>
      <c r="U52" s="101"/>
      <c r="V52" s="101">
        <f t="shared" si="60"/>
        <v>0</v>
      </c>
      <c r="W52" s="100"/>
      <c r="X52" s="101"/>
      <c r="Y52" s="101">
        <f t="shared" si="48"/>
        <v>0</v>
      </c>
      <c r="Z52" s="100"/>
      <c r="AA52" s="101"/>
      <c r="AB52" s="101">
        <f t="shared" si="49"/>
        <v>0</v>
      </c>
      <c r="AC52" s="102">
        <f t="shared" si="54"/>
        <v>0</v>
      </c>
      <c r="AD52" s="102">
        <f t="shared" si="54"/>
        <v>0</v>
      </c>
      <c r="AE52" s="101">
        <f t="shared" si="55"/>
        <v>0</v>
      </c>
      <c r="AF52" s="103" t="e">
        <f t="shared" si="56"/>
        <v>#DIV/0!</v>
      </c>
      <c r="AG52" s="97" t="e">
        <f t="shared" si="56"/>
        <v>#DIV/0!</v>
      </c>
      <c r="AH52" s="97" t="e">
        <f t="shared" si="56"/>
        <v>#DIV/0!</v>
      </c>
      <c r="AI52" s="102"/>
      <c r="AJ52" s="101"/>
      <c r="AK52" s="89">
        <f t="shared" si="57"/>
        <v>0</v>
      </c>
      <c r="AL52" s="90">
        <f t="shared" si="51"/>
        <v>0</v>
      </c>
      <c r="AM52" s="90">
        <f t="shared" si="51"/>
        <v>0</v>
      </c>
      <c r="AN52" s="86">
        <f t="shared" si="58"/>
        <v>0</v>
      </c>
    </row>
    <row r="53" spans="1:54" s="83" customFormat="1">
      <c r="C53" s="84"/>
      <c r="I53" s="84"/>
      <c r="K53" s="84"/>
      <c r="N53" s="84"/>
      <c r="Q53" s="84"/>
      <c r="T53" s="84"/>
      <c r="W53" s="84"/>
      <c r="Z53" s="84"/>
      <c r="AC53" s="84"/>
      <c r="AF53" s="84"/>
    </row>
    <row r="54" spans="1:54" s="78" customFormat="1">
      <c r="A54" s="77" t="s">
        <v>1</v>
      </c>
      <c r="B54" s="78" t="s">
        <v>105</v>
      </c>
      <c r="C54" s="79"/>
      <c r="I54" s="80" t="s">
        <v>44</v>
      </c>
      <c r="K54" s="80" t="s">
        <v>47</v>
      </c>
      <c r="N54" s="80" t="s">
        <v>48</v>
      </c>
      <c r="O54" s="77"/>
      <c r="P54" s="77"/>
      <c r="Q54" s="80" t="s">
        <v>49</v>
      </c>
      <c r="T54" s="80" t="s">
        <v>50</v>
      </c>
      <c r="U54" s="77"/>
      <c r="V54" s="77"/>
      <c r="W54" s="80" t="s">
        <v>51</v>
      </c>
      <c r="Z54" s="80" t="s">
        <v>84</v>
      </c>
      <c r="AC54" s="80" t="s">
        <v>52</v>
      </c>
      <c r="AF54" s="80" t="s">
        <v>56</v>
      </c>
      <c r="AI54" s="80" t="s">
        <v>106</v>
      </c>
      <c r="AL54" s="80" t="s">
        <v>107</v>
      </c>
    </row>
    <row r="55" spans="1:54" s="83" customFormat="1">
      <c r="A55" s="81" t="s">
        <v>36</v>
      </c>
      <c r="B55" s="83" t="s">
        <v>85</v>
      </c>
      <c r="C55" s="82" t="s">
        <v>43</v>
      </c>
      <c r="D55" s="81" t="s">
        <v>39</v>
      </c>
      <c r="E55" s="81" t="s">
        <v>40</v>
      </c>
      <c r="F55" s="81" t="s">
        <v>41</v>
      </c>
      <c r="G55" s="81" t="s">
        <v>42</v>
      </c>
      <c r="H55" s="81" t="s">
        <v>57</v>
      </c>
      <c r="I55" s="82" t="s">
        <v>45</v>
      </c>
      <c r="J55" s="81" t="s">
        <v>46</v>
      </c>
      <c r="K55" s="82" t="s">
        <v>53</v>
      </c>
      <c r="L55" s="81" t="s">
        <v>54</v>
      </c>
      <c r="M55" s="81" t="s">
        <v>55</v>
      </c>
      <c r="N55" s="82" t="s">
        <v>53</v>
      </c>
      <c r="O55" s="81" t="s">
        <v>54</v>
      </c>
      <c r="P55" s="81" t="s">
        <v>55</v>
      </c>
      <c r="Q55" s="82" t="s">
        <v>53</v>
      </c>
      <c r="R55" s="81" t="s">
        <v>54</v>
      </c>
      <c r="S55" s="81" t="s">
        <v>55</v>
      </c>
      <c r="T55" s="82" t="s">
        <v>53</v>
      </c>
      <c r="U55" s="81" t="s">
        <v>54</v>
      </c>
      <c r="V55" s="81" t="s">
        <v>55</v>
      </c>
      <c r="W55" s="82" t="s">
        <v>53</v>
      </c>
      <c r="X55" s="81" t="s">
        <v>54</v>
      </c>
      <c r="Y55" s="81" t="s">
        <v>55</v>
      </c>
      <c r="Z55" s="82" t="s">
        <v>53</v>
      </c>
      <c r="AA55" s="81" t="s">
        <v>54</v>
      </c>
      <c r="AB55" s="81" t="s">
        <v>55</v>
      </c>
      <c r="AC55" s="82" t="s">
        <v>53</v>
      </c>
      <c r="AD55" s="81" t="s">
        <v>54</v>
      </c>
      <c r="AE55" s="81" t="s">
        <v>55</v>
      </c>
      <c r="AF55" s="82" t="s">
        <v>53</v>
      </c>
      <c r="AG55" s="81" t="s">
        <v>54</v>
      </c>
      <c r="AH55" s="81" t="s">
        <v>55</v>
      </c>
      <c r="AI55" s="82" t="s">
        <v>53</v>
      </c>
      <c r="AJ55" s="81" t="s">
        <v>54</v>
      </c>
      <c r="AK55" s="81" t="s">
        <v>55</v>
      </c>
      <c r="AL55" s="82" t="s">
        <v>53</v>
      </c>
      <c r="AM55" s="81" t="s">
        <v>54</v>
      </c>
      <c r="AN55" s="81" t="s">
        <v>55</v>
      </c>
    </row>
    <row r="56" spans="1:54" s="83" customFormat="1">
      <c r="A56" s="81" t="s">
        <v>38</v>
      </c>
      <c r="B56" s="83" t="s">
        <v>86</v>
      </c>
      <c r="C56" s="84">
        <v>0</v>
      </c>
      <c r="D56" s="83">
        <v>0</v>
      </c>
      <c r="E56" s="85"/>
      <c r="F56" s="85"/>
      <c r="G56" s="85"/>
      <c r="H56" s="86">
        <f>G56/0.0075</f>
        <v>0</v>
      </c>
      <c r="I56" s="87"/>
      <c r="J56" s="88"/>
      <c r="K56" s="84"/>
      <c r="N56" s="84"/>
      <c r="Q56" s="84"/>
      <c r="S56" s="89">
        <f t="shared" ref="S56:S65" si="61">Q56+R56</f>
        <v>0</v>
      </c>
      <c r="T56" s="84"/>
      <c r="V56" s="89">
        <f t="shared" ref="V56:V57" si="62">T56+U56</f>
        <v>0</v>
      </c>
      <c r="W56" s="84"/>
      <c r="Y56" s="89">
        <f t="shared" ref="Y56" si="63">W56+X56</f>
        <v>0</v>
      </c>
      <c r="Z56" s="84"/>
      <c r="AB56" s="89">
        <f t="shared" ref="AB56" si="64">Z56+AA56</f>
        <v>0</v>
      </c>
      <c r="AC56" s="84">
        <v>0</v>
      </c>
      <c r="AD56" s="83">
        <v>0</v>
      </c>
      <c r="AE56" s="83">
        <v>0</v>
      </c>
      <c r="AF56" s="84"/>
      <c r="AI56" s="84"/>
      <c r="AK56" s="86">
        <f>AI56+AJ56</f>
        <v>0</v>
      </c>
      <c r="AL56" s="84"/>
      <c r="AN56" s="86">
        <f>AL56+AM56</f>
        <v>0</v>
      </c>
    </row>
    <row r="57" spans="1:54" s="83" customFormat="1">
      <c r="A57" s="81" t="s">
        <v>87</v>
      </c>
      <c r="B57" s="83" t="s">
        <v>89</v>
      </c>
      <c r="C57" s="84">
        <v>3.5259299999999998</v>
      </c>
      <c r="D57" s="83">
        <v>0.1</v>
      </c>
      <c r="E57" s="85"/>
      <c r="F57" s="85"/>
      <c r="G57" s="85"/>
      <c r="H57" s="86">
        <f t="shared" ref="H57" si="65">G57/0.0075</f>
        <v>0</v>
      </c>
      <c r="I57" s="87"/>
      <c r="J57" s="88"/>
      <c r="K57" s="91"/>
      <c r="L57" s="89"/>
      <c r="M57" s="89">
        <f>K57+L57</f>
        <v>0</v>
      </c>
      <c r="N57" s="91"/>
      <c r="O57" s="89"/>
      <c r="P57" s="89">
        <f>N57+O57</f>
        <v>0</v>
      </c>
      <c r="Q57" s="91"/>
      <c r="R57" s="89"/>
      <c r="S57" s="89">
        <f t="shared" si="61"/>
        <v>0</v>
      </c>
      <c r="T57" s="91"/>
      <c r="U57" s="89"/>
      <c r="V57" s="89">
        <f t="shared" si="62"/>
        <v>0</v>
      </c>
      <c r="W57" s="91"/>
      <c r="X57" s="89"/>
      <c r="Y57" s="89">
        <f>W57+X57</f>
        <v>0</v>
      </c>
      <c r="Z57" s="91"/>
      <c r="AA57" s="89"/>
      <c r="AB57" s="89">
        <f>Z57+AA57</f>
        <v>0</v>
      </c>
      <c r="AC57" s="90">
        <f>Q57+T57+W57+Z57</f>
        <v>0</v>
      </c>
      <c r="AD57" s="90">
        <f>R57+U57+X57+AA57</f>
        <v>0</v>
      </c>
      <c r="AE57" s="89">
        <f>AC57+AD57</f>
        <v>0</v>
      </c>
      <c r="AF57" s="92" t="e">
        <f>Q57/AC57</f>
        <v>#DIV/0!</v>
      </c>
      <c r="AG57" s="86" t="e">
        <f>R57/AD57</f>
        <v>#DIV/0!</v>
      </c>
      <c r="AH57" s="86" t="e">
        <f>S57/AE57</f>
        <v>#DIV/0!</v>
      </c>
      <c r="AI57" s="92"/>
      <c r="AJ57" s="86"/>
      <c r="AK57" s="86">
        <f>AI57+AJ57</f>
        <v>0</v>
      </c>
      <c r="AL57" s="92"/>
      <c r="AM57" s="86"/>
      <c r="AN57" s="86">
        <f>AL57+AM57</f>
        <v>0</v>
      </c>
    </row>
    <row r="58" spans="1:54" s="83" customFormat="1">
      <c r="A58" s="81" t="s">
        <v>101</v>
      </c>
      <c r="B58" s="93" t="s">
        <v>104</v>
      </c>
      <c r="C58" s="84">
        <v>35.256599999999999</v>
      </c>
      <c r="D58" s="83">
        <v>1</v>
      </c>
      <c r="E58" s="85"/>
      <c r="F58" s="85"/>
      <c r="G58" s="85"/>
      <c r="H58" s="86">
        <f>G58/0.0075</f>
        <v>0</v>
      </c>
      <c r="I58" s="87"/>
      <c r="J58" s="88"/>
      <c r="K58" s="91"/>
      <c r="L58" s="89"/>
      <c r="M58" s="89">
        <f t="shared" ref="M58:M65" si="66">K58+L58</f>
        <v>0</v>
      </c>
      <c r="N58" s="91"/>
      <c r="O58" s="89"/>
      <c r="P58" s="89">
        <f t="shared" ref="P58:P65" si="67">N58+O58</f>
        <v>0</v>
      </c>
      <c r="Q58" s="91"/>
      <c r="R58" s="89"/>
      <c r="S58" s="89">
        <f t="shared" si="61"/>
        <v>0</v>
      </c>
      <c r="T58" s="91"/>
      <c r="U58" s="89"/>
      <c r="V58" s="89">
        <f>T58+U58</f>
        <v>0</v>
      </c>
      <c r="W58" s="91"/>
      <c r="X58" s="89"/>
      <c r="Y58" s="89">
        <f t="shared" ref="Y58:Y65" si="68">W58+X58</f>
        <v>0</v>
      </c>
      <c r="Z58" s="91"/>
      <c r="AA58" s="89"/>
      <c r="AB58" s="89">
        <f t="shared" ref="AB58:AB65" si="69">Z58+AA58</f>
        <v>0</v>
      </c>
      <c r="AC58" s="90">
        <f t="shared" ref="AC58:AD65" si="70">Q58+T58+W58+Z58</f>
        <v>0</v>
      </c>
      <c r="AD58" s="90">
        <f t="shared" si="70"/>
        <v>0</v>
      </c>
      <c r="AE58" s="89">
        <f t="shared" ref="AE58:AE65" si="71">AC58+AD58</f>
        <v>0</v>
      </c>
      <c r="AF58" s="92" t="e">
        <f t="shared" ref="AF58:AH65" si="72">Q58/AC58</f>
        <v>#DIV/0!</v>
      </c>
      <c r="AG58" s="86" t="e">
        <f t="shared" si="72"/>
        <v>#DIV/0!</v>
      </c>
      <c r="AH58" s="86" t="e">
        <f t="shared" si="72"/>
        <v>#DIV/0!</v>
      </c>
      <c r="AI58" s="92"/>
      <c r="AJ58" s="86"/>
      <c r="AK58" s="86">
        <f t="shared" ref="AK58:AK65" si="73">AI58+AJ58</f>
        <v>0</v>
      </c>
      <c r="AL58" s="92"/>
      <c r="AM58" s="86"/>
      <c r="AN58" s="86">
        <f t="shared" ref="AN58:AN65" si="74">AL58+AM58</f>
        <v>0</v>
      </c>
    </row>
    <row r="59" spans="1:54" s="83" customFormat="1">
      <c r="A59" s="143" t="e" vm="2">
        <v>#VALUE!</v>
      </c>
      <c r="B59" s="144"/>
      <c r="C59" s="84">
        <v>141.02600000000001</v>
      </c>
      <c r="D59" s="83">
        <v>4</v>
      </c>
      <c r="E59" s="85"/>
      <c r="F59" s="85"/>
      <c r="G59" s="85"/>
      <c r="H59" s="86">
        <f t="shared" ref="H59:H65" si="75">G59/0.0075</f>
        <v>0</v>
      </c>
      <c r="I59" s="87"/>
      <c r="J59" s="88"/>
      <c r="K59" s="91"/>
      <c r="L59" s="89"/>
      <c r="M59" s="89">
        <f t="shared" si="66"/>
        <v>0</v>
      </c>
      <c r="N59" s="91"/>
      <c r="O59" s="89"/>
      <c r="P59" s="89">
        <f t="shared" si="67"/>
        <v>0</v>
      </c>
      <c r="Q59" s="91"/>
      <c r="R59" s="89"/>
      <c r="S59" s="89">
        <f t="shared" si="61"/>
        <v>0</v>
      </c>
      <c r="T59" s="91"/>
      <c r="U59" s="89"/>
      <c r="V59" s="89">
        <f>T59+U59</f>
        <v>0</v>
      </c>
      <c r="W59" s="91"/>
      <c r="X59" s="89"/>
      <c r="Y59" s="89">
        <f t="shared" si="68"/>
        <v>0</v>
      </c>
      <c r="Z59" s="91"/>
      <c r="AA59" s="89"/>
      <c r="AB59" s="89">
        <f t="shared" si="69"/>
        <v>0</v>
      </c>
      <c r="AC59" s="90">
        <f t="shared" si="70"/>
        <v>0</v>
      </c>
      <c r="AD59" s="90">
        <f t="shared" si="70"/>
        <v>0</v>
      </c>
      <c r="AE59" s="89">
        <f t="shared" si="71"/>
        <v>0</v>
      </c>
      <c r="AF59" s="92" t="e">
        <f t="shared" si="72"/>
        <v>#DIV/0!</v>
      </c>
      <c r="AG59" s="86" t="e">
        <f t="shared" si="72"/>
        <v>#DIV/0!</v>
      </c>
      <c r="AH59" s="86" t="e">
        <f t="shared" si="72"/>
        <v>#DIV/0!</v>
      </c>
      <c r="AI59" s="92"/>
      <c r="AJ59" s="86"/>
      <c r="AK59" s="86">
        <f t="shared" si="73"/>
        <v>0</v>
      </c>
      <c r="AL59" s="92"/>
      <c r="AM59" s="86"/>
      <c r="AN59" s="86">
        <f t="shared" si="74"/>
        <v>0</v>
      </c>
    </row>
    <row r="60" spans="1:54" s="83" customFormat="1">
      <c r="A60" s="143"/>
      <c r="B60" s="144"/>
      <c r="C60" s="84">
        <v>246.79599999999999</v>
      </c>
      <c r="D60" s="83">
        <v>7</v>
      </c>
      <c r="E60" s="85"/>
      <c r="F60" s="85"/>
      <c r="G60" s="85"/>
      <c r="H60" s="86">
        <f t="shared" si="75"/>
        <v>0</v>
      </c>
      <c r="I60" s="87"/>
      <c r="J60" s="88"/>
      <c r="K60" s="91"/>
      <c r="L60" s="89"/>
      <c r="M60" s="89">
        <f t="shared" si="66"/>
        <v>0</v>
      </c>
      <c r="N60" s="91"/>
      <c r="O60" s="89"/>
      <c r="P60" s="89">
        <f t="shared" si="67"/>
        <v>0</v>
      </c>
      <c r="Q60" s="91"/>
      <c r="R60" s="89"/>
      <c r="S60" s="89">
        <f t="shared" si="61"/>
        <v>0</v>
      </c>
      <c r="T60" s="91"/>
      <c r="U60" s="89"/>
      <c r="V60" s="89">
        <f>T60+U60</f>
        <v>0</v>
      </c>
      <c r="W60" s="91"/>
      <c r="X60" s="89"/>
      <c r="Y60" s="89">
        <f t="shared" si="68"/>
        <v>0</v>
      </c>
      <c r="Z60" s="91"/>
      <c r="AA60" s="89"/>
      <c r="AB60" s="89">
        <f t="shared" si="69"/>
        <v>0</v>
      </c>
      <c r="AC60" s="90">
        <f t="shared" si="70"/>
        <v>0</v>
      </c>
      <c r="AD60" s="90">
        <f t="shared" si="70"/>
        <v>0</v>
      </c>
      <c r="AE60" s="89">
        <f t="shared" si="71"/>
        <v>0</v>
      </c>
      <c r="AF60" s="92" t="e">
        <f t="shared" si="72"/>
        <v>#DIV/0!</v>
      </c>
      <c r="AG60" s="86" t="e">
        <f t="shared" si="72"/>
        <v>#DIV/0!</v>
      </c>
      <c r="AH60" s="86" t="e">
        <f t="shared" si="72"/>
        <v>#DIV/0!</v>
      </c>
      <c r="AI60" s="92"/>
      <c r="AJ60" s="86"/>
      <c r="AK60" s="86">
        <f t="shared" si="73"/>
        <v>0</v>
      </c>
      <c r="AL60" s="92"/>
      <c r="AM60" s="86"/>
      <c r="AN60" s="86">
        <f t="shared" si="74"/>
        <v>0</v>
      </c>
      <c r="BB60" s="83" t="s">
        <v>59</v>
      </c>
    </row>
    <row r="61" spans="1:54" s="83" customFormat="1">
      <c r="A61" s="143"/>
      <c r="B61" s="144"/>
      <c r="C61" s="84">
        <v>352.59300000000002</v>
      </c>
      <c r="D61" s="83">
        <v>10</v>
      </c>
      <c r="E61" s="85"/>
      <c r="F61" s="85"/>
      <c r="G61" s="85"/>
      <c r="H61" s="86">
        <f t="shared" si="75"/>
        <v>0</v>
      </c>
      <c r="I61" s="87"/>
      <c r="J61" s="88"/>
      <c r="K61" s="91"/>
      <c r="L61" s="89"/>
      <c r="M61" s="89">
        <f t="shared" si="66"/>
        <v>0</v>
      </c>
      <c r="N61" s="91"/>
      <c r="O61" s="89"/>
      <c r="P61" s="89">
        <f t="shared" si="67"/>
        <v>0</v>
      </c>
      <c r="Q61" s="91"/>
      <c r="R61" s="89"/>
      <c r="S61" s="89">
        <f t="shared" si="61"/>
        <v>0</v>
      </c>
      <c r="T61" s="91"/>
      <c r="U61" s="89"/>
      <c r="V61" s="89">
        <f t="shared" ref="V61:V65" si="76">T61+U61</f>
        <v>0</v>
      </c>
      <c r="W61" s="91"/>
      <c r="X61" s="89"/>
      <c r="Y61" s="89">
        <f t="shared" si="68"/>
        <v>0</v>
      </c>
      <c r="Z61" s="91"/>
      <c r="AA61" s="89"/>
      <c r="AB61" s="89">
        <f t="shared" si="69"/>
        <v>0</v>
      </c>
      <c r="AC61" s="90">
        <f t="shared" si="70"/>
        <v>0</v>
      </c>
      <c r="AD61" s="90">
        <f t="shared" si="70"/>
        <v>0</v>
      </c>
      <c r="AE61" s="89">
        <f t="shared" si="71"/>
        <v>0</v>
      </c>
      <c r="AF61" s="92" t="e">
        <f t="shared" si="72"/>
        <v>#DIV/0!</v>
      </c>
      <c r="AG61" s="86" t="e">
        <f t="shared" si="72"/>
        <v>#DIV/0!</v>
      </c>
      <c r="AH61" s="86" t="e">
        <f t="shared" si="72"/>
        <v>#DIV/0!</v>
      </c>
      <c r="AI61" s="92"/>
      <c r="AJ61" s="86"/>
      <c r="AK61" s="86">
        <f t="shared" si="73"/>
        <v>0</v>
      </c>
      <c r="AL61" s="92"/>
      <c r="AM61" s="86"/>
      <c r="AN61" s="86">
        <f t="shared" si="74"/>
        <v>0</v>
      </c>
    </row>
    <row r="62" spans="1:54" s="83" customFormat="1">
      <c r="A62" s="143"/>
      <c r="B62" s="144"/>
      <c r="C62" s="84">
        <v>705.18499999999995</v>
      </c>
      <c r="D62" s="83">
        <v>20</v>
      </c>
      <c r="E62" s="85"/>
      <c r="F62" s="85"/>
      <c r="G62" s="85"/>
      <c r="H62" s="86">
        <f t="shared" si="75"/>
        <v>0</v>
      </c>
      <c r="I62" s="87"/>
      <c r="J62" s="88"/>
      <c r="K62" s="91"/>
      <c r="L62" s="89"/>
      <c r="M62" s="89">
        <f t="shared" si="66"/>
        <v>0</v>
      </c>
      <c r="N62" s="91"/>
      <c r="O62" s="89"/>
      <c r="P62" s="89">
        <f t="shared" si="67"/>
        <v>0</v>
      </c>
      <c r="Q62" s="91"/>
      <c r="R62" s="89"/>
      <c r="S62" s="89">
        <f t="shared" si="61"/>
        <v>0</v>
      </c>
      <c r="T62" s="91"/>
      <c r="U62" s="89"/>
      <c r="V62" s="89">
        <f t="shared" si="76"/>
        <v>0</v>
      </c>
      <c r="W62" s="91"/>
      <c r="X62" s="89"/>
      <c r="Y62" s="89">
        <f t="shared" si="68"/>
        <v>0</v>
      </c>
      <c r="Z62" s="91"/>
      <c r="AA62" s="89"/>
      <c r="AB62" s="89">
        <f t="shared" si="69"/>
        <v>0</v>
      </c>
      <c r="AC62" s="90">
        <f t="shared" si="70"/>
        <v>0</v>
      </c>
      <c r="AD62" s="90">
        <f t="shared" si="70"/>
        <v>0</v>
      </c>
      <c r="AE62" s="89">
        <f t="shared" si="71"/>
        <v>0</v>
      </c>
      <c r="AF62" s="92" t="e">
        <f t="shared" si="72"/>
        <v>#DIV/0!</v>
      </c>
      <c r="AG62" s="86" t="e">
        <f t="shared" si="72"/>
        <v>#DIV/0!</v>
      </c>
      <c r="AH62" s="86" t="e">
        <f t="shared" si="72"/>
        <v>#DIV/0!</v>
      </c>
      <c r="AI62" s="92"/>
      <c r="AJ62" s="86"/>
      <c r="AK62" s="86">
        <f t="shared" si="73"/>
        <v>0</v>
      </c>
      <c r="AL62" s="92"/>
      <c r="AM62" s="86"/>
      <c r="AN62" s="86">
        <f t="shared" si="74"/>
        <v>0</v>
      </c>
    </row>
    <row r="63" spans="1:54" s="83" customFormat="1">
      <c r="A63" s="143"/>
      <c r="B63" s="144"/>
      <c r="C63" s="84">
        <v>1057.78</v>
      </c>
      <c r="D63" s="83">
        <v>30</v>
      </c>
      <c r="E63" s="85"/>
      <c r="F63" s="85"/>
      <c r="G63" s="85"/>
      <c r="H63" s="86">
        <f t="shared" si="75"/>
        <v>0</v>
      </c>
      <c r="I63" s="87"/>
      <c r="J63" s="88"/>
      <c r="K63" s="91"/>
      <c r="L63" s="89"/>
      <c r="M63" s="89">
        <f t="shared" si="66"/>
        <v>0</v>
      </c>
      <c r="N63" s="91"/>
      <c r="O63" s="89"/>
      <c r="P63" s="89">
        <f t="shared" si="67"/>
        <v>0</v>
      </c>
      <c r="Q63" s="91"/>
      <c r="R63" s="89"/>
      <c r="S63" s="89">
        <f t="shared" si="61"/>
        <v>0</v>
      </c>
      <c r="T63" s="91"/>
      <c r="U63" s="89"/>
      <c r="V63" s="89">
        <f t="shared" si="76"/>
        <v>0</v>
      </c>
      <c r="W63" s="91"/>
      <c r="X63" s="89"/>
      <c r="Y63" s="89">
        <f t="shared" si="68"/>
        <v>0</v>
      </c>
      <c r="Z63" s="91"/>
      <c r="AA63" s="89"/>
      <c r="AB63" s="89">
        <f t="shared" si="69"/>
        <v>0</v>
      </c>
      <c r="AC63" s="90">
        <f t="shared" si="70"/>
        <v>0</v>
      </c>
      <c r="AD63" s="90">
        <f t="shared" si="70"/>
        <v>0</v>
      </c>
      <c r="AE63" s="89">
        <f t="shared" si="71"/>
        <v>0</v>
      </c>
      <c r="AF63" s="92" t="e">
        <f t="shared" si="72"/>
        <v>#DIV/0!</v>
      </c>
      <c r="AG63" s="86" t="e">
        <f t="shared" si="72"/>
        <v>#DIV/0!</v>
      </c>
      <c r="AH63" s="86" t="e">
        <f t="shared" si="72"/>
        <v>#DIV/0!</v>
      </c>
      <c r="AI63" s="92"/>
      <c r="AJ63" s="86"/>
      <c r="AK63" s="86">
        <f t="shared" si="73"/>
        <v>0</v>
      </c>
      <c r="AL63" s="92"/>
      <c r="AM63" s="86"/>
      <c r="AN63" s="86">
        <f t="shared" si="74"/>
        <v>0</v>
      </c>
    </row>
    <row r="64" spans="1:54" s="83" customFormat="1">
      <c r="A64" s="143"/>
      <c r="B64" s="144"/>
      <c r="C64" s="84">
        <v>1410.37</v>
      </c>
      <c r="D64" s="83">
        <v>40</v>
      </c>
      <c r="E64" s="85"/>
      <c r="F64" s="85"/>
      <c r="G64" s="85"/>
      <c r="H64" s="86">
        <f t="shared" si="75"/>
        <v>0</v>
      </c>
      <c r="I64" s="87"/>
      <c r="J64" s="88"/>
      <c r="K64" s="91"/>
      <c r="L64" s="89"/>
      <c r="M64" s="89">
        <f t="shared" si="66"/>
        <v>0</v>
      </c>
      <c r="N64" s="91"/>
      <c r="O64" s="89"/>
      <c r="P64" s="89">
        <f t="shared" si="67"/>
        <v>0</v>
      </c>
      <c r="Q64" s="91"/>
      <c r="R64" s="89"/>
      <c r="S64" s="89">
        <f t="shared" si="61"/>
        <v>0</v>
      </c>
      <c r="T64" s="91"/>
      <c r="U64" s="89"/>
      <c r="V64" s="89">
        <f t="shared" si="76"/>
        <v>0</v>
      </c>
      <c r="W64" s="91"/>
      <c r="X64" s="89"/>
      <c r="Y64" s="89">
        <f t="shared" si="68"/>
        <v>0</v>
      </c>
      <c r="Z64" s="91"/>
      <c r="AA64" s="89"/>
      <c r="AB64" s="89">
        <f t="shared" si="69"/>
        <v>0</v>
      </c>
      <c r="AC64" s="90">
        <f t="shared" si="70"/>
        <v>0</v>
      </c>
      <c r="AD64" s="90">
        <f t="shared" si="70"/>
        <v>0</v>
      </c>
      <c r="AE64" s="89">
        <f t="shared" si="71"/>
        <v>0</v>
      </c>
      <c r="AF64" s="92" t="e">
        <f t="shared" si="72"/>
        <v>#DIV/0!</v>
      </c>
      <c r="AG64" s="86" t="e">
        <f t="shared" si="72"/>
        <v>#DIV/0!</v>
      </c>
      <c r="AH64" s="86" t="e">
        <f t="shared" si="72"/>
        <v>#DIV/0!</v>
      </c>
      <c r="AI64" s="92"/>
      <c r="AJ64" s="86"/>
      <c r="AK64" s="86">
        <f t="shared" si="73"/>
        <v>0</v>
      </c>
      <c r="AL64" s="92"/>
      <c r="AM64" s="86"/>
      <c r="AN64" s="86">
        <f t="shared" si="74"/>
        <v>0</v>
      </c>
    </row>
    <row r="65" spans="1:40" s="95" customFormat="1">
      <c r="A65" s="145"/>
      <c r="B65" s="146"/>
      <c r="C65" s="94">
        <v>1762.96</v>
      </c>
      <c r="D65" s="95">
        <v>50</v>
      </c>
      <c r="E65" s="96"/>
      <c r="F65" s="96"/>
      <c r="G65" s="96"/>
      <c r="H65" s="97">
        <f t="shared" si="75"/>
        <v>0</v>
      </c>
      <c r="I65" s="98"/>
      <c r="J65" s="99"/>
      <c r="K65" s="100"/>
      <c r="L65" s="101"/>
      <c r="M65" s="101">
        <f t="shared" si="66"/>
        <v>0</v>
      </c>
      <c r="N65" s="100"/>
      <c r="O65" s="101"/>
      <c r="P65" s="101">
        <f t="shared" si="67"/>
        <v>0</v>
      </c>
      <c r="Q65" s="100"/>
      <c r="R65" s="101"/>
      <c r="S65" s="101">
        <f t="shared" si="61"/>
        <v>0</v>
      </c>
      <c r="T65" s="100"/>
      <c r="U65" s="101"/>
      <c r="V65" s="101">
        <f t="shared" si="76"/>
        <v>0</v>
      </c>
      <c r="W65" s="100"/>
      <c r="X65" s="101"/>
      <c r="Y65" s="101">
        <f t="shared" si="68"/>
        <v>0</v>
      </c>
      <c r="Z65" s="100"/>
      <c r="AA65" s="101"/>
      <c r="AB65" s="101">
        <f t="shared" si="69"/>
        <v>0</v>
      </c>
      <c r="AC65" s="102">
        <f t="shared" si="70"/>
        <v>0</v>
      </c>
      <c r="AD65" s="102">
        <f t="shared" si="70"/>
        <v>0</v>
      </c>
      <c r="AE65" s="101">
        <f t="shared" si="71"/>
        <v>0</v>
      </c>
      <c r="AF65" s="103" t="e">
        <f t="shared" si="72"/>
        <v>#DIV/0!</v>
      </c>
      <c r="AG65" s="97" t="e">
        <f t="shared" si="72"/>
        <v>#DIV/0!</v>
      </c>
      <c r="AH65" s="97" t="e">
        <f t="shared" si="72"/>
        <v>#DIV/0!</v>
      </c>
      <c r="AI65" s="103"/>
      <c r="AJ65" s="97"/>
      <c r="AK65" s="86">
        <f t="shared" si="73"/>
        <v>0</v>
      </c>
      <c r="AL65" s="103"/>
      <c r="AM65" s="97"/>
      <c r="AN65" s="86">
        <f t="shared" si="74"/>
        <v>0</v>
      </c>
    </row>
    <row r="66" spans="1:40" s="83" customFormat="1">
      <c r="C66" s="84"/>
      <c r="I66" s="84"/>
      <c r="K66" s="84"/>
      <c r="N66" s="84"/>
      <c r="Q66" s="84"/>
      <c r="T66" s="84"/>
      <c r="W66" s="84"/>
      <c r="Z66" s="84"/>
      <c r="AC66" s="84"/>
      <c r="AF66" s="84"/>
    </row>
    <row r="67" spans="1:40" s="78" customFormat="1">
      <c r="A67" s="77" t="s">
        <v>1</v>
      </c>
      <c r="B67" s="78" t="s">
        <v>105</v>
      </c>
      <c r="C67" s="79"/>
      <c r="I67" s="80" t="s">
        <v>44</v>
      </c>
      <c r="K67" s="80" t="s">
        <v>47</v>
      </c>
      <c r="N67" s="80" t="s">
        <v>48</v>
      </c>
      <c r="O67" s="77"/>
      <c r="P67" s="77"/>
      <c r="Q67" s="80" t="s">
        <v>49</v>
      </c>
      <c r="T67" s="80" t="s">
        <v>50</v>
      </c>
      <c r="U67" s="77"/>
      <c r="V67" s="77"/>
      <c r="W67" s="80" t="s">
        <v>51</v>
      </c>
      <c r="Z67" s="80" t="s">
        <v>84</v>
      </c>
      <c r="AC67" s="80" t="s">
        <v>110</v>
      </c>
      <c r="AF67" s="80" t="s">
        <v>56</v>
      </c>
      <c r="AI67" s="80" t="s">
        <v>106</v>
      </c>
      <c r="AL67" s="80" t="s">
        <v>107</v>
      </c>
    </row>
    <row r="68" spans="1:40" s="83" customFormat="1">
      <c r="A68" s="81" t="s">
        <v>36</v>
      </c>
      <c r="B68" s="83" t="s">
        <v>85</v>
      </c>
      <c r="C68" s="82" t="s">
        <v>43</v>
      </c>
      <c r="D68" s="81" t="s">
        <v>39</v>
      </c>
      <c r="E68" s="81" t="s">
        <v>40</v>
      </c>
      <c r="F68" s="81" t="s">
        <v>41</v>
      </c>
      <c r="G68" s="81" t="s">
        <v>42</v>
      </c>
      <c r="H68" s="81" t="s">
        <v>57</v>
      </c>
      <c r="I68" s="82" t="s">
        <v>45</v>
      </c>
      <c r="J68" s="81" t="s">
        <v>46</v>
      </c>
      <c r="K68" s="82" t="s">
        <v>53</v>
      </c>
      <c r="L68" s="81" t="s">
        <v>54</v>
      </c>
      <c r="M68" s="81" t="s">
        <v>55</v>
      </c>
      <c r="N68" s="82" t="s">
        <v>53</v>
      </c>
      <c r="O68" s="81" t="s">
        <v>54</v>
      </c>
      <c r="P68" s="81" t="s">
        <v>55</v>
      </c>
      <c r="Q68" s="82" t="s">
        <v>53</v>
      </c>
      <c r="R68" s="81" t="s">
        <v>54</v>
      </c>
      <c r="S68" s="81" t="s">
        <v>55</v>
      </c>
      <c r="T68" s="82" t="s">
        <v>53</v>
      </c>
      <c r="U68" s="81" t="s">
        <v>54</v>
      </c>
      <c r="V68" s="81" t="s">
        <v>55</v>
      </c>
      <c r="W68" s="82" t="s">
        <v>53</v>
      </c>
      <c r="X68" s="81" t="s">
        <v>54</v>
      </c>
      <c r="Y68" s="81" t="s">
        <v>55</v>
      </c>
      <c r="Z68" s="82" t="s">
        <v>53</v>
      </c>
      <c r="AA68" s="81" t="s">
        <v>54</v>
      </c>
      <c r="AB68" s="81" t="s">
        <v>55</v>
      </c>
      <c r="AC68" s="82" t="s">
        <v>53</v>
      </c>
      <c r="AD68" s="81" t="s">
        <v>54</v>
      </c>
      <c r="AE68" s="81" t="s">
        <v>55</v>
      </c>
      <c r="AF68" s="82" t="s">
        <v>53</v>
      </c>
      <c r="AG68" s="81" t="s">
        <v>54</v>
      </c>
      <c r="AH68" s="81" t="s">
        <v>55</v>
      </c>
      <c r="AI68" s="82" t="s">
        <v>53</v>
      </c>
      <c r="AJ68" s="81" t="s">
        <v>54</v>
      </c>
      <c r="AK68" s="81" t="s">
        <v>55</v>
      </c>
      <c r="AL68" s="82" t="s">
        <v>53</v>
      </c>
      <c r="AM68" s="81" t="s">
        <v>54</v>
      </c>
      <c r="AN68" s="81" t="s">
        <v>55</v>
      </c>
    </row>
    <row r="69" spans="1:40" s="83" customFormat="1">
      <c r="A69" s="81" t="s">
        <v>38</v>
      </c>
      <c r="B69" s="83" t="s">
        <v>86</v>
      </c>
      <c r="C69" s="84">
        <v>0</v>
      </c>
      <c r="D69" s="83">
        <v>0</v>
      </c>
      <c r="E69" s="85">
        <v>1.1368400000000001</v>
      </c>
      <c r="F69" s="85">
        <v>2.9E-4</v>
      </c>
      <c r="G69" s="85">
        <v>0.120369</v>
      </c>
      <c r="H69" s="86">
        <f>G69/0.0075</f>
        <v>16.049200000000003</v>
      </c>
      <c r="I69" s="87">
        <v>0.92209700000000006</v>
      </c>
      <c r="J69" s="88">
        <v>7.7903200000000006E-2</v>
      </c>
      <c r="K69" s="84"/>
      <c r="N69" s="84"/>
      <c r="Q69" s="84"/>
      <c r="S69" s="89">
        <f t="shared" ref="S69:S78" si="77">Q69+R69</f>
        <v>0</v>
      </c>
      <c r="T69" s="84"/>
      <c r="V69" s="89">
        <f t="shared" ref="V69:V70" si="78">T69+U69</f>
        <v>0</v>
      </c>
      <c r="W69" s="84"/>
      <c r="Y69" s="89">
        <f t="shared" ref="Y69" si="79">W69+X69</f>
        <v>0</v>
      </c>
      <c r="Z69" s="84"/>
      <c r="AB69" s="89">
        <f t="shared" ref="AB69" si="80">Z69+AA69</f>
        <v>0</v>
      </c>
      <c r="AC69" s="84">
        <v>0</v>
      </c>
      <c r="AD69" s="83">
        <v>0</v>
      </c>
      <c r="AE69" s="83">
        <v>0</v>
      </c>
      <c r="AF69" s="84"/>
      <c r="AI69" s="90">
        <v>1.7566400000000001E-3</v>
      </c>
      <c r="AJ69" s="89">
        <v>7.4335600000000003E-4</v>
      </c>
      <c r="AK69" s="89">
        <f>AI69+AJ69</f>
        <v>2.499996E-3</v>
      </c>
      <c r="AL69" s="90">
        <f>AI69*(7710000000000000000)*23.1662*3.016/(6.022E+23)*(C69*24*60*60)</f>
        <v>0</v>
      </c>
      <c r="AM69" s="90">
        <f>AJ69*(7710000000000000000)*23.1662*3.016/(6.022E+23)*(D69*24*60*60)</f>
        <v>0</v>
      </c>
      <c r="AN69" s="86">
        <f>AL69+AM69</f>
        <v>0</v>
      </c>
    </row>
    <row r="70" spans="1:40" s="83" customFormat="1">
      <c r="A70" s="81" t="s">
        <v>87</v>
      </c>
      <c r="B70" s="83" t="s">
        <v>89</v>
      </c>
      <c r="C70" s="84">
        <v>3.5259299999999998</v>
      </c>
      <c r="D70" s="83">
        <v>0.1</v>
      </c>
      <c r="E70" s="85">
        <v>1.1039000000000001</v>
      </c>
      <c r="F70" s="85">
        <v>2.7999999999999998E-4</v>
      </c>
      <c r="G70" s="85">
        <v>9.4120999999999996E-2</v>
      </c>
      <c r="H70" s="86">
        <f t="shared" ref="H70" si="81">G70/0.0075</f>
        <v>12.549466666666667</v>
      </c>
      <c r="I70" s="87">
        <v>0.92140100000000003</v>
      </c>
      <c r="J70" s="88">
        <v>7.8598600000000005E-2</v>
      </c>
      <c r="K70" s="91">
        <v>103000</v>
      </c>
      <c r="L70" s="89">
        <v>19700</v>
      </c>
      <c r="M70" s="89">
        <f>K70+L70</f>
        <v>122700</v>
      </c>
      <c r="N70" s="91">
        <v>2513000</v>
      </c>
      <c r="O70" s="89">
        <v>888000</v>
      </c>
      <c r="P70" s="89">
        <f>N70+O70</f>
        <v>3401000</v>
      </c>
      <c r="Q70" s="91">
        <v>57.81</v>
      </c>
      <c r="R70" s="89">
        <v>7.2770000000000001</v>
      </c>
      <c r="S70" s="89">
        <f t="shared" si="77"/>
        <v>65.087000000000003</v>
      </c>
      <c r="T70" s="91">
        <v>0.20830000000000001</v>
      </c>
      <c r="U70" s="89">
        <v>9.9970000000000007E-3</v>
      </c>
      <c r="V70" s="89">
        <f t="shared" si="78"/>
        <v>0.21829700000000002</v>
      </c>
      <c r="W70" s="91">
        <v>1.0319999999999999E-3</v>
      </c>
      <c r="X70" s="89">
        <v>0</v>
      </c>
      <c r="Y70" s="89">
        <f>W70+X70</f>
        <v>1.0319999999999999E-3</v>
      </c>
      <c r="Z70" s="91">
        <v>0</v>
      </c>
      <c r="AA70" s="89">
        <v>0</v>
      </c>
      <c r="AB70" s="89">
        <f>Z70+AA70</f>
        <v>0</v>
      </c>
      <c r="AC70" s="90">
        <f>(Q70+T70+W70+Z70)/1000</f>
        <v>5.8019332000000007E-2</v>
      </c>
      <c r="AD70" s="90">
        <f>(R70+U70+X70+AA70)/1000</f>
        <v>7.2869970000000008E-3</v>
      </c>
      <c r="AE70" s="89">
        <f>AC70+AD70</f>
        <v>6.530632900000001E-2</v>
      </c>
      <c r="AF70" s="92">
        <f>Q70/AC70/1000</f>
        <v>0.99639203015987832</v>
      </c>
      <c r="AG70" s="92">
        <f>R70/AD70/1000</f>
        <v>0.99862810427944448</v>
      </c>
      <c r="AH70" s="86">
        <f>S70/AE70</f>
        <v>996.64153530969395</v>
      </c>
      <c r="AI70" s="90">
        <v>1.7063600000000001E-3</v>
      </c>
      <c r="AJ70" s="89">
        <v>7.2674100000000004E-4</v>
      </c>
      <c r="AK70" s="89">
        <f>AI70+AJ70</f>
        <v>2.433101E-3</v>
      </c>
      <c r="AL70" s="90">
        <f t="shared" ref="AL70:AM78" si="82">AI70*(7710000000000000000)*23.1662*3.016/(6.022E+23)*(C70*24*60*60)</f>
        <v>0.46500524974148405</v>
      </c>
      <c r="AM70" s="90">
        <f t="shared" si="82"/>
        <v>5.6168544498739949E-3</v>
      </c>
      <c r="AN70" s="86">
        <f>AL70+AM70</f>
        <v>0.47062210419135803</v>
      </c>
    </row>
    <row r="71" spans="1:40" s="83" customFormat="1">
      <c r="A71" s="81" t="s">
        <v>101</v>
      </c>
      <c r="B71" s="93" t="s">
        <v>108</v>
      </c>
      <c r="C71" s="84">
        <v>35.256599999999999</v>
      </c>
      <c r="D71" s="83">
        <v>1</v>
      </c>
      <c r="E71" s="85">
        <v>1.09118</v>
      </c>
      <c r="F71" s="85">
        <v>2.7E-4</v>
      </c>
      <c r="G71" s="85">
        <v>8.3560999999999996E-2</v>
      </c>
      <c r="H71" s="86">
        <f>G71/0.0075</f>
        <v>11.141466666666666</v>
      </c>
      <c r="I71" s="87">
        <v>0.92060399999999998</v>
      </c>
      <c r="J71" s="88">
        <v>7.9395900000000005E-2</v>
      </c>
      <c r="K71" s="91">
        <v>99550</v>
      </c>
      <c r="L71" s="89">
        <v>19410</v>
      </c>
      <c r="M71" s="89">
        <f t="shared" ref="M71:M78" si="83">K71+L71</f>
        <v>118960</v>
      </c>
      <c r="N71" s="91">
        <v>2512000</v>
      </c>
      <c r="O71" s="89">
        <v>887300</v>
      </c>
      <c r="P71" s="89">
        <f t="shared" ref="P71:P78" si="84">N71+O71</f>
        <v>3399300</v>
      </c>
      <c r="Q71" s="91">
        <v>1340</v>
      </c>
      <c r="R71" s="89">
        <v>174.6</v>
      </c>
      <c r="S71" s="89">
        <f t="shared" si="77"/>
        <v>1514.6</v>
      </c>
      <c r="T71" s="91">
        <v>30.73</v>
      </c>
      <c r="U71" s="89">
        <v>1.665</v>
      </c>
      <c r="V71" s="89">
        <f>T71+U71</f>
        <v>32.395000000000003</v>
      </c>
      <c r="W71" s="91">
        <v>1.607</v>
      </c>
      <c r="X71" s="89">
        <v>3.0689999999999999E-2</v>
      </c>
      <c r="Y71" s="89">
        <f t="shared" ref="Y71:Y78" si="85">W71+X71</f>
        <v>1.6376900000000001</v>
      </c>
      <c r="Z71" s="91">
        <v>1.2E-2</v>
      </c>
      <c r="AA71" s="89">
        <v>9.6529999999999999E-5</v>
      </c>
      <c r="AB71" s="89">
        <f t="shared" ref="AB71:AB78" si="86">Z71+AA71</f>
        <v>1.2096529999999999E-2</v>
      </c>
      <c r="AC71" s="90">
        <f t="shared" ref="AC71:AD78" si="87">(Q71+T71+W71+Z71)/1000</f>
        <v>1.372349</v>
      </c>
      <c r="AD71" s="90">
        <f t="shared" si="87"/>
        <v>0.17629578653</v>
      </c>
      <c r="AE71" s="89">
        <f t="shared" ref="AE71:AE78" si="88">AC71+AD71</f>
        <v>1.5486447865300002</v>
      </c>
      <c r="AF71" s="92">
        <f t="shared" ref="AF71:AG78" si="89">Q71/AC71/1000</f>
        <v>0.97642800774438565</v>
      </c>
      <c r="AG71" s="92">
        <f t="shared" si="89"/>
        <v>0.99038101497841846</v>
      </c>
      <c r="AH71" s="86">
        <f t="shared" ref="AH71:AH78" si="90">S71/AE71</f>
        <v>978.01640064518392</v>
      </c>
      <c r="AI71" s="90">
        <v>1.67475E-3</v>
      </c>
      <c r="AJ71" s="89">
        <v>7.1622899999999998E-4</v>
      </c>
      <c r="AK71" s="89">
        <f t="shared" ref="AK71:AK78" si="91">AI71+AJ71</f>
        <v>2.3909790000000001E-3</v>
      </c>
      <c r="AL71" s="90">
        <f t="shared" si="82"/>
        <v>4.5635616602481708</v>
      </c>
      <c r="AM71" s="90">
        <f t="shared" si="82"/>
        <v>5.53560903510164E-2</v>
      </c>
      <c r="AN71" s="86">
        <f t="shared" ref="AN71:AN78" si="92">AL71+AM71</f>
        <v>4.618917750599187</v>
      </c>
    </row>
    <row r="72" spans="1:40" s="83" customFormat="1">
      <c r="A72" s="143" t="e" vm="2">
        <v>#VALUE!</v>
      </c>
      <c r="B72" s="144"/>
      <c r="C72" s="84">
        <v>141.02600000000001</v>
      </c>
      <c r="D72" s="83">
        <v>4</v>
      </c>
      <c r="E72" s="85">
        <v>1.06359</v>
      </c>
      <c r="F72" s="85">
        <v>2.9E-4</v>
      </c>
      <c r="G72" s="85">
        <v>5.9788000000000001E-2</v>
      </c>
      <c r="H72" s="86">
        <f t="shared" ref="H72:H78" si="93">G72/0.0075</f>
        <v>7.9717333333333338</v>
      </c>
      <c r="I72" s="87">
        <v>0.91811399999999999</v>
      </c>
      <c r="J72" s="88">
        <v>8.1886E-2</v>
      </c>
      <c r="K72" s="91">
        <v>88810</v>
      </c>
      <c r="L72" s="89">
        <v>18480</v>
      </c>
      <c r="M72" s="89">
        <f t="shared" si="83"/>
        <v>107290</v>
      </c>
      <c r="N72" s="91">
        <v>2506000</v>
      </c>
      <c r="O72" s="89">
        <v>886700</v>
      </c>
      <c r="P72" s="89">
        <f t="shared" si="84"/>
        <v>3392700</v>
      </c>
      <c r="Q72" s="91">
        <v>4878</v>
      </c>
      <c r="R72" s="89">
        <v>700.3</v>
      </c>
      <c r="S72" s="89">
        <f t="shared" si="77"/>
        <v>5578.3</v>
      </c>
      <c r="T72" s="91">
        <v>400.5</v>
      </c>
      <c r="U72" s="89">
        <v>25.84</v>
      </c>
      <c r="V72" s="89">
        <f>T72+U72</f>
        <v>426.34</v>
      </c>
      <c r="W72" s="91">
        <v>84.95</v>
      </c>
      <c r="X72" s="89">
        <v>1.952</v>
      </c>
      <c r="Y72" s="89">
        <f t="shared" si="85"/>
        <v>86.902000000000001</v>
      </c>
      <c r="Z72" s="91">
        <v>2.7210000000000001</v>
      </c>
      <c r="AA72" s="89">
        <v>2.563E-2</v>
      </c>
      <c r="AB72" s="89">
        <f t="shared" si="86"/>
        <v>2.7466300000000001</v>
      </c>
      <c r="AC72" s="90">
        <f>(Q72+T72+W72+Z72)/1000</f>
        <v>5.3661709999999996</v>
      </c>
      <c r="AD72" s="90">
        <f t="shared" si="87"/>
        <v>0.72811762999999996</v>
      </c>
      <c r="AE72" s="89">
        <f t="shared" si="88"/>
        <v>6.0942886299999994</v>
      </c>
      <c r="AF72" s="92">
        <f t="shared" si="89"/>
        <v>0.90902805743611237</v>
      </c>
      <c r="AG72" s="92">
        <f t="shared" si="89"/>
        <v>0.9617951429084336</v>
      </c>
      <c r="AH72" s="86">
        <f t="shared" si="90"/>
        <v>915.3324265838063</v>
      </c>
      <c r="AI72" s="90">
        <v>1.61725E-3</v>
      </c>
      <c r="AJ72" s="89">
        <v>6.9389500000000004E-4</v>
      </c>
      <c r="AK72" s="89">
        <f t="shared" si="91"/>
        <v>2.3111450000000001E-3</v>
      </c>
      <c r="AL72" s="90">
        <f t="shared" si="82"/>
        <v>17.627464783624628</v>
      </c>
      <c r="AM72" s="90">
        <f t="shared" si="82"/>
        <v>0.21451973776051247</v>
      </c>
      <c r="AN72" s="86">
        <f t="shared" si="92"/>
        <v>17.84198452138514</v>
      </c>
    </row>
    <row r="73" spans="1:40" s="83" customFormat="1">
      <c r="A73" s="143"/>
      <c r="B73" s="144"/>
      <c r="C73" s="84">
        <v>246.79599999999999</v>
      </c>
      <c r="D73" s="83">
        <v>7</v>
      </c>
      <c r="E73" s="85">
        <v>1.03552</v>
      </c>
      <c r="F73" s="85">
        <v>2.9E-4</v>
      </c>
      <c r="G73" s="85">
        <v>3.4301999999999999E-2</v>
      </c>
      <c r="H73" s="86">
        <f t="shared" si="93"/>
        <v>4.5735999999999999</v>
      </c>
      <c r="I73" s="87">
        <v>0.91530999999999996</v>
      </c>
      <c r="J73" s="88">
        <v>8.4690100000000004E-2</v>
      </c>
      <c r="K73" s="91">
        <v>79080</v>
      </c>
      <c r="L73" s="89">
        <v>17580</v>
      </c>
      <c r="M73" s="89">
        <f t="shared" si="83"/>
        <v>96660</v>
      </c>
      <c r="N73" s="91">
        <v>2501000</v>
      </c>
      <c r="O73" s="89">
        <v>885900</v>
      </c>
      <c r="P73" s="89">
        <f t="shared" si="84"/>
        <v>3386900</v>
      </c>
      <c r="Q73" s="91">
        <v>7455</v>
      </c>
      <c r="R73" s="89">
        <v>1166</v>
      </c>
      <c r="S73" s="89">
        <f t="shared" si="77"/>
        <v>8621</v>
      </c>
      <c r="T73" s="91">
        <v>962.2</v>
      </c>
      <c r="U73" s="89">
        <v>72.349999999999994</v>
      </c>
      <c r="V73" s="89">
        <f>T73+U73</f>
        <v>1034.55</v>
      </c>
      <c r="W73" s="91">
        <v>331.5</v>
      </c>
      <c r="X73" s="89">
        <v>9.4710000000000001</v>
      </c>
      <c r="Y73" s="89">
        <f t="shared" si="85"/>
        <v>340.971</v>
      </c>
      <c r="Z73" s="91">
        <v>19.760000000000002</v>
      </c>
      <c r="AA73" s="89">
        <v>0.22389999999999999</v>
      </c>
      <c r="AB73" s="89">
        <f t="shared" si="86"/>
        <v>19.983900000000002</v>
      </c>
      <c r="AC73" s="90">
        <f t="shared" si="87"/>
        <v>8.768460000000001</v>
      </c>
      <c r="AD73" s="90">
        <f t="shared" si="87"/>
        <v>1.2480448999999998</v>
      </c>
      <c r="AE73" s="89">
        <f t="shared" si="88"/>
        <v>10.016504900000001</v>
      </c>
      <c r="AF73" s="92">
        <f t="shared" si="89"/>
        <v>0.85020630760703697</v>
      </c>
      <c r="AG73" s="92">
        <f t="shared" si="89"/>
        <v>0.93426125935052518</v>
      </c>
      <c r="AH73" s="86">
        <f t="shared" si="90"/>
        <v>860.67945716274733</v>
      </c>
      <c r="AI73" s="90">
        <v>1.58209E-3</v>
      </c>
      <c r="AJ73" s="89">
        <v>6.7905999999999999E-4</v>
      </c>
      <c r="AK73" s="89">
        <f t="shared" si="91"/>
        <v>2.26115E-3</v>
      </c>
      <c r="AL73" s="90">
        <f t="shared" si="82"/>
        <v>30.177468823860725</v>
      </c>
      <c r="AM73" s="90">
        <f t="shared" si="82"/>
        <v>0.36738354213014046</v>
      </c>
      <c r="AN73" s="86">
        <f t="shared" si="92"/>
        <v>30.544852365990867</v>
      </c>
    </row>
    <row r="74" spans="1:40" s="83" customFormat="1">
      <c r="A74" s="143"/>
      <c r="B74" s="144"/>
      <c r="C74" s="84">
        <v>352.59300000000002</v>
      </c>
      <c r="D74" s="83">
        <v>10</v>
      </c>
      <c r="E74" s="85">
        <v>1.0078100000000001</v>
      </c>
      <c r="F74" s="85">
        <v>2.5999999999999998E-4</v>
      </c>
      <c r="G74" s="85">
        <v>7.7489999999999998E-3</v>
      </c>
      <c r="H74" s="86">
        <f t="shared" si="93"/>
        <v>1.0332000000000001</v>
      </c>
      <c r="I74" s="87">
        <v>0.91268899999999997</v>
      </c>
      <c r="J74" s="88">
        <v>8.7310700000000005E-2</v>
      </c>
      <c r="K74" s="91">
        <v>70220</v>
      </c>
      <c r="L74" s="89">
        <v>16710</v>
      </c>
      <c r="M74" s="89">
        <f t="shared" si="83"/>
        <v>86930</v>
      </c>
      <c r="N74" s="91">
        <v>2495000</v>
      </c>
      <c r="O74" s="89">
        <v>883500</v>
      </c>
      <c r="P74" s="89">
        <f t="shared" si="84"/>
        <v>3378500</v>
      </c>
      <c r="Q74" s="91">
        <v>9358</v>
      </c>
      <c r="R74" s="89">
        <v>1583</v>
      </c>
      <c r="S74" s="89">
        <f t="shared" si="77"/>
        <v>10941</v>
      </c>
      <c r="T74" s="91">
        <v>1597</v>
      </c>
      <c r="U74" s="89">
        <v>135.4</v>
      </c>
      <c r="V74" s="89">
        <f t="shared" ref="V74:V78" si="94">T74+U74</f>
        <v>1732.4</v>
      </c>
      <c r="W74" s="91">
        <v>701.1</v>
      </c>
      <c r="X74" s="89">
        <v>24.64</v>
      </c>
      <c r="Y74" s="89">
        <f t="shared" si="85"/>
        <v>725.74</v>
      </c>
      <c r="Z74" s="91">
        <v>63.68</v>
      </c>
      <c r="AA74" s="89">
        <v>0.8609</v>
      </c>
      <c r="AB74" s="89">
        <f t="shared" si="86"/>
        <v>64.540899999999993</v>
      </c>
      <c r="AC74" s="90">
        <f t="shared" si="87"/>
        <v>11.71978</v>
      </c>
      <c r="AD74" s="90">
        <f t="shared" si="87"/>
        <v>1.7439009000000001</v>
      </c>
      <c r="AE74" s="89">
        <f t="shared" si="88"/>
        <v>13.4636809</v>
      </c>
      <c r="AF74" s="92">
        <f t="shared" si="89"/>
        <v>0.7984791523390371</v>
      </c>
      <c r="AG74" s="92">
        <f t="shared" si="89"/>
        <v>0.90773506682633165</v>
      </c>
      <c r="AH74" s="86">
        <f t="shared" si="90"/>
        <v>812.63066773960747</v>
      </c>
      <c r="AI74" s="90">
        <v>1.56123E-3</v>
      </c>
      <c r="AJ74" s="89">
        <v>6.6633999999999997E-4</v>
      </c>
      <c r="AK74" s="89">
        <f t="shared" si="91"/>
        <v>2.2275699999999999E-3</v>
      </c>
      <c r="AL74" s="90">
        <f t="shared" si="82"/>
        <v>42.545544085298367</v>
      </c>
      <c r="AM74" s="90">
        <f t="shared" si="82"/>
        <v>0.51500256544340239</v>
      </c>
      <c r="AN74" s="86">
        <f t="shared" si="92"/>
        <v>43.06054665074177</v>
      </c>
    </row>
    <row r="75" spans="1:40" s="83" customFormat="1">
      <c r="A75" s="143"/>
      <c r="B75" s="144"/>
      <c r="C75" s="84">
        <v>705.18499999999995</v>
      </c>
      <c r="D75" s="83">
        <v>20</v>
      </c>
      <c r="E75" s="85">
        <v>0.92989999999999995</v>
      </c>
      <c r="F75" s="85">
        <v>2.7999999999999998E-4</v>
      </c>
      <c r="G75" s="85">
        <v>-7.5384000000000007E-2</v>
      </c>
      <c r="H75" s="86">
        <f t="shared" si="93"/>
        <v>-10.051200000000001</v>
      </c>
      <c r="I75" s="87">
        <v>0.90325500000000003</v>
      </c>
      <c r="J75" s="88">
        <v>9.6744999999999998E-2</v>
      </c>
      <c r="K75" s="91">
        <v>45840</v>
      </c>
      <c r="L75" s="89">
        <v>14060</v>
      </c>
      <c r="M75" s="89">
        <f t="shared" si="83"/>
        <v>59900</v>
      </c>
      <c r="N75" s="91">
        <v>2474000</v>
      </c>
      <c r="O75" s="89">
        <v>880700</v>
      </c>
      <c r="P75" s="89">
        <f t="shared" si="84"/>
        <v>3354700</v>
      </c>
      <c r="Q75" s="91">
        <v>12570</v>
      </c>
      <c r="R75" s="89">
        <v>2610</v>
      </c>
      <c r="S75" s="89">
        <f t="shared" si="77"/>
        <v>15180</v>
      </c>
      <c r="T75" s="91">
        <v>3509</v>
      </c>
      <c r="U75" s="89">
        <v>405.1</v>
      </c>
      <c r="V75" s="89">
        <f t="shared" si="94"/>
        <v>3914.1</v>
      </c>
      <c r="W75" s="91">
        <v>2421</v>
      </c>
      <c r="X75" s="89">
        <v>136.19999999999999</v>
      </c>
      <c r="Y75" s="89">
        <f t="shared" si="85"/>
        <v>2557.1999999999998</v>
      </c>
      <c r="Z75" s="91">
        <v>505.2</v>
      </c>
      <c r="AA75" s="89">
        <v>10.26</v>
      </c>
      <c r="AB75" s="89">
        <f t="shared" si="86"/>
        <v>515.46</v>
      </c>
      <c r="AC75" s="90">
        <f t="shared" si="87"/>
        <v>19.005200000000002</v>
      </c>
      <c r="AD75" s="90">
        <f t="shared" si="87"/>
        <v>3.1615600000000001</v>
      </c>
      <c r="AE75" s="89">
        <f t="shared" si="88"/>
        <v>22.166760000000004</v>
      </c>
      <c r="AF75" s="92">
        <f t="shared" si="89"/>
        <v>0.66139793319723017</v>
      </c>
      <c r="AG75" s="92">
        <f t="shared" si="89"/>
        <v>0.82554182112627938</v>
      </c>
      <c r="AH75" s="86">
        <f t="shared" si="90"/>
        <v>684.80914666825447</v>
      </c>
      <c r="AI75" s="90">
        <v>1.55835E-3</v>
      </c>
      <c r="AJ75" s="89">
        <v>6.5165600000000002E-4</v>
      </c>
      <c r="AK75" s="89">
        <f t="shared" si="91"/>
        <v>2.210006E-3</v>
      </c>
      <c r="AL75" s="90">
        <f t="shared" si="82"/>
        <v>84.934000251561628</v>
      </c>
      <c r="AM75" s="90">
        <f t="shared" si="82"/>
        <v>1.0073071158465223</v>
      </c>
      <c r="AN75" s="86">
        <f t="shared" si="92"/>
        <v>85.941307367408143</v>
      </c>
    </row>
    <row r="76" spans="1:40" s="83" customFormat="1">
      <c r="A76" s="143"/>
      <c r="B76" s="144"/>
      <c r="C76" s="84">
        <v>1057.78</v>
      </c>
      <c r="D76" s="83">
        <v>30</v>
      </c>
      <c r="E76" s="85">
        <v>0.85782999999999998</v>
      </c>
      <c r="F76" s="85">
        <v>2.7E-4</v>
      </c>
      <c r="G76" s="85">
        <v>-0.16573199999999999</v>
      </c>
      <c r="H76" s="86">
        <f t="shared" si="93"/>
        <v>-22.0976</v>
      </c>
      <c r="I76" s="87">
        <v>0.893818</v>
      </c>
      <c r="J76" s="88">
        <v>0.106182</v>
      </c>
      <c r="K76" s="91">
        <v>28120</v>
      </c>
      <c r="L76" s="89">
        <v>11600</v>
      </c>
      <c r="M76" s="89">
        <f t="shared" si="83"/>
        <v>39720</v>
      </c>
      <c r="N76" s="91">
        <v>2451000</v>
      </c>
      <c r="O76" s="89"/>
      <c r="P76" s="89">
        <f t="shared" si="84"/>
        <v>2451000</v>
      </c>
      <c r="Q76" s="91">
        <v>13680</v>
      </c>
      <c r="R76" s="89">
        <v>3317</v>
      </c>
      <c r="S76" s="89">
        <f t="shared" si="77"/>
        <v>16997</v>
      </c>
      <c r="T76" s="91">
        <v>5214</v>
      </c>
      <c r="U76" s="89">
        <v>734.5</v>
      </c>
      <c r="V76" s="89">
        <f t="shared" si="94"/>
        <v>5948.5</v>
      </c>
      <c r="W76" s="91">
        <v>3619</v>
      </c>
      <c r="X76" s="89">
        <v>312.5</v>
      </c>
      <c r="Y76" s="89">
        <f t="shared" si="85"/>
        <v>3931.5</v>
      </c>
      <c r="Z76" s="91">
        <v>1362</v>
      </c>
      <c r="AA76" s="89">
        <v>40.409999999999997</v>
      </c>
      <c r="AB76" s="89">
        <f t="shared" si="86"/>
        <v>1402.41</v>
      </c>
      <c r="AC76" s="90">
        <f t="shared" si="87"/>
        <v>23.875</v>
      </c>
      <c r="AD76" s="90">
        <f t="shared" si="87"/>
        <v>4.4044099999999995</v>
      </c>
      <c r="AE76" s="89">
        <f t="shared" si="88"/>
        <v>28.279409999999999</v>
      </c>
      <c r="AF76" s="92">
        <f t="shared" si="89"/>
        <v>0.57298429319371724</v>
      </c>
      <c r="AG76" s="92">
        <f t="shared" si="89"/>
        <v>0.75310881593675438</v>
      </c>
      <c r="AH76" s="86">
        <f t="shared" si="90"/>
        <v>601.03799902473213</v>
      </c>
      <c r="AI76" s="90">
        <v>1.5925799999999999E-3</v>
      </c>
      <c r="AJ76" s="89">
        <v>6.4775599999999998E-4</v>
      </c>
      <c r="AK76" s="89">
        <f t="shared" si="91"/>
        <v>2.2403359999999999E-3</v>
      </c>
      <c r="AL76" s="90">
        <f t="shared" si="82"/>
        <v>130.19973992707767</v>
      </c>
      <c r="AM76" s="90">
        <f t="shared" si="82"/>
        <v>1.5019179478105318</v>
      </c>
      <c r="AN76" s="86">
        <f t="shared" si="92"/>
        <v>131.70165787488821</v>
      </c>
    </row>
    <row r="77" spans="1:40" s="83" customFormat="1">
      <c r="A77" s="143"/>
      <c r="B77" s="144"/>
      <c r="C77" s="84">
        <v>1410.37</v>
      </c>
      <c r="D77" s="83">
        <v>40</v>
      </c>
      <c r="E77" s="85"/>
      <c r="F77" s="85"/>
      <c r="G77" s="85"/>
      <c r="H77" s="86">
        <f t="shared" si="93"/>
        <v>0</v>
      </c>
      <c r="I77" s="87"/>
      <c r="J77" s="88"/>
      <c r="K77" s="91"/>
      <c r="L77" s="89"/>
      <c r="M77" s="89">
        <f t="shared" si="83"/>
        <v>0</v>
      </c>
      <c r="N77" s="91"/>
      <c r="O77" s="89"/>
      <c r="P77" s="89">
        <f t="shared" si="84"/>
        <v>0</v>
      </c>
      <c r="Q77" s="91"/>
      <c r="R77" s="89"/>
      <c r="S77" s="89">
        <f t="shared" si="77"/>
        <v>0</v>
      </c>
      <c r="T77" s="91"/>
      <c r="U77" s="89"/>
      <c r="V77" s="89">
        <f t="shared" si="94"/>
        <v>0</v>
      </c>
      <c r="W77" s="91"/>
      <c r="X77" s="89"/>
      <c r="Y77" s="89">
        <f t="shared" si="85"/>
        <v>0</v>
      </c>
      <c r="Z77" s="91"/>
      <c r="AA77" s="89"/>
      <c r="AB77" s="89">
        <f t="shared" si="86"/>
        <v>0</v>
      </c>
      <c r="AC77" s="90">
        <f t="shared" si="87"/>
        <v>0</v>
      </c>
      <c r="AD77" s="90">
        <f t="shared" si="87"/>
        <v>0</v>
      </c>
      <c r="AE77" s="89">
        <f t="shared" si="88"/>
        <v>0</v>
      </c>
      <c r="AF77" s="92" t="e">
        <f t="shared" si="89"/>
        <v>#DIV/0!</v>
      </c>
      <c r="AG77" s="92" t="e">
        <f t="shared" si="89"/>
        <v>#DIV/0!</v>
      </c>
      <c r="AH77" s="86" t="e">
        <f t="shared" si="90"/>
        <v>#DIV/0!</v>
      </c>
      <c r="AI77" s="90"/>
      <c r="AJ77" s="89"/>
      <c r="AK77" s="89">
        <f t="shared" si="91"/>
        <v>0</v>
      </c>
      <c r="AL77" s="90">
        <f t="shared" si="82"/>
        <v>0</v>
      </c>
      <c r="AM77" s="90">
        <f>AJ77*(7710000000000000000)*23.1662*3.016/(6.022E+23)*(D77*24*60*60)</f>
        <v>0</v>
      </c>
      <c r="AN77" s="86">
        <f t="shared" si="92"/>
        <v>0</v>
      </c>
    </row>
    <row r="78" spans="1:40" s="95" customFormat="1">
      <c r="A78" s="145"/>
      <c r="B78" s="146"/>
      <c r="C78" s="94">
        <v>1762.96</v>
      </c>
      <c r="D78" s="95">
        <v>50</v>
      </c>
      <c r="E78" s="96"/>
      <c r="F78" s="96"/>
      <c r="G78" s="96"/>
      <c r="H78" s="97">
        <f t="shared" si="93"/>
        <v>0</v>
      </c>
      <c r="I78" s="98"/>
      <c r="J78" s="99"/>
      <c r="K78" s="100"/>
      <c r="L78" s="101"/>
      <c r="M78" s="101">
        <f t="shared" si="83"/>
        <v>0</v>
      </c>
      <c r="N78" s="100"/>
      <c r="O78" s="101"/>
      <c r="P78" s="101">
        <f t="shared" si="84"/>
        <v>0</v>
      </c>
      <c r="Q78" s="100"/>
      <c r="R78" s="101"/>
      <c r="S78" s="101">
        <f t="shared" si="77"/>
        <v>0</v>
      </c>
      <c r="T78" s="100"/>
      <c r="U78" s="101"/>
      <c r="V78" s="101">
        <f t="shared" si="94"/>
        <v>0</v>
      </c>
      <c r="W78" s="100"/>
      <c r="X78" s="101"/>
      <c r="Y78" s="101">
        <f t="shared" si="85"/>
        <v>0</v>
      </c>
      <c r="Z78" s="100"/>
      <c r="AA78" s="101"/>
      <c r="AB78" s="101">
        <f t="shared" si="86"/>
        <v>0</v>
      </c>
      <c r="AC78" s="90">
        <f t="shared" si="87"/>
        <v>0</v>
      </c>
      <c r="AD78" s="90">
        <f t="shared" si="87"/>
        <v>0</v>
      </c>
      <c r="AE78" s="101">
        <f t="shared" si="88"/>
        <v>0</v>
      </c>
      <c r="AF78" s="92" t="e">
        <f t="shared" si="89"/>
        <v>#DIV/0!</v>
      </c>
      <c r="AG78" s="92" t="e">
        <f t="shared" si="89"/>
        <v>#DIV/0!</v>
      </c>
      <c r="AH78" s="97" t="e">
        <f t="shared" si="90"/>
        <v>#DIV/0!</v>
      </c>
      <c r="AI78" s="102"/>
      <c r="AJ78" s="101"/>
      <c r="AK78" s="89">
        <f t="shared" si="91"/>
        <v>0</v>
      </c>
      <c r="AL78" s="90">
        <f t="shared" si="82"/>
        <v>0</v>
      </c>
      <c r="AM78" s="90">
        <f t="shared" si="82"/>
        <v>0</v>
      </c>
      <c r="AN78" s="86">
        <f t="shared" si="92"/>
        <v>0</v>
      </c>
    </row>
  </sheetData>
  <mergeCells count="6">
    <mergeCell ref="A6:B13"/>
    <mergeCell ref="A20:B26"/>
    <mergeCell ref="A33:B39"/>
    <mergeCell ref="A46:B52"/>
    <mergeCell ref="A59:B65"/>
    <mergeCell ref="A72:B7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66E8-F6D1-4540-A521-7E3172A66DC3}">
  <dimension ref="A1:AC13"/>
  <sheetViews>
    <sheetView zoomScale="70" zoomScaleNormal="70" workbookViewId="0">
      <pane ySplit="7" topLeftCell="A8" activePane="bottomLeft" state="frozen"/>
      <selection pane="bottomLeft" activeCell="B12" sqref="B12"/>
    </sheetView>
  </sheetViews>
  <sheetFormatPr defaultColWidth="8.77734375" defaultRowHeight="14.4"/>
  <cols>
    <col min="1" max="1" width="34.33203125" customWidth="1"/>
    <col min="2" max="2" width="11.109375" style="7" customWidth="1"/>
    <col min="3" max="3" width="11.109375" customWidth="1"/>
    <col min="4" max="4" width="10" customWidth="1"/>
    <col min="5" max="5" width="8.77734375" style="7"/>
    <col min="8" max="8" width="8.77734375" style="7"/>
    <col min="9" max="9" width="6.109375" customWidth="1"/>
    <col min="10" max="10" width="7.44140625" customWidth="1"/>
    <col min="12" max="12" width="12.109375" customWidth="1"/>
    <col min="13" max="13" width="7.44140625" customWidth="1"/>
    <col min="14" max="14" width="12.109375" customWidth="1"/>
    <col min="15" max="15" width="7.44140625" customWidth="1"/>
    <col min="16" max="16" width="8.77734375" style="7"/>
    <col min="17" max="17" width="6.33203125" customWidth="1"/>
    <col min="18" max="18" width="7.109375" customWidth="1"/>
    <col min="20" max="20" width="9.44140625" customWidth="1"/>
    <col min="21" max="21" width="7.77734375" customWidth="1"/>
    <col min="22" max="22" width="12.77734375" customWidth="1"/>
    <col min="23" max="23" width="10.33203125" customWidth="1"/>
    <col min="24" max="24" width="6.77734375" style="7" customWidth="1"/>
    <col min="25" max="25" width="8.6640625" style="7" customWidth="1"/>
    <col min="26" max="26" width="11.77734375" style="7" customWidth="1"/>
    <col min="27" max="27" width="11.33203125" style="7" bestFit="1" customWidth="1"/>
    <col min="28" max="28" width="15.44140625" customWidth="1"/>
    <col min="29" max="29" width="22.109375" style="7" customWidth="1"/>
  </cols>
  <sheetData>
    <row r="1" spans="1:29">
      <c r="A1" s="1"/>
      <c r="B1"/>
      <c r="E1"/>
      <c r="H1"/>
      <c r="P1"/>
      <c r="Y1"/>
      <c r="Z1"/>
      <c r="AA1"/>
    </row>
    <row r="2" spans="1:29">
      <c r="B2"/>
      <c r="D2" t="s">
        <v>77</v>
      </c>
      <c r="E2"/>
      <c r="F2">
        <f>100*167/4000</f>
        <v>4.1749999999999998</v>
      </c>
      <c r="H2"/>
      <c r="P2"/>
      <c r="Y2"/>
      <c r="Z2"/>
      <c r="AA2"/>
    </row>
    <row r="3" spans="1:29">
      <c r="B3"/>
      <c r="E3"/>
      <c r="H3"/>
      <c r="P3"/>
      <c r="Y3"/>
      <c r="Z3"/>
      <c r="AA3"/>
    </row>
    <row r="4" spans="1:29">
      <c r="B4"/>
      <c r="E4"/>
      <c r="H4"/>
      <c r="P4"/>
      <c r="Y4"/>
      <c r="Z4"/>
      <c r="AA4"/>
    </row>
    <row r="5" spans="1:29" s="6" customFormat="1" ht="15" thickBot="1">
      <c r="X5" s="26"/>
      <c r="AC5" s="26"/>
    </row>
    <row r="6" spans="1:29">
      <c r="E6" s="8" t="s">
        <v>25</v>
      </c>
      <c r="G6" s="3"/>
      <c r="H6" s="8" t="s">
        <v>61</v>
      </c>
      <c r="L6" s="2" t="s">
        <v>74</v>
      </c>
      <c r="M6" s="2"/>
      <c r="N6" s="2" t="s">
        <v>75</v>
      </c>
      <c r="O6" s="3"/>
      <c r="P6" s="8" t="s">
        <v>62</v>
      </c>
      <c r="T6" s="2" t="s">
        <v>74</v>
      </c>
      <c r="U6" s="2"/>
      <c r="V6" s="2" t="s">
        <v>75</v>
      </c>
      <c r="W6" s="3"/>
      <c r="X6" s="8" t="s">
        <v>71</v>
      </c>
      <c r="Y6" s="11" t="s">
        <v>13</v>
      </c>
      <c r="Z6" s="11" t="s">
        <v>69</v>
      </c>
      <c r="AA6" s="11" t="s">
        <v>76</v>
      </c>
      <c r="AB6" s="1"/>
    </row>
    <row r="7" spans="1:29" s="6" customFormat="1" ht="15" thickBot="1">
      <c r="A7" s="4" t="s">
        <v>0</v>
      </c>
      <c r="B7" s="9" t="s">
        <v>1</v>
      </c>
      <c r="C7" s="14" t="s">
        <v>68</v>
      </c>
      <c r="D7" s="14" t="s">
        <v>79</v>
      </c>
      <c r="E7" s="9" t="s">
        <v>24</v>
      </c>
      <c r="F7" s="4" t="s">
        <v>3</v>
      </c>
      <c r="G7" s="5" t="s">
        <v>4</v>
      </c>
      <c r="H7" s="9" t="s">
        <v>5</v>
      </c>
      <c r="I7" s="4" t="s">
        <v>12</v>
      </c>
      <c r="J7" s="4" t="s">
        <v>10</v>
      </c>
      <c r="K7" s="4" t="s">
        <v>7</v>
      </c>
      <c r="L7" s="5" t="s">
        <v>11</v>
      </c>
      <c r="M7" s="5" t="s">
        <v>4</v>
      </c>
      <c r="N7" s="5" t="s">
        <v>11</v>
      </c>
      <c r="O7" s="5" t="s">
        <v>4</v>
      </c>
      <c r="P7" s="9" t="s">
        <v>5</v>
      </c>
      <c r="Q7" s="4" t="s">
        <v>12</v>
      </c>
      <c r="R7" s="4" t="s">
        <v>10</v>
      </c>
      <c r="S7" s="4" t="s">
        <v>7</v>
      </c>
      <c r="T7" s="5" t="s">
        <v>9</v>
      </c>
      <c r="U7" s="5" t="s">
        <v>4</v>
      </c>
      <c r="V7" s="5" t="s">
        <v>11</v>
      </c>
      <c r="W7" s="5" t="s">
        <v>4</v>
      </c>
      <c r="X7" s="9" t="s">
        <v>72</v>
      </c>
      <c r="Y7" s="12" t="s">
        <v>4</v>
      </c>
      <c r="Z7" s="12" t="s">
        <v>70</v>
      </c>
      <c r="AA7" s="12" t="s">
        <v>14</v>
      </c>
      <c r="AB7" s="4"/>
      <c r="AC7" s="9" t="s">
        <v>73</v>
      </c>
    </row>
    <row r="8" spans="1:29" ht="120" customHeight="1">
      <c r="A8" s="1" t="s">
        <v>63</v>
      </c>
      <c r="B8" s="7" t="s">
        <v>80</v>
      </c>
      <c r="C8" s="15">
        <v>1.22766</v>
      </c>
      <c r="D8" s="15">
        <f>(C8-1)/C8</f>
        <v>0.18544222341690694</v>
      </c>
      <c r="E8" s="7">
        <v>0.40949999999999998</v>
      </c>
      <c r="F8">
        <v>144.16</v>
      </c>
      <c r="G8" s="3">
        <f t="shared" ref="G8:G13" si="0">PI()*E8^2*F8</f>
        <v>75.945572190120131</v>
      </c>
      <c r="H8" s="7" t="s">
        <v>6</v>
      </c>
      <c r="I8">
        <v>3.5000000000000003E-2</v>
      </c>
      <c r="J8">
        <v>9.5</v>
      </c>
      <c r="K8">
        <v>264</v>
      </c>
      <c r="L8" s="10">
        <f t="shared" ref="L8:L13" si="1">G8*K8*J8*((I8*235+(1-I8)*238)/((I8*235+(1-I8)*238)+2*16))</f>
        <v>167888.31329069051</v>
      </c>
      <c r="M8" s="10">
        <f t="shared" ref="M8:M13" si="2">G8*K8</f>
        <v>20049.631058191713</v>
      </c>
      <c r="N8" s="10">
        <f t="shared" ref="N8:N13" si="3">L8*X8</f>
        <v>3525654.5791045008</v>
      </c>
      <c r="O8" s="10">
        <f t="shared" ref="O8:O13" si="4">M8*X8</f>
        <v>421042.252222026</v>
      </c>
      <c r="P8" s="7" t="s">
        <v>6</v>
      </c>
      <c r="Q8">
        <v>0</v>
      </c>
      <c r="R8">
        <v>9.5</v>
      </c>
      <c r="S8">
        <v>0</v>
      </c>
      <c r="T8" s="10">
        <f t="shared" ref="T8:T13" si="5">G8*S8*R8*((Q8*235+(1-Q8)*238)/((Q8*235+(1-Q8)*238)+2*16))</f>
        <v>0</v>
      </c>
      <c r="U8" s="10">
        <f t="shared" ref="U8:U13" si="6">G8*S8</f>
        <v>0</v>
      </c>
      <c r="V8" s="10">
        <f t="shared" ref="V8:V13" si="7">T8*X8</f>
        <v>0</v>
      </c>
      <c r="W8" s="10">
        <f t="shared" ref="W8:W13" si="8">U8*X8</f>
        <v>0</v>
      </c>
      <c r="X8" s="27">
        <v>21</v>
      </c>
      <c r="Y8" s="13">
        <f t="shared" ref="Y8:Y13" si="9">X8*(M8+U8)</f>
        <v>421042.252222026</v>
      </c>
      <c r="Z8" s="13">
        <f t="shared" ref="Z8:Z13" si="10">(J8*M8+R8*U8)*X8/1000</f>
        <v>3999.9013961092464</v>
      </c>
      <c r="AA8" s="28">
        <f t="shared" ref="AA8:AA13" si="11">100000000/(X8*(L8+T8))</f>
        <v>28.363527327001933</v>
      </c>
      <c r="AC8" s="7" t="e" vm="1">
        <v>#VALUE!</v>
      </c>
    </row>
    <row r="9" spans="1:29" ht="120" customHeight="1">
      <c r="A9" s="1" t="s">
        <v>82</v>
      </c>
      <c r="B9" s="7" t="s">
        <v>81</v>
      </c>
      <c r="C9" s="15">
        <v>1.23109</v>
      </c>
      <c r="D9" s="15"/>
      <c r="E9" s="7">
        <v>0.40949999999999998</v>
      </c>
      <c r="F9">
        <v>144.16</v>
      </c>
      <c r="G9" s="3">
        <f t="shared" si="0"/>
        <v>75.945572190120131</v>
      </c>
      <c r="H9" s="7" t="s">
        <v>6</v>
      </c>
      <c r="I9">
        <v>3.5000000000000003E-2</v>
      </c>
      <c r="J9">
        <v>9.5</v>
      </c>
      <c r="K9">
        <v>264</v>
      </c>
      <c r="L9" s="10">
        <f t="shared" si="1"/>
        <v>167888.31329069051</v>
      </c>
      <c r="M9" s="10">
        <f t="shared" si="2"/>
        <v>20049.631058191713</v>
      </c>
      <c r="N9" s="10">
        <f t="shared" si="3"/>
        <v>3525654.5791045008</v>
      </c>
      <c r="O9" s="10">
        <f t="shared" si="4"/>
        <v>421042.252222026</v>
      </c>
      <c r="P9" s="7" t="s">
        <v>6</v>
      </c>
      <c r="Q9">
        <v>0</v>
      </c>
      <c r="R9">
        <v>9.5</v>
      </c>
      <c r="S9">
        <v>0</v>
      </c>
      <c r="T9" s="10">
        <f t="shared" si="5"/>
        <v>0</v>
      </c>
      <c r="U9" s="10">
        <f t="shared" si="6"/>
        <v>0</v>
      </c>
      <c r="V9" s="10">
        <f t="shared" si="7"/>
        <v>0</v>
      </c>
      <c r="W9" s="10">
        <f t="shared" si="8"/>
        <v>0</v>
      </c>
      <c r="X9" s="27">
        <v>21</v>
      </c>
      <c r="Y9" s="13">
        <f t="shared" si="9"/>
        <v>421042.252222026</v>
      </c>
      <c r="Z9" s="13">
        <f t="shared" si="10"/>
        <v>3999.9013961092464</v>
      </c>
      <c r="AA9" s="28">
        <f t="shared" si="11"/>
        <v>28.363527327001933</v>
      </c>
    </row>
    <row r="10" spans="1:29" ht="120" customHeight="1">
      <c r="A10" t="s">
        <v>64</v>
      </c>
      <c r="B10" s="7" t="s">
        <v>66</v>
      </c>
      <c r="C10" s="15">
        <v>1.2268699999999999</v>
      </c>
      <c r="D10" s="15">
        <f>(C10-1)/C10</f>
        <v>0.18491771744357588</v>
      </c>
      <c r="E10" s="7">
        <v>0.40949999999999998</v>
      </c>
      <c r="F10">
        <v>144.16</v>
      </c>
      <c r="G10" s="3">
        <f t="shared" si="0"/>
        <v>75.945572190120131</v>
      </c>
      <c r="H10" s="7" t="s">
        <v>6</v>
      </c>
      <c r="I10" s="29">
        <v>0.04</v>
      </c>
      <c r="J10">
        <v>9.5</v>
      </c>
      <c r="K10">
        <v>196</v>
      </c>
      <c r="L10" s="10">
        <f t="shared" si="1"/>
        <v>124643.42193135733</v>
      </c>
      <c r="M10" s="10">
        <f t="shared" si="2"/>
        <v>14885.332149263546</v>
      </c>
      <c r="N10" s="10">
        <f t="shared" si="3"/>
        <v>2617511.8605585038</v>
      </c>
      <c r="O10" s="10">
        <f t="shared" si="4"/>
        <v>312591.97513453447</v>
      </c>
      <c r="P10" s="7" t="s">
        <v>6</v>
      </c>
      <c r="Q10">
        <v>2.1999999999999999E-2</v>
      </c>
      <c r="R10">
        <v>9.5</v>
      </c>
      <c r="S10">
        <v>68</v>
      </c>
      <c r="T10" s="10">
        <f t="shared" si="5"/>
        <v>43244.799905423883</v>
      </c>
      <c r="U10" s="10">
        <f t="shared" si="6"/>
        <v>5164.2989089281691</v>
      </c>
      <c r="V10" s="10">
        <f t="shared" si="7"/>
        <v>908140.79801390157</v>
      </c>
      <c r="W10" s="10">
        <f t="shared" si="8"/>
        <v>108450.27708749156</v>
      </c>
      <c r="X10" s="27">
        <v>21</v>
      </c>
      <c r="Y10" s="13">
        <f t="shared" si="9"/>
        <v>421042.252222026</v>
      </c>
      <c r="Z10" s="13">
        <f t="shared" si="10"/>
        <v>3999.9013961092469</v>
      </c>
      <c r="AA10" s="28">
        <f t="shared" si="11"/>
        <v>28.363542777492903</v>
      </c>
      <c r="AC10" s="7" t="e" vm="2">
        <v>#VALUE!</v>
      </c>
    </row>
    <row r="11" spans="1:29" ht="120" customHeight="1">
      <c r="A11" t="s">
        <v>65</v>
      </c>
      <c r="B11" s="7" t="s">
        <v>67</v>
      </c>
      <c r="C11" s="15"/>
      <c r="D11" s="15"/>
      <c r="E11" s="7">
        <v>0.40949999999999998</v>
      </c>
      <c r="F11">
        <v>144.16</v>
      </c>
      <c r="G11" s="3">
        <f t="shared" si="0"/>
        <v>75.945572190120131</v>
      </c>
      <c r="H11" s="7" t="s">
        <v>6</v>
      </c>
      <c r="I11" s="29">
        <v>0.04</v>
      </c>
      <c r="J11">
        <v>9.5</v>
      </c>
      <c r="K11">
        <v>196</v>
      </c>
      <c r="L11" s="10">
        <f t="shared" si="1"/>
        <v>124643.42193135733</v>
      </c>
      <c r="M11" s="10">
        <f t="shared" si="2"/>
        <v>14885.332149263546</v>
      </c>
      <c r="N11" s="10">
        <f t="shared" si="3"/>
        <v>2617511.8605585038</v>
      </c>
      <c r="O11" s="10">
        <f t="shared" si="4"/>
        <v>312591.97513453447</v>
      </c>
      <c r="P11" s="7" t="s">
        <v>78</v>
      </c>
      <c r="Q11">
        <v>7.2040000000000003E-3</v>
      </c>
      <c r="R11">
        <v>18.7</v>
      </c>
      <c r="S11">
        <v>68</v>
      </c>
      <c r="T11" s="10">
        <f t="shared" si="5"/>
        <v>85125.856820775371</v>
      </c>
      <c r="U11" s="10">
        <f t="shared" si="6"/>
        <v>5164.2989089281691</v>
      </c>
      <c r="V11" s="10">
        <f t="shared" si="7"/>
        <v>1787642.9932362828</v>
      </c>
      <c r="W11" s="10">
        <f t="shared" si="8"/>
        <v>108450.27708749156</v>
      </c>
      <c r="X11" s="27">
        <v>21</v>
      </c>
      <c r="Y11" s="13">
        <f t="shared" si="9"/>
        <v>421042.252222026</v>
      </c>
      <c r="Z11" s="13">
        <f t="shared" si="10"/>
        <v>4997.6439453141693</v>
      </c>
      <c r="AA11" s="28">
        <f t="shared" si="11"/>
        <v>22.7006775741052</v>
      </c>
      <c r="AC11" s="7" t="e" vm="2">
        <v>#VALUE!</v>
      </c>
    </row>
    <row r="12" spans="1:29" ht="120" customHeight="1">
      <c r="A12" t="s">
        <v>97</v>
      </c>
      <c r="B12" s="7" t="s">
        <v>98</v>
      </c>
      <c r="C12" s="15"/>
      <c r="D12" s="15"/>
      <c r="E12" s="7">
        <v>0.40949999999999998</v>
      </c>
      <c r="F12">
        <v>144.16</v>
      </c>
      <c r="G12" s="3">
        <f t="shared" si="0"/>
        <v>75.945572190120131</v>
      </c>
      <c r="H12" s="7" t="s">
        <v>6</v>
      </c>
      <c r="I12" s="29">
        <v>0.04</v>
      </c>
      <c r="J12">
        <v>9.5</v>
      </c>
      <c r="K12">
        <v>196</v>
      </c>
      <c r="L12" s="10">
        <f t="shared" si="1"/>
        <v>124643.42193135733</v>
      </c>
      <c r="M12" s="10">
        <f t="shared" si="2"/>
        <v>14885.332149263546</v>
      </c>
      <c r="N12" s="10">
        <f t="shared" si="3"/>
        <v>2617511.8605585038</v>
      </c>
      <c r="O12" s="10">
        <f t="shared" si="4"/>
        <v>312591.97513453447</v>
      </c>
      <c r="P12" s="7" t="s">
        <v>6</v>
      </c>
      <c r="Q12">
        <v>2.1999999999999999E-2</v>
      </c>
      <c r="R12">
        <v>9.5</v>
      </c>
      <c r="S12">
        <v>68</v>
      </c>
      <c r="T12" s="10">
        <f t="shared" si="5"/>
        <v>43244.799905423883</v>
      </c>
      <c r="U12" s="10">
        <f t="shared" si="6"/>
        <v>5164.2989089281691</v>
      </c>
      <c r="V12" s="10">
        <f t="shared" si="7"/>
        <v>908140.79801390157</v>
      </c>
      <c r="W12" s="10">
        <f t="shared" si="8"/>
        <v>108450.27708749156</v>
      </c>
      <c r="X12" s="27">
        <v>21</v>
      </c>
      <c r="Y12" s="13">
        <f t="shared" si="9"/>
        <v>421042.252222026</v>
      </c>
      <c r="Z12" s="13">
        <f t="shared" si="10"/>
        <v>3999.9013961092469</v>
      </c>
      <c r="AA12" s="28">
        <f t="shared" si="11"/>
        <v>28.363542777492903</v>
      </c>
      <c r="AC12" s="7" t="e" vm="2">
        <v>#VALUE!</v>
      </c>
    </row>
    <row r="13" spans="1:29" ht="120" customHeight="1">
      <c r="A13" t="s">
        <v>111</v>
      </c>
      <c r="B13" s="7" t="s">
        <v>112</v>
      </c>
      <c r="C13" s="15"/>
      <c r="D13" s="15"/>
      <c r="E13" s="7">
        <v>0.40949999999999998</v>
      </c>
      <c r="F13">
        <v>144.16</v>
      </c>
      <c r="G13" s="3">
        <f t="shared" si="0"/>
        <v>75.945572190120131</v>
      </c>
      <c r="H13" s="7" t="s">
        <v>6</v>
      </c>
      <c r="I13" s="29">
        <v>3.5000000000000003E-2</v>
      </c>
      <c r="J13">
        <v>9.5</v>
      </c>
      <c r="K13">
        <v>196</v>
      </c>
      <c r="L13" s="10">
        <f t="shared" si="1"/>
        <v>124644.35380672479</v>
      </c>
      <c r="M13" s="10">
        <f t="shared" si="2"/>
        <v>14885.332149263546</v>
      </c>
      <c r="N13" s="10">
        <f t="shared" si="3"/>
        <v>2617531.4299412207</v>
      </c>
      <c r="O13" s="10">
        <f t="shared" si="4"/>
        <v>312591.97513453447</v>
      </c>
      <c r="P13" s="7" t="s">
        <v>113</v>
      </c>
      <c r="Q13" s="132">
        <v>2.5000000000000001E-3</v>
      </c>
      <c r="R13">
        <v>18.899999999999999</v>
      </c>
      <c r="S13">
        <v>68</v>
      </c>
      <c r="T13" s="10">
        <f t="shared" si="5"/>
        <v>86036.898479662763</v>
      </c>
      <c r="U13" s="10">
        <f t="shared" si="6"/>
        <v>5164.2989089281691</v>
      </c>
      <c r="V13" s="10">
        <f t="shared" si="7"/>
        <v>1806774.8680729179</v>
      </c>
      <c r="W13" s="10">
        <f t="shared" si="8"/>
        <v>108450.27708749156</v>
      </c>
      <c r="X13" s="27">
        <v>21</v>
      </c>
      <c r="Y13" s="13">
        <f t="shared" si="9"/>
        <v>421042.252222026</v>
      </c>
      <c r="Z13" s="13">
        <f t="shared" si="10"/>
        <v>5019.3340007316674</v>
      </c>
      <c r="AA13" s="28">
        <f t="shared" si="11"/>
        <v>22.602413409958814</v>
      </c>
      <c r="AC13" s="7" t="e" vm="2">
        <v>#VALUE!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topLeftCell="A8" zoomScaleNormal="85" workbookViewId="0">
      <selection activeCell="F16" sqref="F16"/>
    </sheetView>
  </sheetViews>
  <sheetFormatPr defaultColWidth="8.77734375" defaultRowHeight="14.4"/>
  <cols>
    <col min="1" max="1" width="34.33203125" customWidth="1"/>
    <col min="2" max="2" width="11.109375" style="7" customWidth="1"/>
    <col min="3" max="3" width="10" customWidth="1"/>
    <col min="4" max="4" width="8.77734375" style="7"/>
    <col min="7" max="7" width="8.77734375" style="7"/>
    <col min="8" max="8" width="6.109375" customWidth="1"/>
    <col min="9" max="9" width="7.44140625" customWidth="1"/>
    <col min="11" max="11" width="12.109375" customWidth="1"/>
    <col min="13" max="13" width="8.77734375" style="7"/>
    <col min="14" max="14" width="9.6640625" customWidth="1"/>
    <col min="15" max="15" width="7.109375" customWidth="1"/>
    <col min="17" max="17" width="10.6640625" customWidth="1"/>
    <col min="19" max="19" width="8.77734375" style="7"/>
    <col min="20" max="20" width="11.33203125" style="7" bestFit="1" customWidth="1"/>
    <col min="21" max="21" width="6.44140625" customWidth="1"/>
    <col min="22" max="22" width="19.77734375" style="7" customWidth="1"/>
  </cols>
  <sheetData>
    <row r="1" spans="1:22">
      <c r="A1" s="1"/>
      <c r="B1"/>
      <c r="D1"/>
      <c r="G1"/>
      <c r="M1"/>
      <c r="S1"/>
      <c r="T1"/>
      <c r="V1"/>
    </row>
    <row r="2" spans="1:22">
      <c r="B2"/>
      <c r="D2"/>
      <c r="G2"/>
      <c r="M2"/>
      <c r="S2"/>
      <c r="T2"/>
      <c r="V2"/>
    </row>
    <row r="3" spans="1:22">
      <c r="B3"/>
      <c r="D3"/>
      <c r="G3"/>
      <c r="M3"/>
      <c r="S3"/>
      <c r="T3"/>
      <c r="V3"/>
    </row>
    <row r="4" spans="1:22">
      <c r="B4"/>
      <c r="D4"/>
      <c r="G4"/>
      <c r="M4"/>
      <c r="S4"/>
      <c r="T4"/>
      <c r="V4"/>
    </row>
    <row r="5" spans="1:22" s="6" customFormat="1" ht="15" thickBot="1"/>
    <row r="6" spans="1:22">
      <c r="D6" s="8" t="s">
        <v>25</v>
      </c>
      <c r="F6" s="3"/>
      <c r="G6" s="8" t="s">
        <v>61</v>
      </c>
      <c r="K6" s="2" t="s">
        <v>8</v>
      </c>
      <c r="L6" s="3"/>
      <c r="M6" s="8" t="s">
        <v>62</v>
      </c>
      <c r="Q6" s="2" t="s">
        <v>8</v>
      </c>
      <c r="R6" s="3"/>
      <c r="S6" s="11" t="s">
        <v>13</v>
      </c>
      <c r="T6" s="8" t="s">
        <v>16</v>
      </c>
      <c r="U6" s="1"/>
    </row>
    <row r="7" spans="1:22" s="6" customFormat="1" ht="15" thickBot="1">
      <c r="A7" s="4" t="s">
        <v>0</v>
      </c>
      <c r="B7" s="9" t="s">
        <v>1</v>
      </c>
      <c r="C7" s="14" t="s">
        <v>17</v>
      </c>
      <c r="D7" s="9" t="s">
        <v>24</v>
      </c>
      <c r="E7" s="4" t="s">
        <v>3</v>
      </c>
      <c r="F7" s="5" t="s">
        <v>4</v>
      </c>
      <c r="G7" s="9" t="s">
        <v>5</v>
      </c>
      <c r="H7" s="4" t="s">
        <v>12</v>
      </c>
      <c r="I7" s="4" t="s">
        <v>10</v>
      </c>
      <c r="J7" s="4" t="s">
        <v>7</v>
      </c>
      <c r="K7" s="5" t="s">
        <v>11</v>
      </c>
      <c r="L7" s="5" t="s">
        <v>4</v>
      </c>
      <c r="M7" s="9" t="s">
        <v>5</v>
      </c>
      <c r="N7" s="4" t="s">
        <v>12</v>
      </c>
      <c r="O7" s="4" t="s">
        <v>10</v>
      </c>
      <c r="P7" s="4" t="s">
        <v>7</v>
      </c>
      <c r="Q7" s="5" t="s">
        <v>9</v>
      </c>
      <c r="R7" s="5" t="s">
        <v>4</v>
      </c>
      <c r="S7" s="12" t="s">
        <v>4</v>
      </c>
      <c r="T7" s="9" t="s">
        <v>14</v>
      </c>
      <c r="U7" s="4" t="s">
        <v>15</v>
      </c>
      <c r="V7" s="9" t="s">
        <v>23</v>
      </c>
    </row>
    <row r="8" spans="1:22" ht="52.8" customHeight="1">
      <c r="A8" s="1" t="s">
        <v>18</v>
      </c>
      <c r="B8" s="7" t="s">
        <v>2</v>
      </c>
      <c r="C8" s="15">
        <v>1.23</v>
      </c>
      <c r="D8" s="7">
        <v>0.40949999999999998</v>
      </c>
      <c r="E8">
        <v>426.72</v>
      </c>
      <c r="F8" s="3">
        <f>PI()*D8^2*E8</f>
        <v>224.80226529528346</v>
      </c>
      <c r="G8" s="7" t="s">
        <v>6</v>
      </c>
      <c r="H8">
        <v>7.0000000000000007E-2</v>
      </c>
      <c r="I8">
        <v>9.5</v>
      </c>
      <c r="J8">
        <v>108</v>
      </c>
      <c r="K8" s="10">
        <f>F8*J8*I8*((H8*235+(1-H8)*238)/((H8*235+(1-H8)*238)+2*16))</f>
        <v>203289.89088492587</v>
      </c>
      <c r="L8" s="10">
        <f>F8*J8</f>
        <v>24278.644651890612</v>
      </c>
      <c r="M8" s="7" t="s">
        <v>6</v>
      </c>
      <c r="N8">
        <v>7.2040000000000003E-3</v>
      </c>
      <c r="O8">
        <v>9.5</v>
      </c>
      <c r="P8">
        <v>156</v>
      </c>
      <c r="Q8" s="10">
        <f>F8*P8*O8*((N8*235+(1-N8)*238)/((N8*235+(1-N8)*238)+2*16))</f>
        <v>293668.52734053996</v>
      </c>
      <c r="R8" s="10">
        <f>F8*P8</f>
        <v>35069.153386064223</v>
      </c>
      <c r="S8" s="13">
        <f>L8+R8</f>
        <v>59347.798037954839</v>
      </c>
      <c r="T8" s="7">
        <f>100000000/(238/(238+32)*4000000)</f>
        <v>28.361344537815125</v>
      </c>
      <c r="V8" s="133" t="e" vm="3">
        <v>#VALUE!</v>
      </c>
    </row>
    <row r="9" spans="1:22" ht="52.2" customHeight="1" thickBot="1">
      <c r="A9" t="s">
        <v>19</v>
      </c>
      <c r="B9" s="7" t="s">
        <v>2</v>
      </c>
      <c r="D9" s="7">
        <v>0.40949999999999998</v>
      </c>
      <c r="E9">
        <v>426.72</v>
      </c>
      <c r="F9" s="3">
        <f>PI()*D9^2*E9</f>
        <v>224.80226529528346</v>
      </c>
      <c r="G9" s="7" t="s">
        <v>6</v>
      </c>
      <c r="H9">
        <v>7.0000000000000007E-2</v>
      </c>
      <c r="I9">
        <v>9.5</v>
      </c>
      <c r="J9">
        <v>108</v>
      </c>
      <c r="K9" s="10">
        <f>F9*J9*I9*((H9*235+(1-H9)*238)/((H9*235+(1-H9)*238)+2*16))</f>
        <v>203289.89088492587</v>
      </c>
      <c r="L9" s="10">
        <f>F9*J9</f>
        <v>24278.644651890612</v>
      </c>
      <c r="M9" s="7" t="s">
        <v>20</v>
      </c>
      <c r="N9">
        <v>7.2040000000000003E-3</v>
      </c>
      <c r="O9">
        <v>18.5</v>
      </c>
      <c r="Q9" s="10">
        <f>F9*P9*O9*((N9*235+(1-N9)*238)/((N9*235+(1-N9)*238)+2*16))</f>
        <v>0</v>
      </c>
      <c r="R9" s="10">
        <f>F9*P9</f>
        <v>0</v>
      </c>
      <c r="S9" s="13">
        <f>L9+R9</f>
        <v>24278.644651890612</v>
      </c>
      <c r="V9" s="134"/>
    </row>
    <row r="10" spans="1:22" ht="52.8" customHeight="1">
      <c r="A10" s="1" t="s">
        <v>21</v>
      </c>
      <c r="B10" s="7" t="s">
        <v>2</v>
      </c>
      <c r="C10" s="15">
        <v>1.3210299999999999</v>
      </c>
      <c r="D10" s="7">
        <v>0.40949999999999998</v>
      </c>
      <c r="E10">
        <v>426.72</v>
      </c>
      <c r="F10" s="3">
        <f>PI()*D10^2*E10</f>
        <v>224.80226529528346</v>
      </c>
      <c r="G10" s="7" t="s">
        <v>6</v>
      </c>
      <c r="H10">
        <v>7.0000000000000007E-2</v>
      </c>
      <c r="I10">
        <v>9.5</v>
      </c>
      <c r="J10">
        <v>144</v>
      </c>
      <c r="K10" s="10">
        <f>F10*J10*I10*((H10*235+(1-H10)*238)/((H10*235+(1-H10)*238)+2*16))</f>
        <v>271053.18784656783</v>
      </c>
      <c r="L10" s="10">
        <f>F10*J10</f>
        <v>32371.526202520818</v>
      </c>
      <c r="M10" s="7" t="s">
        <v>6</v>
      </c>
      <c r="N10">
        <v>7.2040000000000003E-3</v>
      </c>
      <c r="O10">
        <v>9.5</v>
      </c>
      <c r="P10">
        <v>120</v>
      </c>
      <c r="Q10" s="10">
        <f>F10*P10*O10*((N10*235+(1-N10)*238)/((N10*235+(1-N10)*238)+2*16))</f>
        <v>225898.86718503071</v>
      </c>
      <c r="R10" s="10">
        <f>F10*P10</f>
        <v>26976.271835434014</v>
      </c>
      <c r="S10" s="13">
        <f>L10+R10</f>
        <v>59347.798037954832</v>
      </c>
      <c r="T10" s="7">
        <f>100000000/(238/(238+32)*4000000)</f>
        <v>28.361344537815125</v>
      </c>
      <c r="V10" s="133" t="e" vm="4">
        <v>#VALUE!</v>
      </c>
    </row>
    <row r="11" spans="1:22" ht="52.8" customHeight="1">
      <c r="A11" t="s">
        <v>22</v>
      </c>
      <c r="B11" s="7" t="s">
        <v>2</v>
      </c>
      <c r="D11" s="7">
        <v>0.40949999999999998</v>
      </c>
      <c r="E11">
        <v>426.72</v>
      </c>
      <c r="F11" s="3">
        <f>PI()*D11^2*E11</f>
        <v>224.80226529528346</v>
      </c>
      <c r="G11" s="7" t="s">
        <v>6</v>
      </c>
      <c r="H11">
        <v>7.0000000000000007E-2</v>
      </c>
      <c r="I11">
        <v>9.5</v>
      </c>
      <c r="J11">
        <v>144</v>
      </c>
      <c r="K11" s="10">
        <f>F11*J11*I11*((H11*235+(1-H11)*238)/((H11*235+(1-H11)*238)+2*16))</f>
        <v>271053.18784656783</v>
      </c>
      <c r="L11" s="10">
        <f>F11*J11</f>
        <v>32371.526202520818</v>
      </c>
      <c r="M11" s="7" t="s">
        <v>20</v>
      </c>
      <c r="N11">
        <v>7.2040000000000003E-3</v>
      </c>
      <c r="O11">
        <v>18.5</v>
      </c>
      <c r="Q11" s="10">
        <f>F11*P11*O11*((N11*235+(1-N11)*238)/((N11*235+(1-N11)*238)+2*16))</f>
        <v>0</v>
      </c>
      <c r="R11" s="10">
        <f>F11*P11</f>
        <v>0</v>
      </c>
      <c r="S11" s="13">
        <f>L11+R11</f>
        <v>32371.526202520818</v>
      </c>
      <c r="V11" s="134"/>
    </row>
    <row r="12" spans="1:22" ht="52.8" customHeight="1">
      <c r="A12" s="1" t="s">
        <v>60</v>
      </c>
      <c r="B12" s="7" t="s">
        <v>2</v>
      </c>
      <c r="F12" s="3"/>
      <c r="K12" s="10"/>
      <c r="L12" s="10"/>
      <c r="Q12" s="10"/>
      <c r="R12" s="10"/>
      <c r="S12" s="13"/>
      <c r="V12" s="16"/>
    </row>
    <row r="13" spans="1:22" ht="52.8" customHeight="1">
      <c r="A13" t="s">
        <v>35</v>
      </c>
      <c r="F13" s="3"/>
      <c r="K13" s="10"/>
      <c r="L13" s="10"/>
      <c r="Q13" s="10"/>
      <c r="R13" s="10"/>
      <c r="S13" s="13"/>
      <c r="V13" s="16"/>
    </row>
    <row r="15" spans="1:22" ht="53.55" customHeight="1">
      <c r="A15" s="1" t="s">
        <v>27</v>
      </c>
      <c r="B15" s="7" t="s">
        <v>26</v>
      </c>
      <c r="C15" s="15">
        <v>1.1863300000000001</v>
      </c>
      <c r="D15" s="7">
        <v>0.40949999999999998</v>
      </c>
      <c r="E15">
        <v>426.72</v>
      </c>
      <c r="F15" s="3">
        <f>PI()*D15^2*E15</f>
        <v>224.80226529528346</v>
      </c>
      <c r="G15" s="7" t="s">
        <v>6</v>
      </c>
      <c r="H15">
        <v>7.0000000000000007E-2</v>
      </c>
      <c r="I15">
        <v>9.5</v>
      </c>
      <c r="J15">
        <v>80</v>
      </c>
      <c r="K15" s="10">
        <f>F15*J15*I15*((H15*235+(1-H15)*238)/((H15*235+(1-H15)*238)+2*16))</f>
        <v>150585.10435920436</v>
      </c>
      <c r="L15" s="10">
        <f>F15*J15</f>
        <v>17984.181223622676</v>
      </c>
      <c r="M15" s="7" t="s">
        <v>6</v>
      </c>
      <c r="N15">
        <v>7.2040000000000003E-3</v>
      </c>
      <c r="O15">
        <v>9.5</v>
      </c>
      <c r="P15">
        <v>156</v>
      </c>
      <c r="Q15" s="10">
        <f>F15*P15*O15*((N15*235+(1-N15)*238)/((N15*235+(1-N15)*238)+2*16))</f>
        <v>293668.52734053996</v>
      </c>
      <c r="R15" s="10">
        <f>F15*P15</f>
        <v>35069.153386064223</v>
      </c>
      <c r="S15" s="13">
        <f>L15+R15</f>
        <v>53053.334609686899</v>
      </c>
      <c r="T15" s="7">
        <f>100000000/(238/(238+32)*4000000)</f>
        <v>28.361344537815125</v>
      </c>
      <c r="V15" s="134" t="e" vm="5">
        <v>#VALUE!</v>
      </c>
    </row>
    <row r="16" spans="1:22" ht="53.55" customHeight="1">
      <c r="A16" t="s">
        <v>28</v>
      </c>
      <c r="B16" s="7" t="s">
        <v>26</v>
      </c>
      <c r="V16" s="134"/>
    </row>
    <row r="17" spans="1:22" ht="53.55" customHeight="1">
      <c r="A17" s="1" t="s">
        <v>29</v>
      </c>
      <c r="B17" s="7" t="s">
        <v>26</v>
      </c>
      <c r="C17" s="15">
        <v>1.3231599999999999</v>
      </c>
      <c r="D17" s="7">
        <v>0.40949999999999998</v>
      </c>
      <c r="E17">
        <v>426.72</v>
      </c>
      <c r="F17" s="3">
        <f>PI()*D17^2*E17</f>
        <v>224.80226529528346</v>
      </c>
      <c r="G17" s="7" t="s">
        <v>6</v>
      </c>
      <c r="H17">
        <v>7.0000000000000007E-2</v>
      </c>
      <c r="I17">
        <v>9.5</v>
      </c>
      <c r="J17">
        <v>124</v>
      </c>
      <c r="K17" s="10">
        <f>F17*J17*I17*((H17*235+(1-H17)*238)/((H17*235+(1-H17)*238)+2*16))</f>
        <v>233406.91175676673</v>
      </c>
      <c r="L17" s="10">
        <f>F17*J17</f>
        <v>27875.48089661515</v>
      </c>
      <c r="M17" s="7" t="s">
        <v>6</v>
      </c>
      <c r="N17">
        <v>7.2040000000000003E-3</v>
      </c>
      <c r="O17">
        <v>9.5</v>
      </c>
      <c r="P17">
        <v>112</v>
      </c>
      <c r="Q17" s="10">
        <f>F17*P17*O17*((N17*235+(1-N17)*238)/((N17*235+(1-N17)*238)+2*16))</f>
        <v>210838.94270602867</v>
      </c>
      <c r="R17" s="10">
        <f>F17*P17</f>
        <v>25177.853713071749</v>
      </c>
      <c r="S17" s="13">
        <f>L17+R17</f>
        <v>53053.334609686899</v>
      </c>
      <c r="T17" s="7">
        <f>100000000/(238/(238+32)*4000000)</f>
        <v>28.361344537815125</v>
      </c>
      <c r="V17" s="134" t="e" vm="6">
        <v>#VALUE!</v>
      </c>
    </row>
    <row r="18" spans="1:22" ht="52.8" customHeight="1">
      <c r="A18" t="s">
        <v>30</v>
      </c>
      <c r="B18" s="7" t="s">
        <v>26</v>
      </c>
      <c r="G18" s="7" t="s">
        <v>20</v>
      </c>
      <c r="H18">
        <v>7.2040000000000003E-3</v>
      </c>
      <c r="I18">
        <v>18.5</v>
      </c>
      <c r="M18" s="7" t="s">
        <v>20</v>
      </c>
      <c r="N18">
        <v>7.2040000000000003E-3</v>
      </c>
      <c r="O18">
        <v>18.5</v>
      </c>
      <c r="V18" s="134"/>
    </row>
    <row r="19" spans="1:22" ht="53.55" customHeight="1">
      <c r="A19" s="1" t="s">
        <v>33</v>
      </c>
      <c r="B19" s="7" t="s">
        <v>26</v>
      </c>
      <c r="G19" s="7" t="s">
        <v>6</v>
      </c>
      <c r="H19">
        <v>7.2040000000000003E-3</v>
      </c>
      <c r="I19">
        <v>9.5</v>
      </c>
      <c r="M19" s="7" t="s">
        <v>6</v>
      </c>
      <c r="N19">
        <v>7.2040000000000003E-3</v>
      </c>
      <c r="O19">
        <v>9.5</v>
      </c>
      <c r="V19" s="134"/>
    </row>
    <row r="20" spans="1:22" ht="53.55" customHeight="1">
      <c r="A20" t="s">
        <v>34</v>
      </c>
      <c r="B20" s="7" t="s">
        <v>26</v>
      </c>
      <c r="G20" s="7" t="s">
        <v>20</v>
      </c>
      <c r="H20">
        <v>7.2040000000000003E-3</v>
      </c>
      <c r="I20">
        <v>18.5</v>
      </c>
      <c r="M20" s="7" t="s">
        <v>20</v>
      </c>
      <c r="N20">
        <v>7.2040000000000003E-3</v>
      </c>
      <c r="O20">
        <v>18.5</v>
      </c>
      <c r="V20" s="134"/>
    </row>
    <row r="27" spans="1:22">
      <c r="B27" s="7" t="s">
        <v>31</v>
      </c>
    </row>
    <row r="28" spans="1:22">
      <c r="B28" s="7" t="s">
        <v>32</v>
      </c>
    </row>
  </sheetData>
  <mergeCells count="5">
    <mergeCell ref="V8:V9"/>
    <mergeCell ref="V10:V11"/>
    <mergeCell ref="V15:V16"/>
    <mergeCell ref="V17:V18"/>
    <mergeCell ref="V19:V20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428C-A2D0-4C30-9161-4343E51EC6DC}">
  <dimension ref="A1:BB61"/>
  <sheetViews>
    <sheetView topLeftCell="A25" zoomScale="141" zoomScaleNormal="130" workbookViewId="0">
      <selection activeCell="H14" sqref="H14"/>
    </sheetView>
  </sheetViews>
  <sheetFormatPr defaultColWidth="8.77734375" defaultRowHeight="14.4"/>
  <cols>
    <col min="1" max="1" width="10.77734375" customWidth="1"/>
    <col min="2" max="2" width="12.33203125" customWidth="1"/>
    <col min="3" max="3" width="10.33203125" style="7" customWidth="1"/>
    <col min="4" max="4" width="16.44140625" customWidth="1"/>
    <col min="6" max="6" width="9.44140625" customWidth="1"/>
    <col min="7" max="8" width="11.77734375" customWidth="1"/>
    <col min="9" max="9" width="10.109375" style="7" customWidth="1"/>
    <col min="10" max="10" width="12.109375" customWidth="1"/>
    <col min="11" max="11" width="8.77734375" style="7"/>
    <col min="12" max="12" width="9.77734375" customWidth="1"/>
    <col min="14" max="14" width="8.77734375" style="7"/>
    <col min="15" max="15" width="9.77734375" customWidth="1"/>
    <col min="17" max="17" width="8.77734375" style="7"/>
    <col min="18" max="18" width="9.77734375" customWidth="1"/>
    <col min="20" max="20" width="8.77734375" style="7"/>
    <col min="21" max="21" width="9.77734375" customWidth="1"/>
    <col min="23" max="23" width="8.77734375" style="7"/>
    <col min="24" max="24" width="9.77734375" customWidth="1"/>
    <col min="29" max="29" width="8.77734375" style="7"/>
    <col min="30" max="30" width="10.33203125" customWidth="1"/>
    <col min="32" max="32" width="8.77734375" style="7"/>
  </cols>
  <sheetData>
    <row r="1" spans="1:36" s="18" customFormat="1">
      <c r="C1" s="20"/>
      <c r="I1" s="20"/>
      <c r="K1" s="20"/>
      <c r="N1" s="20"/>
      <c r="Q1" s="20"/>
      <c r="T1" s="20"/>
      <c r="W1" s="20"/>
      <c r="AC1" s="20"/>
      <c r="AF1" s="20"/>
    </row>
    <row r="2" spans="1:36">
      <c r="A2" s="1" t="s">
        <v>1</v>
      </c>
      <c r="B2" t="s">
        <v>93</v>
      </c>
      <c r="I2" s="8" t="s">
        <v>44</v>
      </c>
      <c r="K2" s="8" t="s">
        <v>47</v>
      </c>
      <c r="N2" s="8" t="s">
        <v>48</v>
      </c>
      <c r="O2" s="1"/>
      <c r="P2" s="1"/>
      <c r="Q2" s="8" t="s">
        <v>49</v>
      </c>
      <c r="T2" s="8" t="s">
        <v>50</v>
      </c>
      <c r="U2" s="1"/>
      <c r="V2" s="1"/>
      <c r="W2" s="8" t="s">
        <v>51</v>
      </c>
      <c r="AC2" s="8" t="s">
        <v>52</v>
      </c>
      <c r="AF2" s="8" t="s">
        <v>56</v>
      </c>
    </row>
    <row r="3" spans="1:36">
      <c r="A3" s="1" t="s">
        <v>36</v>
      </c>
      <c r="B3" t="s">
        <v>37</v>
      </c>
      <c r="C3" s="8" t="s">
        <v>43</v>
      </c>
      <c r="D3" s="1" t="s">
        <v>39</v>
      </c>
      <c r="E3" s="1" t="s">
        <v>40</v>
      </c>
      <c r="F3" s="1" t="s">
        <v>41</v>
      </c>
      <c r="G3" s="1" t="s">
        <v>42</v>
      </c>
      <c r="H3" s="1" t="s">
        <v>57</v>
      </c>
      <c r="I3" s="8" t="s">
        <v>45</v>
      </c>
      <c r="J3" s="1" t="s">
        <v>46</v>
      </c>
      <c r="K3" s="8" t="s">
        <v>53</v>
      </c>
      <c r="L3" s="1" t="s">
        <v>54</v>
      </c>
      <c r="M3" s="1" t="s">
        <v>55</v>
      </c>
      <c r="N3" s="8" t="s">
        <v>53</v>
      </c>
      <c r="O3" s="1" t="s">
        <v>54</v>
      </c>
      <c r="P3" s="1" t="s">
        <v>55</v>
      </c>
      <c r="Q3" s="8" t="s">
        <v>53</v>
      </c>
      <c r="R3" s="1" t="s">
        <v>54</v>
      </c>
      <c r="S3" s="1" t="s">
        <v>55</v>
      </c>
      <c r="T3" s="8" t="s">
        <v>53</v>
      </c>
      <c r="U3" s="1" t="s">
        <v>54</v>
      </c>
      <c r="V3" s="1" t="s">
        <v>55</v>
      </c>
      <c r="W3" s="8" t="s">
        <v>53</v>
      </c>
      <c r="X3" s="1" t="s">
        <v>54</v>
      </c>
      <c r="Y3" s="1" t="s">
        <v>55</v>
      </c>
      <c r="Z3" s="1"/>
      <c r="AA3" s="1"/>
      <c r="AB3" s="1"/>
      <c r="AC3" s="8" t="s">
        <v>53</v>
      </c>
      <c r="AD3" s="1" t="s">
        <v>54</v>
      </c>
      <c r="AE3" s="1" t="s">
        <v>55</v>
      </c>
      <c r="AF3" s="8" t="s">
        <v>53</v>
      </c>
      <c r="AG3" s="1" t="s">
        <v>54</v>
      </c>
      <c r="AH3" s="1" t="s">
        <v>55</v>
      </c>
    </row>
    <row r="4" spans="1:36">
      <c r="A4" s="1" t="s">
        <v>38</v>
      </c>
      <c r="B4" t="s">
        <v>92</v>
      </c>
      <c r="C4" s="7">
        <v>0</v>
      </c>
      <c r="D4">
        <v>0</v>
      </c>
      <c r="E4">
        <v>1.3210299999999999</v>
      </c>
      <c r="F4">
        <v>2.0000000000000001E-4</v>
      </c>
      <c r="G4">
        <v>0.234015</v>
      </c>
      <c r="H4" s="23">
        <f>G4/0.0075</f>
        <v>31.202000000000002</v>
      </c>
      <c r="I4" s="21">
        <v>0.855182</v>
      </c>
      <c r="J4" s="17">
        <v>0.144818</v>
      </c>
      <c r="Q4" s="7">
        <v>0</v>
      </c>
      <c r="R4">
        <v>0</v>
      </c>
      <c r="S4">
        <v>0</v>
      </c>
      <c r="T4" s="7">
        <v>0</v>
      </c>
      <c r="U4">
        <v>0</v>
      </c>
      <c r="V4">
        <v>0</v>
      </c>
      <c r="W4" s="7">
        <v>0</v>
      </c>
      <c r="X4">
        <v>0</v>
      </c>
      <c r="Y4">
        <v>0</v>
      </c>
      <c r="AC4" s="7">
        <v>0</v>
      </c>
      <c r="AD4">
        <v>0</v>
      </c>
      <c r="AE4">
        <v>0</v>
      </c>
    </row>
    <row r="5" spans="1:36">
      <c r="A5" s="1" t="s">
        <v>87</v>
      </c>
      <c r="B5" t="s">
        <v>90</v>
      </c>
      <c r="C5" s="7">
        <v>3.5259299999999998</v>
      </c>
      <c r="D5">
        <v>0.1</v>
      </c>
      <c r="E5">
        <v>1.2801400000000001</v>
      </c>
      <c r="F5">
        <v>1.9000000000000001E-4</v>
      </c>
      <c r="G5">
        <v>0.218835</v>
      </c>
      <c r="H5" s="23">
        <f t="shared" ref="H5:H11" si="0">G5/0.0075</f>
        <v>29.178000000000001</v>
      </c>
      <c r="I5" s="21">
        <v>0.85313700000000003</v>
      </c>
      <c r="J5" s="17">
        <v>0.14686299999999999</v>
      </c>
      <c r="K5" s="21">
        <v>18690</v>
      </c>
      <c r="L5" s="17">
        <v>1599</v>
      </c>
      <c r="M5" s="17">
        <f>K5+L5</f>
        <v>20289</v>
      </c>
      <c r="N5" s="21">
        <v>252200</v>
      </c>
      <c r="O5" s="17">
        <v>224200</v>
      </c>
      <c r="P5" s="17">
        <f>N5+O5</f>
        <v>476400</v>
      </c>
      <c r="Q5" s="21">
        <v>4.97</v>
      </c>
      <c r="R5" s="17">
        <v>4.4950000000000001</v>
      </c>
      <c r="S5" s="17">
        <f>Q5+R5</f>
        <v>9.4649999999999999</v>
      </c>
      <c r="T5" s="21">
        <v>1.443E-2</v>
      </c>
      <c r="U5" s="17">
        <v>1.6140000000000002E-2</v>
      </c>
      <c r="V5" s="17">
        <f>T5+U5</f>
        <v>3.057E-2</v>
      </c>
      <c r="W5" s="21">
        <v>6.0279999999999999E-5</v>
      </c>
      <c r="X5" s="17">
        <v>6.7230000000000005E-5</v>
      </c>
      <c r="Y5" s="17">
        <f>W5+X5</f>
        <v>1.2751E-4</v>
      </c>
      <c r="Z5" s="17"/>
      <c r="AA5" s="17"/>
      <c r="AB5" s="17"/>
      <c r="AC5" s="21">
        <f>Q5+T5+W5</f>
        <v>4.9844902799999993</v>
      </c>
      <c r="AD5" s="17">
        <f>R5+U5+X5</f>
        <v>4.5112072300000001</v>
      </c>
      <c r="AE5" s="17">
        <f>AC5+AD5</f>
        <v>9.4956975099999994</v>
      </c>
      <c r="AF5" s="21">
        <f t="shared" ref="AF5:AH11" si="1">Q5/AC5</f>
        <v>0.99709292642055281</v>
      </c>
      <c r="AG5" s="17">
        <f t="shared" si="1"/>
        <v>0.99640734083501636</v>
      </c>
      <c r="AH5" s="17">
        <f t="shared" si="1"/>
        <v>0.99676721905182097</v>
      </c>
      <c r="AJ5" s="1" t="s">
        <v>58</v>
      </c>
    </row>
    <row r="6" spans="1:36">
      <c r="A6" s="135" t="e" vm="4">
        <v>#VALUE!</v>
      </c>
      <c r="B6" s="136"/>
      <c r="C6" s="7">
        <v>35.259300000000003</v>
      </c>
      <c r="D6">
        <v>1</v>
      </c>
      <c r="E6">
        <v>1.2679499999999999</v>
      </c>
      <c r="F6">
        <v>2.1000000000000001E-4</v>
      </c>
      <c r="G6">
        <v>0.21132500000000001</v>
      </c>
      <c r="H6" s="23">
        <f t="shared" si="0"/>
        <v>28.176666666666669</v>
      </c>
      <c r="I6" s="21">
        <v>0.84282800000000002</v>
      </c>
      <c r="J6" s="17">
        <v>0.15717200000000001</v>
      </c>
      <c r="K6" s="21">
        <v>18230</v>
      </c>
      <c r="L6" s="17">
        <v>1532</v>
      </c>
      <c r="M6" s="17">
        <f t="shared" ref="M6:M11" si="2">K6+L6</f>
        <v>19762</v>
      </c>
      <c r="N6" s="21">
        <v>252100</v>
      </c>
      <c r="O6" s="17">
        <v>224100</v>
      </c>
      <c r="P6" s="17">
        <f t="shared" ref="P6:P11" si="3">N6+O6</f>
        <v>476200</v>
      </c>
      <c r="Q6" s="21">
        <v>117.6</v>
      </c>
      <c r="R6" s="17">
        <v>100.1</v>
      </c>
      <c r="S6" s="17">
        <f t="shared" ref="S6:S11" si="4">Q6+R6</f>
        <v>217.7</v>
      </c>
      <c r="T6" s="21">
        <v>2.08</v>
      </c>
      <c r="U6" s="17">
        <v>2.5310000000000001</v>
      </c>
      <c r="V6" s="17">
        <f t="shared" ref="V6:V11" si="5">T6+U6</f>
        <v>4.6110000000000007</v>
      </c>
      <c r="W6" s="21">
        <v>9.1579999999999995E-2</v>
      </c>
      <c r="X6" s="17">
        <v>0.1072</v>
      </c>
      <c r="Y6" s="17">
        <f t="shared" ref="Y6:Y11" si="6">W6+X6</f>
        <v>0.19878000000000001</v>
      </c>
      <c r="Z6" s="17"/>
      <c r="AA6" s="17"/>
      <c r="AB6" s="17"/>
      <c r="AC6" s="21">
        <f t="shared" ref="AC6:AC11" si="7">Q6+T6+W6</f>
        <v>119.77157999999999</v>
      </c>
      <c r="AD6" s="17">
        <f t="shared" ref="AD6:AD11" si="8">R6+U6+X6</f>
        <v>102.73820000000001</v>
      </c>
      <c r="AE6" s="17">
        <f t="shared" ref="AE6:AE11" si="9">AC6+AD6</f>
        <v>222.50977999999998</v>
      </c>
      <c r="AF6" s="21">
        <f t="shared" si="1"/>
        <v>0.98186898761793084</v>
      </c>
      <c r="AG6" s="17">
        <f t="shared" si="1"/>
        <v>0.9743211385833116</v>
      </c>
      <c r="AH6" s="17">
        <f t="shared" si="1"/>
        <v>0.97838396137014749</v>
      </c>
      <c r="AJ6" s="25">
        <f>4.77*222.50978*7</f>
        <v>7429.6015541999986</v>
      </c>
    </row>
    <row r="7" spans="1:36">
      <c r="A7" s="135"/>
      <c r="B7" s="136"/>
      <c r="C7" s="7">
        <v>352.59300000000002</v>
      </c>
      <c r="D7">
        <v>10</v>
      </c>
      <c r="E7">
        <v>1.1862299999999999</v>
      </c>
      <c r="F7">
        <v>1.9000000000000001E-4</v>
      </c>
      <c r="G7">
        <v>0.15699299999999999</v>
      </c>
      <c r="H7" s="23">
        <f t="shared" si="0"/>
        <v>20.932400000000001</v>
      </c>
      <c r="I7" s="21">
        <v>0.79603299999999999</v>
      </c>
      <c r="J7" s="17">
        <v>0.20396700000000001</v>
      </c>
      <c r="K7" s="21">
        <v>14010</v>
      </c>
      <c r="L7" s="17">
        <v>1078</v>
      </c>
      <c r="M7" s="17">
        <f t="shared" si="2"/>
        <v>15088</v>
      </c>
      <c r="N7" s="21">
        <v>250600</v>
      </c>
      <c r="O7" s="17">
        <v>223200</v>
      </c>
      <c r="P7" s="17">
        <f t="shared" si="3"/>
        <v>473800</v>
      </c>
      <c r="Q7" s="21">
        <v>893.3</v>
      </c>
      <c r="R7" s="17">
        <v>576.79999999999995</v>
      </c>
      <c r="S7" s="17">
        <f t="shared" si="4"/>
        <v>1470.1</v>
      </c>
      <c r="T7" s="21">
        <v>122.3</v>
      </c>
      <c r="U7" s="17">
        <v>103.5</v>
      </c>
      <c r="V7" s="17">
        <f t="shared" si="5"/>
        <v>225.8</v>
      </c>
      <c r="W7" s="21">
        <v>56.26</v>
      </c>
      <c r="X7" s="17">
        <v>35.72</v>
      </c>
      <c r="Y7" s="17">
        <f t="shared" si="6"/>
        <v>91.97999999999999</v>
      </c>
      <c r="Z7" s="17"/>
      <c r="AA7" s="17"/>
      <c r="AB7" s="17"/>
      <c r="AC7" s="21">
        <f t="shared" si="7"/>
        <v>1071.8599999999999</v>
      </c>
      <c r="AD7" s="17">
        <f t="shared" si="8"/>
        <v>716.02</v>
      </c>
      <c r="AE7" s="17">
        <f t="shared" si="9"/>
        <v>1787.8799999999999</v>
      </c>
      <c r="AF7" s="21">
        <f t="shared" si="1"/>
        <v>0.83341107980519846</v>
      </c>
      <c r="AG7" s="17">
        <f t="shared" si="1"/>
        <v>0.8055640903885366</v>
      </c>
      <c r="AH7" s="17">
        <f t="shared" si="1"/>
        <v>0.82225876457032909</v>
      </c>
    </row>
    <row r="8" spans="1:36">
      <c r="A8" s="135"/>
      <c r="B8" s="136"/>
      <c r="C8" s="7">
        <v>705.18499999999995</v>
      </c>
      <c r="D8">
        <v>20</v>
      </c>
      <c r="E8">
        <v>1.1071800000000001</v>
      </c>
      <c r="F8">
        <v>2.1000000000000001E-4</v>
      </c>
      <c r="G8">
        <v>9.6804000000000001E-2</v>
      </c>
      <c r="H8" s="23">
        <f t="shared" si="0"/>
        <v>12.907200000000001</v>
      </c>
      <c r="I8" s="21">
        <v>0.76228899999999999</v>
      </c>
      <c r="J8" s="17">
        <v>0.23771100000000001</v>
      </c>
      <c r="K8" s="21">
        <v>10220</v>
      </c>
      <c r="L8" s="17">
        <v>720.4</v>
      </c>
      <c r="M8" s="17">
        <f t="shared" si="2"/>
        <v>10940.4</v>
      </c>
      <c r="N8" s="21">
        <v>248800</v>
      </c>
      <c r="O8" s="17">
        <v>221900</v>
      </c>
      <c r="P8" s="17">
        <f t="shared" si="3"/>
        <v>470700</v>
      </c>
      <c r="Q8" s="21">
        <v>1315</v>
      </c>
      <c r="R8" s="17">
        <v>837.7</v>
      </c>
      <c r="S8" s="17">
        <f t="shared" si="4"/>
        <v>2152.6999999999998</v>
      </c>
      <c r="T8" s="21">
        <v>291</v>
      </c>
      <c r="U8" s="17">
        <v>240.4</v>
      </c>
      <c r="V8" s="17">
        <f t="shared" si="5"/>
        <v>531.4</v>
      </c>
      <c r="W8" s="21">
        <v>201</v>
      </c>
      <c r="X8" s="17">
        <v>124.9</v>
      </c>
      <c r="Y8" s="17">
        <f t="shared" si="6"/>
        <v>325.89999999999998</v>
      </c>
      <c r="Z8" s="17"/>
      <c r="AA8" s="17"/>
      <c r="AB8" s="17"/>
      <c r="AC8" s="21">
        <f t="shared" si="7"/>
        <v>1807</v>
      </c>
      <c r="AD8" s="17">
        <f t="shared" si="8"/>
        <v>1203.0000000000002</v>
      </c>
      <c r="AE8" s="17">
        <f t="shared" si="9"/>
        <v>3010</v>
      </c>
      <c r="AF8" s="21">
        <f t="shared" si="1"/>
        <v>0.7277255118981738</v>
      </c>
      <c r="AG8" s="17">
        <f t="shared" si="1"/>
        <v>0.69634247714048203</v>
      </c>
      <c r="AH8" s="17">
        <f t="shared" si="1"/>
        <v>0.71518272425249163</v>
      </c>
    </row>
    <row r="9" spans="1:36">
      <c r="A9" s="135"/>
      <c r="B9" s="136"/>
      <c r="C9" s="7">
        <v>1057.78</v>
      </c>
      <c r="D9">
        <v>30</v>
      </c>
      <c r="E9">
        <v>1.03565</v>
      </c>
      <c r="F9">
        <v>1.9000000000000001E-4</v>
      </c>
      <c r="G9">
        <v>3.4423000000000002E-2</v>
      </c>
      <c r="H9" s="23">
        <f t="shared" si="0"/>
        <v>4.5897333333333341</v>
      </c>
      <c r="I9" s="21">
        <v>0.73345199999999999</v>
      </c>
      <c r="J9" s="17">
        <v>0.26654800000000001</v>
      </c>
      <c r="K9" s="21">
        <v>7165</v>
      </c>
      <c r="L9" s="17">
        <v>473.9</v>
      </c>
      <c r="M9" s="17">
        <f t="shared" si="2"/>
        <v>7638.9</v>
      </c>
      <c r="N9" s="21">
        <v>246800</v>
      </c>
      <c r="O9" s="17">
        <v>220500</v>
      </c>
      <c r="P9" s="17">
        <f t="shared" si="3"/>
        <v>467300</v>
      </c>
      <c r="Q9" s="21">
        <v>1503</v>
      </c>
      <c r="R9" s="17">
        <v>975.7</v>
      </c>
      <c r="S9" s="17">
        <f t="shared" si="4"/>
        <v>2478.6999999999998</v>
      </c>
      <c r="T9" s="21">
        <v>457.8</v>
      </c>
      <c r="U9" s="17">
        <v>366</v>
      </c>
      <c r="V9" s="17">
        <f t="shared" si="5"/>
        <v>823.8</v>
      </c>
      <c r="W9" s="21">
        <v>334.8</v>
      </c>
      <c r="X9" s="17">
        <v>206.4</v>
      </c>
      <c r="Y9" s="17">
        <f t="shared" si="6"/>
        <v>541.20000000000005</v>
      </c>
      <c r="Z9" s="17"/>
      <c r="AA9" s="17"/>
      <c r="AB9" s="17"/>
      <c r="AC9" s="21">
        <f t="shared" si="7"/>
        <v>2295.6</v>
      </c>
      <c r="AD9" s="17">
        <f t="shared" si="8"/>
        <v>1548.1000000000001</v>
      </c>
      <c r="AE9" s="17">
        <f t="shared" si="9"/>
        <v>3843.7</v>
      </c>
      <c r="AF9" s="21">
        <f t="shared" si="1"/>
        <v>0.65473078933612128</v>
      </c>
      <c r="AG9" s="17">
        <f t="shared" si="1"/>
        <v>0.63025644338221043</v>
      </c>
      <c r="AH9" s="17">
        <f t="shared" si="1"/>
        <v>0.64487342924786006</v>
      </c>
    </row>
    <row r="10" spans="1:36">
      <c r="A10" s="135"/>
      <c r="B10" s="136"/>
      <c r="C10" s="7">
        <v>1410.37</v>
      </c>
      <c r="D10">
        <v>40</v>
      </c>
      <c r="E10">
        <v>0.96836999999999995</v>
      </c>
      <c r="F10">
        <v>1.9000000000000001E-4</v>
      </c>
      <c r="G10">
        <v>-3.2662999999999998E-2</v>
      </c>
      <c r="H10" s="23">
        <f t="shared" si="0"/>
        <v>-4.3550666666666666</v>
      </c>
      <c r="I10" s="21">
        <v>0.70491000000000004</v>
      </c>
      <c r="J10" s="17">
        <v>0.29509000000000002</v>
      </c>
      <c r="K10" s="21">
        <v>4755</v>
      </c>
      <c r="L10" s="17">
        <v>304.8</v>
      </c>
      <c r="M10" s="17">
        <f t="shared" si="2"/>
        <v>5059.8</v>
      </c>
      <c r="N10" s="21">
        <v>244600</v>
      </c>
      <c r="O10" s="17">
        <v>218900</v>
      </c>
      <c r="P10" s="17">
        <f t="shared" si="3"/>
        <v>463500</v>
      </c>
      <c r="Q10" s="21">
        <v>1555</v>
      </c>
      <c r="R10" s="17">
        <v>1052</v>
      </c>
      <c r="S10" s="17">
        <f t="shared" si="4"/>
        <v>2607</v>
      </c>
      <c r="T10" s="21">
        <v>605.20000000000005</v>
      </c>
      <c r="U10" s="17">
        <v>472.7</v>
      </c>
      <c r="V10" s="17">
        <f t="shared" si="5"/>
        <v>1077.9000000000001</v>
      </c>
      <c r="W10" s="21">
        <v>429.9</v>
      </c>
      <c r="X10" s="17">
        <v>269.39999999999998</v>
      </c>
      <c r="Y10" s="17">
        <f t="shared" si="6"/>
        <v>699.3</v>
      </c>
      <c r="Z10" s="17"/>
      <c r="AA10" s="17"/>
      <c r="AB10" s="17"/>
      <c r="AC10" s="21">
        <f t="shared" si="7"/>
        <v>2590.1</v>
      </c>
      <c r="AD10" s="17">
        <f t="shared" si="8"/>
        <v>1794.1</v>
      </c>
      <c r="AE10" s="17">
        <f t="shared" si="9"/>
        <v>4384.2</v>
      </c>
      <c r="AF10" s="21">
        <f t="shared" si="1"/>
        <v>0.6003629203505656</v>
      </c>
      <c r="AG10" s="17">
        <f t="shared" si="1"/>
        <v>0.58636642327629451</v>
      </c>
      <c r="AH10" s="17">
        <f t="shared" si="1"/>
        <v>0.59463528123716991</v>
      </c>
    </row>
    <row r="11" spans="1:36" s="18" customFormat="1">
      <c r="A11" s="137"/>
      <c r="B11" s="138"/>
      <c r="C11" s="20">
        <v>1762.96</v>
      </c>
      <c r="D11" s="18">
        <v>50</v>
      </c>
      <c r="E11" s="18">
        <v>0.90683000000000002</v>
      </c>
      <c r="F11" s="18">
        <v>2.1000000000000001E-4</v>
      </c>
      <c r="G11" s="18">
        <v>-0.102743</v>
      </c>
      <c r="H11" s="24">
        <f t="shared" si="0"/>
        <v>-13.699066666666667</v>
      </c>
      <c r="I11" s="22">
        <v>0.67607200000000001</v>
      </c>
      <c r="J11" s="19">
        <v>0.32392799999999999</v>
      </c>
      <c r="K11" s="22">
        <v>2954</v>
      </c>
      <c r="L11" s="19">
        <v>190.3</v>
      </c>
      <c r="M11" s="19">
        <f t="shared" si="2"/>
        <v>3144.3</v>
      </c>
      <c r="N11" s="22">
        <v>242200</v>
      </c>
      <c r="O11" s="19">
        <v>217300</v>
      </c>
      <c r="P11" s="19">
        <f t="shared" si="3"/>
        <v>459500</v>
      </c>
      <c r="Q11" s="22">
        <v>1536</v>
      </c>
      <c r="R11" s="19">
        <v>1094</v>
      </c>
      <c r="S11" s="19">
        <f t="shared" si="4"/>
        <v>2630</v>
      </c>
      <c r="T11" s="22">
        <v>721</v>
      </c>
      <c r="U11" s="19">
        <v>559.5</v>
      </c>
      <c r="V11" s="19">
        <f t="shared" si="5"/>
        <v>1280.5</v>
      </c>
      <c r="W11" s="22">
        <v>486</v>
      </c>
      <c r="X11" s="19">
        <v>315.89999999999998</v>
      </c>
      <c r="Y11" s="19">
        <f t="shared" si="6"/>
        <v>801.9</v>
      </c>
      <c r="Z11" s="19"/>
      <c r="AA11" s="19"/>
      <c r="AB11" s="19"/>
      <c r="AC11" s="22">
        <f t="shared" si="7"/>
        <v>2743</v>
      </c>
      <c r="AD11" s="19">
        <f t="shared" si="8"/>
        <v>1969.4</v>
      </c>
      <c r="AE11" s="19">
        <f t="shared" si="9"/>
        <v>4712.3999999999996</v>
      </c>
      <c r="AF11" s="22">
        <f t="shared" si="1"/>
        <v>0.55997083485235144</v>
      </c>
      <c r="AG11" s="19">
        <f t="shared" si="1"/>
        <v>0.55549913679293184</v>
      </c>
      <c r="AH11" s="19">
        <f t="shared" si="1"/>
        <v>0.55810202869026404</v>
      </c>
    </row>
    <row r="12" spans="1:36" s="18" customFormat="1">
      <c r="C12" s="20"/>
      <c r="I12" s="22"/>
      <c r="J12" s="19"/>
      <c r="K12" s="20"/>
      <c r="N12" s="20"/>
      <c r="Q12" s="20"/>
      <c r="T12" s="20"/>
      <c r="W12" s="20"/>
      <c r="AC12" s="20"/>
      <c r="AF12" s="20"/>
    </row>
    <row r="13" spans="1:36">
      <c r="A13" s="1" t="s">
        <v>1</v>
      </c>
      <c r="B13" t="s">
        <v>93</v>
      </c>
      <c r="I13" s="8" t="s">
        <v>44</v>
      </c>
      <c r="K13" s="8" t="s">
        <v>47</v>
      </c>
      <c r="N13" s="8" t="s">
        <v>48</v>
      </c>
      <c r="O13" s="1"/>
      <c r="P13" s="1"/>
      <c r="Q13" s="8" t="s">
        <v>49</v>
      </c>
      <c r="T13" s="8" t="s">
        <v>50</v>
      </c>
      <c r="U13" s="1"/>
      <c r="V13" s="1"/>
      <c r="W13" s="8" t="s">
        <v>51</v>
      </c>
      <c r="AC13" s="8" t="s">
        <v>52</v>
      </c>
      <c r="AF13" s="8" t="s">
        <v>56</v>
      </c>
    </row>
    <row r="14" spans="1:36">
      <c r="A14" s="1" t="s">
        <v>36</v>
      </c>
      <c r="B14" t="s">
        <v>37</v>
      </c>
      <c r="C14" s="8" t="s">
        <v>43</v>
      </c>
      <c r="D14" s="1" t="s">
        <v>39</v>
      </c>
      <c r="E14" s="1" t="s">
        <v>40</v>
      </c>
      <c r="F14" s="1" t="s">
        <v>41</v>
      </c>
      <c r="G14" s="1" t="s">
        <v>42</v>
      </c>
      <c r="H14" s="1" t="s">
        <v>57</v>
      </c>
      <c r="I14" s="8" t="s">
        <v>45</v>
      </c>
      <c r="J14" s="1" t="s">
        <v>46</v>
      </c>
      <c r="K14" s="8" t="s">
        <v>53</v>
      </c>
      <c r="L14" s="1" t="s">
        <v>54</v>
      </c>
      <c r="M14" s="1" t="s">
        <v>55</v>
      </c>
      <c r="N14" s="8" t="s">
        <v>53</v>
      </c>
      <c r="O14" s="1" t="s">
        <v>54</v>
      </c>
      <c r="P14" s="1" t="s">
        <v>55</v>
      </c>
      <c r="Q14" s="8" t="s">
        <v>53</v>
      </c>
      <c r="R14" s="1" t="s">
        <v>54</v>
      </c>
      <c r="S14" s="1" t="s">
        <v>55</v>
      </c>
      <c r="T14" s="8" t="s">
        <v>53</v>
      </c>
      <c r="U14" s="1" t="s">
        <v>54</v>
      </c>
      <c r="V14" s="1" t="s">
        <v>55</v>
      </c>
      <c r="W14" s="8" t="s">
        <v>53</v>
      </c>
      <c r="X14" s="1" t="s">
        <v>54</v>
      </c>
      <c r="Y14" s="1" t="s">
        <v>55</v>
      </c>
      <c r="Z14" s="1"/>
      <c r="AA14" s="1"/>
      <c r="AB14" s="1"/>
      <c r="AC14" s="8" t="s">
        <v>53</v>
      </c>
      <c r="AD14" s="1" t="s">
        <v>54</v>
      </c>
      <c r="AE14" s="1" t="s">
        <v>55</v>
      </c>
      <c r="AF14" s="8" t="s">
        <v>53</v>
      </c>
      <c r="AG14" s="1" t="s">
        <v>54</v>
      </c>
      <c r="AH14" s="1" t="s">
        <v>55</v>
      </c>
    </row>
    <row r="15" spans="1:36">
      <c r="A15" s="1" t="s">
        <v>38</v>
      </c>
      <c r="B15" t="s">
        <v>91</v>
      </c>
      <c r="C15" s="7">
        <v>0</v>
      </c>
      <c r="D15">
        <v>0</v>
      </c>
      <c r="E15">
        <v>1.2304600000000001</v>
      </c>
      <c r="F15">
        <v>2.0000000000000001E-4</v>
      </c>
      <c r="G15">
        <v>0.18729599999999999</v>
      </c>
      <c r="H15" s="23">
        <f>G15/0.0075</f>
        <v>24.972799999999999</v>
      </c>
      <c r="I15" s="21">
        <v>0.63836199999999999</v>
      </c>
      <c r="J15" s="17">
        <v>0.36163800000000001</v>
      </c>
      <c r="AC15" s="7">
        <v>0</v>
      </c>
      <c r="AD15">
        <v>0</v>
      </c>
      <c r="AE15">
        <v>0</v>
      </c>
    </row>
    <row r="16" spans="1:36">
      <c r="A16" s="1" t="s">
        <v>87</v>
      </c>
      <c r="B16" t="s">
        <v>90</v>
      </c>
      <c r="C16" s="7">
        <v>3.5259299999999998</v>
      </c>
      <c r="D16">
        <v>0.1</v>
      </c>
      <c r="E16">
        <v>1.19181</v>
      </c>
      <c r="F16">
        <v>2.3000000000000001E-4</v>
      </c>
      <c r="G16">
        <v>0.16094</v>
      </c>
      <c r="H16" s="23">
        <f t="shared" ref="H16:H22" si="10">G16/0.0075</f>
        <v>21.458666666666666</v>
      </c>
      <c r="I16" s="21">
        <v>0.634965</v>
      </c>
      <c r="J16" s="17">
        <v>0.365035</v>
      </c>
      <c r="K16" s="21">
        <v>14020</v>
      </c>
      <c r="L16" s="17">
        <v>2069</v>
      </c>
      <c r="M16" s="17">
        <f>K16+L16</f>
        <v>16089</v>
      </c>
      <c r="N16" s="21">
        <v>189200</v>
      </c>
      <c r="O16" s="17">
        <v>291500</v>
      </c>
      <c r="P16" s="17">
        <f>N16+O16</f>
        <v>480700</v>
      </c>
      <c r="Q16" s="21">
        <v>3.5760000000000001</v>
      </c>
      <c r="R16" s="17">
        <v>10.199999999999999</v>
      </c>
      <c r="S16" s="17">
        <f>Q16+R16</f>
        <v>13.776</v>
      </c>
      <c r="T16" s="21">
        <v>1.0059999999999999E-2</v>
      </c>
      <c r="U16" s="17">
        <v>6.6710000000000005E-2</v>
      </c>
      <c r="V16" s="17">
        <f>T16+U16</f>
        <v>7.6770000000000005E-2</v>
      </c>
      <c r="W16" s="21">
        <v>9.9599999999999995E-6</v>
      </c>
      <c r="X16" s="17">
        <v>4.7029999999999999E-4</v>
      </c>
      <c r="Y16" s="17">
        <f>W16+X16</f>
        <v>4.8025999999999999E-4</v>
      </c>
      <c r="Z16" s="17"/>
      <c r="AA16" s="17"/>
      <c r="AB16" s="17"/>
      <c r="AC16" s="21">
        <f>Q16+T16+W16</f>
        <v>3.5860699600000001</v>
      </c>
      <c r="AD16" s="17">
        <f>R16+U16+X16</f>
        <v>10.2671803</v>
      </c>
      <c r="AE16" s="17">
        <f>AC16+AD16</f>
        <v>13.853250259999999</v>
      </c>
      <c r="AF16" s="21">
        <f>Q16/AC16</f>
        <v>0.99719192316036132</v>
      </c>
      <c r="AG16" s="17">
        <f>R16/AD16</f>
        <v>0.99345679163733003</v>
      </c>
      <c r="AH16" s="17">
        <f>S16/AE16</f>
        <v>0.99442367252809594</v>
      </c>
      <c r="AJ16" s="1" t="s">
        <v>58</v>
      </c>
    </row>
    <row r="17" spans="1:54">
      <c r="A17" s="135" t="e" vm="3">
        <v>#VALUE!</v>
      </c>
      <c r="B17" s="136"/>
      <c r="C17" s="7">
        <v>35.259300000000003</v>
      </c>
      <c r="D17">
        <v>1</v>
      </c>
      <c r="E17">
        <v>1.1875899999999999</v>
      </c>
      <c r="F17">
        <v>1.9000000000000001E-4</v>
      </c>
      <c r="G17">
        <v>0.15795899999999999</v>
      </c>
      <c r="H17" s="23">
        <f t="shared" si="10"/>
        <v>21.061199999999999</v>
      </c>
      <c r="I17" s="21">
        <v>0.61049100000000001</v>
      </c>
      <c r="J17" s="17">
        <v>0.38950899999999999</v>
      </c>
      <c r="K17" s="21">
        <v>13670</v>
      </c>
      <c r="L17" s="17">
        <v>1907</v>
      </c>
      <c r="M17" s="17">
        <f t="shared" ref="M17:M22" si="11">K17+L17</f>
        <v>15577</v>
      </c>
      <c r="N17" s="21">
        <v>189100</v>
      </c>
      <c r="O17" s="17">
        <v>291200</v>
      </c>
      <c r="P17" s="17">
        <f t="shared" ref="P17:P22" si="12">N17+O17</f>
        <v>480300</v>
      </c>
      <c r="Q17" s="21">
        <v>84.6</v>
      </c>
      <c r="R17" s="17">
        <v>210.4</v>
      </c>
      <c r="S17" s="17">
        <f t="shared" ref="S17:S22" si="13">Q17+R17</f>
        <v>295</v>
      </c>
      <c r="T17" s="21">
        <v>1.474</v>
      </c>
      <c r="U17" s="17">
        <v>9.7750000000000004</v>
      </c>
      <c r="V17" s="17">
        <f t="shared" ref="V17:V22" si="14">T17+U17</f>
        <v>11.249000000000001</v>
      </c>
      <c r="W17" s="21">
        <v>6.173E-2</v>
      </c>
      <c r="X17" s="17">
        <v>8.0299999999999996E-2</v>
      </c>
      <c r="Y17" s="17">
        <f t="shared" ref="Y17:Y22" si="15">W17+X17</f>
        <v>0.14202999999999999</v>
      </c>
      <c r="Z17" s="17"/>
      <c r="AA17" s="17"/>
      <c r="AB17" s="17"/>
      <c r="AC17" s="21">
        <f t="shared" ref="AC17:AC22" si="16">Q17+T17+W17</f>
        <v>86.135729999999995</v>
      </c>
      <c r="AD17" s="17">
        <f t="shared" ref="AD17:AD22" si="17">R17+U17+X17</f>
        <v>220.25530000000001</v>
      </c>
      <c r="AE17" s="17">
        <f t="shared" ref="AE17:AE22" si="18">AC17+AD17</f>
        <v>306.39103</v>
      </c>
      <c r="AF17" s="21">
        <f t="shared" ref="AF17:AF22" si="19">Q17/AC17</f>
        <v>0.98217081343595736</v>
      </c>
      <c r="AG17" s="17">
        <f t="shared" ref="AG17:AG22" si="20">R17/AD17</f>
        <v>0.95525510623353904</v>
      </c>
      <c r="AH17" s="17">
        <f t="shared" ref="AH17:AH22" si="21">S17/AE17</f>
        <v>0.96282192073312334</v>
      </c>
      <c r="AJ17" s="25">
        <f>4.77*306.39103*7</f>
        <v>10230.396491699998</v>
      </c>
      <c r="BB17" t="s">
        <v>59</v>
      </c>
    </row>
    <row r="18" spans="1:54">
      <c r="A18" s="135"/>
      <c r="B18" s="136"/>
      <c r="C18" s="7">
        <v>352.59300000000002</v>
      </c>
      <c r="D18">
        <v>10</v>
      </c>
      <c r="E18">
        <v>1.11599</v>
      </c>
      <c r="F18">
        <v>1.9000000000000001E-4</v>
      </c>
      <c r="G18">
        <v>0.103935</v>
      </c>
      <c r="H18" s="23">
        <f t="shared" si="10"/>
        <v>13.858000000000001</v>
      </c>
      <c r="I18" s="21">
        <v>0.54753300000000005</v>
      </c>
      <c r="J18" s="17">
        <v>0.45246700000000001</v>
      </c>
      <c r="K18" s="21">
        <v>10610</v>
      </c>
      <c r="L18" s="17">
        <v>1002</v>
      </c>
      <c r="M18" s="17">
        <f t="shared" si="11"/>
        <v>11612</v>
      </c>
      <c r="N18" s="21">
        <v>188000</v>
      </c>
      <c r="O18" s="17">
        <v>289100</v>
      </c>
      <c r="P18" s="17">
        <f t="shared" si="12"/>
        <v>477100</v>
      </c>
      <c r="Q18" s="21">
        <v>641.79999999999995</v>
      </c>
      <c r="R18" s="17">
        <v>878.8</v>
      </c>
      <c r="S18" s="17">
        <f t="shared" si="13"/>
        <v>1520.6</v>
      </c>
      <c r="T18" s="21">
        <v>86.36</v>
      </c>
      <c r="U18" s="17">
        <v>250.7</v>
      </c>
      <c r="V18" s="17">
        <f t="shared" si="14"/>
        <v>337.06</v>
      </c>
      <c r="W18" s="21">
        <v>37.18</v>
      </c>
      <c r="X18" s="17">
        <v>124.9</v>
      </c>
      <c r="Y18" s="17">
        <f t="shared" si="15"/>
        <v>162.08000000000001</v>
      </c>
      <c r="Z18" s="17"/>
      <c r="AA18" s="17"/>
      <c r="AB18" s="17"/>
      <c r="AC18" s="21">
        <f t="shared" si="16"/>
        <v>765.33999999999992</v>
      </c>
      <c r="AD18" s="17">
        <f t="shared" si="17"/>
        <v>1254.4000000000001</v>
      </c>
      <c r="AE18" s="17">
        <f t="shared" si="18"/>
        <v>2019.74</v>
      </c>
      <c r="AF18" s="21">
        <f t="shared" si="19"/>
        <v>0.8385815454569211</v>
      </c>
      <c r="AG18" s="17">
        <f t="shared" si="20"/>
        <v>0.70057397959183665</v>
      </c>
      <c r="AH18" s="17">
        <f t="shared" si="21"/>
        <v>0.75286918118173618</v>
      </c>
    </row>
    <row r="19" spans="1:54">
      <c r="A19" s="135"/>
      <c r="B19" s="136"/>
      <c r="C19" s="7">
        <v>705.18499999999995</v>
      </c>
      <c r="D19">
        <v>20</v>
      </c>
      <c r="E19">
        <v>1.04758</v>
      </c>
      <c r="F19">
        <v>2.3000000000000001E-4</v>
      </c>
      <c r="G19">
        <v>4.5419000000000001E-2</v>
      </c>
      <c r="H19" s="23">
        <f t="shared" si="10"/>
        <v>6.0558666666666667</v>
      </c>
      <c r="I19" s="21">
        <v>0.51253000000000004</v>
      </c>
      <c r="J19" s="17">
        <v>0.48747000000000001</v>
      </c>
      <c r="K19" s="21">
        <v>7969</v>
      </c>
      <c r="L19" s="17">
        <v>503.3</v>
      </c>
      <c r="M19" s="17">
        <f t="shared" si="11"/>
        <v>8472.2999999999993</v>
      </c>
      <c r="N19" s="21">
        <v>186800</v>
      </c>
      <c r="O19" s="17">
        <v>286500</v>
      </c>
      <c r="P19" s="17">
        <f t="shared" si="12"/>
        <v>473300</v>
      </c>
      <c r="Q19" s="21">
        <v>951.8</v>
      </c>
      <c r="R19" s="17">
        <v>1143</v>
      </c>
      <c r="S19" s="17">
        <f t="shared" si="13"/>
        <v>2094.8000000000002</v>
      </c>
      <c r="T19" s="21">
        <v>203.8</v>
      </c>
      <c r="U19" s="17">
        <v>478.7</v>
      </c>
      <c r="V19" s="17">
        <f t="shared" si="14"/>
        <v>682.5</v>
      </c>
      <c r="W19" s="21">
        <v>131.5</v>
      </c>
      <c r="X19" s="17">
        <v>272.10000000000002</v>
      </c>
      <c r="Y19" s="17">
        <f t="shared" si="15"/>
        <v>403.6</v>
      </c>
      <c r="Z19" s="17"/>
      <c r="AA19" s="17"/>
      <c r="AB19" s="17"/>
      <c r="AC19" s="21">
        <f t="shared" si="16"/>
        <v>1287.0999999999999</v>
      </c>
      <c r="AD19" s="17">
        <f t="shared" si="17"/>
        <v>1893.8000000000002</v>
      </c>
      <c r="AE19" s="17">
        <f t="shared" si="18"/>
        <v>3180.9</v>
      </c>
      <c r="AF19" s="21">
        <f t="shared" si="19"/>
        <v>0.73949188097272944</v>
      </c>
      <c r="AG19" s="17">
        <f t="shared" si="20"/>
        <v>0.60354842116379759</v>
      </c>
      <c r="AH19" s="17">
        <f t="shared" si="21"/>
        <v>0.65855575466063065</v>
      </c>
    </row>
    <row r="20" spans="1:54">
      <c r="A20" s="135"/>
      <c r="B20" s="136"/>
      <c r="C20" s="7">
        <v>1057.78</v>
      </c>
      <c r="D20">
        <v>30</v>
      </c>
      <c r="E20">
        <v>0.98777000000000004</v>
      </c>
      <c r="F20">
        <v>2.1000000000000001E-4</v>
      </c>
      <c r="G20">
        <v>-1.2381E-2</v>
      </c>
      <c r="H20" s="23">
        <f t="shared" si="10"/>
        <v>-1.6508</v>
      </c>
      <c r="I20" s="21">
        <v>0.484315</v>
      </c>
      <c r="J20" s="17">
        <v>0.51568499999999995</v>
      </c>
      <c r="K20" s="21">
        <v>5843</v>
      </c>
      <c r="L20" s="17">
        <v>255.6</v>
      </c>
      <c r="M20" s="17">
        <f t="shared" si="11"/>
        <v>6098.6</v>
      </c>
      <c r="N20" s="21">
        <v>185500</v>
      </c>
      <c r="O20" s="17">
        <v>283700</v>
      </c>
      <c r="P20" s="17">
        <f t="shared" si="12"/>
        <v>469200</v>
      </c>
      <c r="Q20" s="21">
        <v>1098</v>
      </c>
      <c r="R20" s="17">
        <v>1272</v>
      </c>
      <c r="S20" s="17">
        <f t="shared" si="13"/>
        <v>2370</v>
      </c>
      <c r="T20" s="21">
        <v>318.2</v>
      </c>
      <c r="U20" s="17">
        <v>647.20000000000005</v>
      </c>
      <c r="V20" s="17">
        <f t="shared" si="14"/>
        <v>965.40000000000009</v>
      </c>
      <c r="W20" s="21">
        <v>223.1</v>
      </c>
      <c r="X20" s="17">
        <v>362.1</v>
      </c>
      <c r="Y20" s="17">
        <f t="shared" si="15"/>
        <v>585.20000000000005</v>
      </c>
      <c r="Z20" s="17"/>
      <c r="AA20" s="17"/>
      <c r="AB20" s="17"/>
      <c r="AC20" s="21">
        <f t="shared" si="16"/>
        <v>1639.3</v>
      </c>
      <c r="AD20" s="17">
        <f t="shared" si="17"/>
        <v>2281.3000000000002</v>
      </c>
      <c r="AE20" s="17">
        <f t="shared" si="18"/>
        <v>3920.6000000000004</v>
      </c>
      <c r="AF20" s="21">
        <f t="shared" si="19"/>
        <v>0.66979808454828282</v>
      </c>
      <c r="AG20" s="17">
        <f t="shared" si="20"/>
        <v>0.55757682023407706</v>
      </c>
      <c r="AH20" s="17">
        <f t="shared" si="21"/>
        <v>0.60449931132989843</v>
      </c>
    </row>
    <row r="21" spans="1:54">
      <c r="A21" s="135"/>
      <c r="B21" s="136"/>
      <c r="C21" s="7">
        <v>1410.37</v>
      </c>
      <c r="D21">
        <v>40</v>
      </c>
      <c r="E21">
        <v>0.93576000000000004</v>
      </c>
      <c r="F21">
        <v>2.0000000000000001E-4</v>
      </c>
      <c r="G21">
        <v>-6.8650000000000003E-2</v>
      </c>
      <c r="H21" s="23">
        <f t="shared" si="10"/>
        <v>-9.1533333333333342</v>
      </c>
      <c r="I21" s="21">
        <v>0.455762</v>
      </c>
      <c r="J21" s="17">
        <v>0.544238</v>
      </c>
      <c r="K21" s="21">
        <v>4146</v>
      </c>
      <c r="L21" s="17">
        <v>129.80000000000001</v>
      </c>
      <c r="M21" s="17">
        <f t="shared" si="11"/>
        <v>4275.8</v>
      </c>
      <c r="N21" s="21">
        <v>184100</v>
      </c>
      <c r="O21" s="17">
        <v>280700</v>
      </c>
      <c r="P21" s="17">
        <f t="shared" si="12"/>
        <v>464800</v>
      </c>
      <c r="Q21" s="21">
        <v>1154</v>
      </c>
      <c r="R21" s="17">
        <v>1347</v>
      </c>
      <c r="S21" s="17">
        <f t="shared" si="13"/>
        <v>2501</v>
      </c>
      <c r="T21" s="21">
        <v>421.4</v>
      </c>
      <c r="U21" s="17">
        <v>765.5</v>
      </c>
      <c r="V21" s="17">
        <f t="shared" si="14"/>
        <v>1186.9000000000001</v>
      </c>
      <c r="W21" s="21">
        <v>292.39999999999998</v>
      </c>
      <c r="X21" s="17">
        <v>421.5</v>
      </c>
      <c r="Y21" s="17">
        <f t="shared" si="15"/>
        <v>713.9</v>
      </c>
      <c r="Z21" s="17"/>
      <c r="AA21" s="17"/>
      <c r="AB21" s="17"/>
      <c r="AC21" s="21">
        <f t="shared" si="16"/>
        <v>1867.8000000000002</v>
      </c>
      <c r="AD21" s="17">
        <f t="shared" si="17"/>
        <v>2534</v>
      </c>
      <c r="AE21" s="17">
        <f t="shared" si="18"/>
        <v>4401.8</v>
      </c>
      <c r="AF21" s="21">
        <f t="shared" si="19"/>
        <v>0.61783916907591818</v>
      </c>
      <c r="AG21" s="17">
        <f t="shared" si="20"/>
        <v>0.5315706393054459</v>
      </c>
      <c r="AH21" s="17">
        <f t="shared" si="21"/>
        <v>0.56817665500477077</v>
      </c>
    </row>
    <row r="22" spans="1:54" s="18" customFormat="1">
      <c r="A22" s="137"/>
      <c r="B22" s="138"/>
      <c r="C22" s="20">
        <v>1762.96</v>
      </c>
      <c r="D22" s="18">
        <v>50</v>
      </c>
      <c r="E22" s="18">
        <v>0.88985999999999998</v>
      </c>
      <c r="F22" s="18">
        <v>2.0000000000000001E-4</v>
      </c>
      <c r="G22" s="18">
        <v>-0.12377199999999999</v>
      </c>
      <c r="H22" s="24">
        <f t="shared" si="10"/>
        <v>-16.502933333333335</v>
      </c>
      <c r="I22" s="22">
        <v>0.427315</v>
      </c>
      <c r="J22" s="19">
        <v>0.572685</v>
      </c>
      <c r="K22" s="22">
        <v>2836</v>
      </c>
      <c r="L22" s="19">
        <v>65.459999999999994</v>
      </c>
      <c r="M22" s="19">
        <f t="shared" si="11"/>
        <v>2901.46</v>
      </c>
      <c r="N22" s="22">
        <v>182600</v>
      </c>
      <c r="O22" s="19">
        <v>277600</v>
      </c>
      <c r="P22" s="19">
        <f t="shared" si="12"/>
        <v>460200</v>
      </c>
      <c r="Q22" s="22">
        <v>1159</v>
      </c>
      <c r="R22" s="19">
        <v>1396</v>
      </c>
      <c r="S22" s="19">
        <f t="shared" si="13"/>
        <v>2555</v>
      </c>
      <c r="T22" s="22">
        <v>7.9</v>
      </c>
      <c r="U22" s="19">
        <v>847.6</v>
      </c>
      <c r="V22" s="19">
        <f t="shared" si="14"/>
        <v>855.5</v>
      </c>
      <c r="W22" s="22">
        <v>337.5</v>
      </c>
      <c r="X22" s="19">
        <v>462.5</v>
      </c>
      <c r="Y22" s="19">
        <f t="shared" si="15"/>
        <v>800</v>
      </c>
      <c r="Z22" s="19"/>
      <c r="AA22" s="19"/>
      <c r="AB22" s="19"/>
      <c r="AC22" s="22">
        <f t="shared" si="16"/>
        <v>1504.4</v>
      </c>
      <c r="AD22" s="19">
        <f t="shared" si="17"/>
        <v>2706.1</v>
      </c>
      <c r="AE22" s="19">
        <f t="shared" si="18"/>
        <v>4210.5</v>
      </c>
      <c r="AF22" s="22">
        <f t="shared" si="19"/>
        <v>0.77040680670034556</v>
      </c>
      <c r="AG22" s="19">
        <f t="shared" si="20"/>
        <v>0.51587154946232583</v>
      </c>
      <c r="AH22" s="19">
        <f t="shared" si="21"/>
        <v>0.60681629260182879</v>
      </c>
    </row>
    <row r="24" spans="1:54" s="32" customFormat="1">
      <c r="A24" s="31" t="s">
        <v>1</v>
      </c>
      <c r="B24" s="32" t="s">
        <v>96</v>
      </c>
      <c r="C24" s="33"/>
      <c r="I24" s="34" t="s">
        <v>44</v>
      </c>
      <c r="K24" s="34" t="s">
        <v>47</v>
      </c>
      <c r="N24" s="34" t="s">
        <v>48</v>
      </c>
      <c r="O24" s="31"/>
      <c r="P24" s="31"/>
      <c r="Q24" s="34" t="s">
        <v>49</v>
      </c>
      <c r="T24" s="34" t="s">
        <v>50</v>
      </c>
      <c r="U24" s="31"/>
      <c r="V24" s="31"/>
      <c r="W24" s="34" t="s">
        <v>51</v>
      </c>
      <c r="Z24" s="34" t="s">
        <v>84</v>
      </c>
      <c r="AC24" s="34" t="s">
        <v>52</v>
      </c>
      <c r="AF24" s="34" t="s">
        <v>56</v>
      </c>
    </row>
    <row r="25" spans="1:54">
      <c r="A25" s="1" t="s">
        <v>36</v>
      </c>
      <c r="B25" t="s">
        <v>83</v>
      </c>
      <c r="C25" s="8" t="s">
        <v>43</v>
      </c>
      <c r="D25" s="1" t="s">
        <v>39</v>
      </c>
      <c r="E25" s="1" t="s">
        <v>40</v>
      </c>
      <c r="F25" s="1" t="s">
        <v>41</v>
      </c>
      <c r="G25" s="1" t="s">
        <v>42</v>
      </c>
      <c r="H25" s="1" t="s">
        <v>57</v>
      </c>
      <c r="I25" s="8" t="s">
        <v>45</v>
      </c>
      <c r="J25" s="1" t="s">
        <v>46</v>
      </c>
      <c r="K25" s="8" t="s">
        <v>53</v>
      </c>
      <c r="L25" s="1" t="s">
        <v>54</v>
      </c>
      <c r="M25" s="1" t="s">
        <v>55</v>
      </c>
      <c r="N25" s="8" t="s">
        <v>53</v>
      </c>
      <c r="O25" s="1" t="s">
        <v>54</v>
      </c>
      <c r="P25" s="1" t="s">
        <v>55</v>
      </c>
      <c r="Q25" s="8" t="s">
        <v>53</v>
      </c>
      <c r="R25" s="1" t="s">
        <v>54</v>
      </c>
      <c r="S25" s="1" t="s">
        <v>55</v>
      </c>
      <c r="T25" s="8" t="s">
        <v>53</v>
      </c>
      <c r="U25" s="1" t="s">
        <v>54</v>
      </c>
      <c r="V25" s="1" t="s">
        <v>55</v>
      </c>
      <c r="W25" s="8" t="s">
        <v>53</v>
      </c>
      <c r="X25" s="1" t="s">
        <v>54</v>
      </c>
      <c r="Y25" s="1" t="s">
        <v>55</v>
      </c>
      <c r="Z25" s="8" t="s">
        <v>53</v>
      </c>
      <c r="AA25" s="1" t="s">
        <v>54</v>
      </c>
      <c r="AB25" s="1" t="s">
        <v>55</v>
      </c>
      <c r="AC25" s="8" t="s">
        <v>53</v>
      </c>
      <c r="AD25" s="1" t="s">
        <v>54</v>
      </c>
      <c r="AE25" s="1" t="s">
        <v>55</v>
      </c>
      <c r="AF25" s="8" t="s">
        <v>53</v>
      </c>
      <c r="AG25" s="1" t="s">
        <v>54</v>
      </c>
      <c r="AH25" s="1" t="s">
        <v>55</v>
      </c>
    </row>
    <row r="26" spans="1:54">
      <c r="A26" s="1" t="s">
        <v>38</v>
      </c>
      <c r="B26" t="s">
        <v>90</v>
      </c>
      <c r="C26" s="7">
        <v>0</v>
      </c>
      <c r="D26">
        <v>0</v>
      </c>
      <c r="E26" s="30">
        <v>1.2342900000000001</v>
      </c>
      <c r="F26" s="30">
        <v>1.8000000000000001E-4</v>
      </c>
      <c r="G26" s="30">
        <v>0.18981799999999999</v>
      </c>
      <c r="H26" s="23">
        <f>G26/0.0075</f>
        <v>25.309066666666666</v>
      </c>
      <c r="I26" s="21"/>
      <c r="J26" s="17"/>
      <c r="Q26" s="7">
        <v>0</v>
      </c>
      <c r="T26" s="7">
        <v>0</v>
      </c>
      <c r="W26" s="7">
        <v>0</v>
      </c>
      <c r="Z26" s="7">
        <v>0</v>
      </c>
      <c r="AC26" s="7">
        <v>0</v>
      </c>
      <c r="AD26">
        <v>0</v>
      </c>
      <c r="AE26">
        <v>0</v>
      </c>
    </row>
    <row r="27" spans="1:54">
      <c r="A27" s="1" t="s">
        <v>87</v>
      </c>
      <c r="B27" t="s">
        <v>89</v>
      </c>
      <c r="C27" s="7">
        <v>3.5259299999999998</v>
      </c>
      <c r="D27">
        <v>0.1</v>
      </c>
      <c r="E27" s="30">
        <v>1.19486</v>
      </c>
      <c r="F27" s="30">
        <v>2.0000000000000001E-4</v>
      </c>
      <c r="G27" s="30">
        <v>0.163082</v>
      </c>
      <c r="H27" s="23">
        <f t="shared" ref="H27:H35" si="22">G27/0.0075</f>
        <v>21.744266666666668</v>
      </c>
      <c r="I27" s="21"/>
      <c r="J27" s="17"/>
      <c r="K27" s="36">
        <v>121400</v>
      </c>
      <c r="L27" s="17"/>
      <c r="M27" s="17">
        <f>K27+L27</f>
        <v>121400</v>
      </c>
      <c r="N27" s="36">
        <v>3403000</v>
      </c>
      <c r="O27" s="17"/>
      <c r="P27" s="17">
        <f>N27+O27</f>
        <v>3403000</v>
      </c>
      <c r="Q27" s="36">
        <v>64.5</v>
      </c>
      <c r="R27" s="17"/>
      <c r="S27" s="17">
        <f>Q27+R27</f>
        <v>64.5</v>
      </c>
      <c r="T27" s="36">
        <v>0.19919999999999999</v>
      </c>
      <c r="U27" s="17"/>
      <c r="V27" s="17">
        <f>T27+U27</f>
        <v>0.19919999999999999</v>
      </c>
      <c r="W27" s="36">
        <v>8.0769999999999995E-4</v>
      </c>
      <c r="X27" s="17"/>
      <c r="Y27" s="17">
        <f>W27+X27</f>
        <v>8.0769999999999995E-4</v>
      </c>
      <c r="Z27" s="36">
        <v>0</v>
      </c>
      <c r="AA27" s="17"/>
      <c r="AB27" s="17">
        <f>Z27+AA27</f>
        <v>0</v>
      </c>
      <c r="AC27" s="21">
        <f>Q27+T27+W27+Z27</f>
        <v>64.7000077</v>
      </c>
      <c r="AD27" s="17"/>
      <c r="AE27" s="17">
        <f>AC27+AD27</f>
        <v>64.7000077</v>
      </c>
      <c r="AF27" s="37">
        <f>Q27/AC27</f>
        <v>0.99690869124888837</v>
      </c>
      <c r="AG27" s="17" t="e">
        <f>R27/AD27</f>
        <v>#DIV/0!</v>
      </c>
      <c r="AH27" s="17">
        <f>S27/AE27</f>
        <v>0.99690869124888837</v>
      </c>
      <c r="AJ27" s="1"/>
    </row>
    <row r="28" spans="1:54">
      <c r="A28" s="135" t="e" vm="1">
        <v>#VALUE!</v>
      </c>
      <c r="B28" s="136"/>
      <c r="C28" s="7">
        <v>35.256599999999999</v>
      </c>
      <c r="D28">
        <v>1</v>
      </c>
      <c r="E28" s="30">
        <v>1.17886</v>
      </c>
      <c r="F28" s="30">
        <v>2.2000000000000001E-4</v>
      </c>
      <c r="G28" s="30">
        <v>0.151723</v>
      </c>
      <c r="H28" s="23">
        <f>G28/0.0075</f>
        <v>20.229733333333332</v>
      </c>
      <c r="I28" s="21"/>
      <c r="J28" s="17"/>
      <c r="K28" s="36">
        <v>117700</v>
      </c>
      <c r="L28" s="17"/>
      <c r="M28" s="17"/>
      <c r="N28" s="36">
        <v>3401000</v>
      </c>
      <c r="O28" s="17"/>
      <c r="P28" s="17">
        <f t="shared" ref="P28:P29" si="23">N28+O28</f>
        <v>3401000</v>
      </c>
      <c r="Q28" s="36">
        <v>1507</v>
      </c>
      <c r="R28" s="17"/>
      <c r="S28" s="17">
        <f t="shared" ref="S28:S29" si="24">Q28+R28</f>
        <v>1507</v>
      </c>
      <c r="T28" s="36">
        <v>30.96</v>
      </c>
      <c r="U28" s="17"/>
      <c r="V28" s="17"/>
      <c r="W28" s="36">
        <v>1.3260000000000001</v>
      </c>
      <c r="X28" s="17"/>
      <c r="Y28" s="17">
        <f t="shared" ref="Y28:Y29" si="25">W28+X28</f>
        <v>1.3260000000000001</v>
      </c>
      <c r="Z28" s="36">
        <v>8.9949999999999995E-3</v>
      </c>
      <c r="AA28" s="17"/>
      <c r="AB28" s="17">
        <f t="shared" ref="AB28:AB35" si="26">Z28+AA28</f>
        <v>8.9949999999999995E-3</v>
      </c>
      <c r="AC28" s="21">
        <f t="shared" ref="AC28:AC35" si="27">Q28+T28+W28+Z28</f>
        <v>1539.294995</v>
      </c>
      <c r="AD28" s="17"/>
      <c r="AE28" s="17"/>
      <c r="AF28" s="37">
        <f t="shared" ref="AF28:AF35" si="28">Q28/AC28</f>
        <v>0.97901961930305637</v>
      </c>
      <c r="AG28" s="17" t="e">
        <f t="shared" ref="AG28:AG29" si="29">R28/AD28</f>
        <v>#DIV/0!</v>
      </c>
      <c r="AH28" s="17"/>
      <c r="AJ28" s="1"/>
    </row>
    <row r="29" spans="1:54">
      <c r="A29" s="135"/>
      <c r="B29" s="136"/>
      <c r="C29" s="7">
        <v>141.02600000000001</v>
      </c>
      <c r="D29">
        <v>4</v>
      </c>
      <c r="E29" s="30">
        <v>1.1470199999999999</v>
      </c>
      <c r="F29" s="30">
        <v>2.1000000000000001E-4</v>
      </c>
      <c r="G29" s="30">
        <v>0.12817600000000001</v>
      </c>
      <c r="H29" s="23">
        <f t="shared" si="22"/>
        <v>17.090133333333334</v>
      </c>
      <c r="I29" s="21"/>
      <c r="J29" s="17"/>
      <c r="K29" s="36">
        <v>106000</v>
      </c>
      <c r="L29" s="17"/>
      <c r="M29" s="17"/>
      <c r="N29" s="36">
        <v>3395000</v>
      </c>
      <c r="O29" s="17"/>
      <c r="P29" s="17">
        <f t="shared" si="23"/>
        <v>3395000</v>
      </c>
      <c r="Q29" s="36">
        <v>5577</v>
      </c>
      <c r="R29" s="17"/>
      <c r="S29" s="17">
        <f t="shared" si="24"/>
        <v>5577</v>
      </c>
      <c r="T29" s="36">
        <v>421.8</v>
      </c>
      <c r="U29" s="17"/>
      <c r="V29" s="17"/>
      <c r="W29" s="36">
        <v>73.56</v>
      </c>
      <c r="X29" s="17"/>
      <c r="Y29" s="17">
        <f t="shared" si="25"/>
        <v>73.56</v>
      </c>
      <c r="Z29" s="36">
        <v>2.1320000000000001</v>
      </c>
      <c r="AA29" s="17"/>
      <c r="AB29" s="17">
        <f t="shared" si="26"/>
        <v>2.1320000000000001</v>
      </c>
      <c r="AC29" s="21">
        <f t="shared" si="27"/>
        <v>6074.4920000000002</v>
      </c>
      <c r="AD29" s="17"/>
      <c r="AE29" s="17"/>
      <c r="AF29" s="37">
        <f t="shared" si="28"/>
        <v>0.91810146428705475</v>
      </c>
      <c r="AG29" s="17" t="e">
        <f t="shared" si="29"/>
        <v>#DIV/0!</v>
      </c>
      <c r="AH29" s="17"/>
      <c r="AJ29" s="1"/>
    </row>
    <row r="30" spans="1:54">
      <c r="A30" s="135"/>
      <c r="B30" s="136"/>
      <c r="C30" s="7">
        <v>246.79599999999999</v>
      </c>
      <c r="D30">
        <v>7</v>
      </c>
      <c r="E30" s="30">
        <v>1.1138699999999999</v>
      </c>
      <c r="F30" s="30">
        <v>2.1000000000000001E-4</v>
      </c>
      <c r="G30" s="30">
        <v>0.102229</v>
      </c>
      <c r="H30" s="23">
        <f t="shared" si="22"/>
        <v>13.630533333333334</v>
      </c>
      <c r="I30" s="21"/>
      <c r="J30" s="17"/>
      <c r="K30" s="36">
        <v>95340</v>
      </c>
      <c r="L30" s="17"/>
      <c r="M30" s="17">
        <f t="shared" ref="M30:M35" si="30">K30+L30</f>
        <v>95340</v>
      </c>
      <c r="N30" s="36">
        <v>3389000</v>
      </c>
      <c r="O30" s="17"/>
      <c r="P30" s="17">
        <f t="shared" ref="P30:P35" si="31">N30+O30</f>
        <v>3389000</v>
      </c>
      <c r="Q30" s="36">
        <v>8622</v>
      </c>
      <c r="R30" s="17"/>
      <c r="S30" s="17">
        <f t="shared" ref="S30:S35" si="32">Q30+R30</f>
        <v>8622</v>
      </c>
      <c r="T30" s="36">
        <v>1044</v>
      </c>
      <c r="U30" s="17"/>
      <c r="V30" s="17">
        <f t="shared" ref="V30:V35" si="33">T30+U30</f>
        <v>1044</v>
      </c>
      <c r="W30" s="36">
        <v>300.3</v>
      </c>
      <c r="X30" s="17"/>
      <c r="Y30" s="17">
        <f t="shared" ref="Y30:Y35" si="34">W30+X30</f>
        <v>300.3</v>
      </c>
      <c r="Z30" s="36">
        <v>16.11</v>
      </c>
      <c r="AA30" s="17"/>
      <c r="AB30" s="17">
        <f t="shared" si="26"/>
        <v>16.11</v>
      </c>
      <c r="AC30" s="21">
        <f t="shared" si="27"/>
        <v>9982.41</v>
      </c>
      <c r="AD30" s="17"/>
      <c r="AE30" s="17">
        <f t="shared" ref="AE30:AE35" si="35">AC30+AD30</f>
        <v>9982.41</v>
      </c>
      <c r="AF30" s="37">
        <f t="shared" si="28"/>
        <v>0.86371928221742045</v>
      </c>
      <c r="AG30" s="17" t="e">
        <f t="shared" ref="AG30:AG35" si="36">R30/AD30</f>
        <v>#DIV/0!</v>
      </c>
      <c r="AH30" s="17">
        <f t="shared" ref="AH30:AH35" si="37">S30/AE30</f>
        <v>0.86371928221742045</v>
      </c>
      <c r="AJ30" s="41"/>
      <c r="BB30" t="s">
        <v>59</v>
      </c>
    </row>
    <row r="31" spans="1:54">
      <c r="A31" s="135"/>
      <c r="B31" s="136"/>
      <c r="C31" s="7">
        <v>352.59300000000002</v>
      </c>
      <c r="D31">
        <v>10</v>
      </c>
      <c r="E31" s="30">
        <v>1.0826899999999999</v>
      </c>
      <c r="F31" s="30">
        <v>2.0000000000000001E-4</v>
      </c>
      <c r="G31" s="30">
        <v>7.6374999999999998E-2</v>
      </c>
      <c r="H31" s="23">
        <f t="shared" si="22"/>
        <v>10.183333333333334</v>
      </c>
      <c r="I31" s="21"/>
      <c r="J31" s="17"/>
      <c r="K31" s="36">
        <v>85540</v>
      </c>
      <c r="L31" s="17"/>
      <c r="M31" s="17">
        <f t="shared" si="30"/>
        <v>85540</v>
      </c>
      <c r="N31" s="36">
        <v>3383000</v>
      </c>
      <c r="O31" s="17"/>
      <c r="P31" s="17">
        <f t="shared" si="31"/>
        <v>3383000</v>
      </c>
      <c r="Q31" s="36">
        <v>10930</v>
      </c>
      <c r="R31" s="17"/>
      <c r="S31" s="17">
        <f t="shared" si="32"/>
        <v>10930</v>
      </c>
      <c r="T31" s="36">
        <v>1769</v>
      </c>
      <c r="U31" s="17"/>
      <c r="V31" s="17">
        <f t="shared" si="33"/>
        <v>1769</v>
      </c>
      <c r="W31" s="36">
        <v>658.5</v>
      </c>
      <c r="X31" s="17"/>
      <c r="Y31" s="17">
        <f t="shared" si="34"/>
        <v>658.5</v>
      </c>
      <c r="Z31" s="36">
        <v>53.69</v>
      </c>
      <c r="AA31" s="17"/>
      <c r="AB31" s="17">
        <f t="shared" si="26"/>
        <v>53.69</v>
      </c>
      <c r="AC31" s="21">
        <f t="shared" si="27"/>
        <v>13411.19</v>
      </c>
      <c r="AD31" s="17"/>
      <c r="AE31" s="17">
        <f t="shared" si="35"/>
        <v>13411.19</v>
      </c>
      <c r="AF31" s="37">
        <f t="shared" si="28"/>
        <v>0.81499106343284966</v>
      </c>
      <c r="AG31" s="17" t="e">
        <f t="shared" si="36"/>
        <v>#DIV/0!</v>
      </c>
      <c r="AH31" s="17">
        <f t="shared" si="37"/>
        <v>0.81499106343284966</v>
      </c>
    </row>
    <row r="32" spans="1:54">
      <c r="A32" s="135"/>
      <c r="B32" s="136"/>
      <c r="C32" s="7">
        <v>705.18499999999995</v>
      </c>
      <c r="D32">
        <v>20</v>
      </c>
      <c r="E32" s="30">
        <v>0.99443999999999999</v>
      </c>
      <c r="F32" s="30">
        <v>1.9000000000000001E-4</v>
      </c>
      <c r="G32" s="30">
        <v>-5.5909999999999996E-3</v>
      </c>
      <c r="H32" s="23">
        <f t="shared" si="22"/>
        <v>-0.74546666666666661</v>
      </c>
      <c r="I32" s="21"/>
      <c r="J32" s="17"/>
      <c r="K32" s="36">
        <v>58150</v>
      </c>
      <c r="L32" s="17"/>
      <c r="M32" s="17">
        <f t="shared" si="30"/>
        <v>58150</v>
      </c>
      <c r="N32" s="36">
        <v>3360000</v>
      </c>
      <c r="O32" s="17"/>
      <c r="P32" s="17">
        <f t="shared" si="31"/>
        <v>3360000</v>
      </c>
      <c r="Q32" s="36">
        <v>15060</v>
      </c>
      <c r="R32" s="17"/>
      <c r="S32" s="17">
        <f t="shared" si="32"/>
        <v>15060</v>
      </c>
      <c r="T32" s="36">
        <v>4116</v>
      </c>
      <c r="U32" s="17"/>
      <c r="V32" s="17">
        <f t="shared" si="33"/>
        <v>4116</v>
      </c>
      <c r="W32" s="36">
        <v>2458</v>
      </c>
      <c r="X32" s="17"/>
      <c r="Y32" s="17">
        <f t="shared" si="34"/>
        <v>2458</v>
      </c>
      <c r="Z32" s="36">
        <v>458.7</v>
      </c>
      <c r="AA32" s="17"/>
      <c r="AB32" s="17">
        <f t="shared" si="26"/>
        <v>458.7</v>
      </c>
      <c r="AC32" s="21">
        <f t="shared" si="27"/>
        <v>22092.7</v>
      </c>
      <c r="AD32" s="17"/>
      <c r="AE32" s="17">
        <f t="shared" si="35"/>
        <v>22092.7</v>
      </c>
      <c r="AF32" s="37">
        <f t="shared" si="28"/>
        <v>0.68167313184898182</v>
      </c>
      <c r="AG32" s="17" t="e">
        <f t="shared" si="36"/>
        <v>#DIV/0!</v>
      </c>
      <c r="AH32" s="17">
        <f t="shared" si="37"/>
        <v>0.68167313184898182</v>
      </c>
    </row>
    <row r="33" spans="1:54">
      <c r="A33" s="135"/>
      <c r="B33" s="136"/>
      <c r="C33" s="7">
        <v>1057.78</v>
      </c>
      <c r="D33">
        <v>30</v>
      </c>
      <c r="E33" s="30">
        <v>0.91393999999999997</v>
      </c>
      <c r="F33" s="30">
        <v>1.9000000000000001E-4</v>
      </c>
      <c r="G33" s="30">
        <v>-9.4163999999999998E-2</v>
      </c>
      <c r="H33" s="23">
        <f t="shared" si="22"/>
        <v>-12.555200000000001</v>
      </c>
      <c r="I33" s="21"/>
      <c r="J33" s="17"/>
      <c r="K33" s="36">
        <v>37440</v>
      </c>
      <c r="L33" s="17"/>
      <c r="M33" s="17">
        <f t="shared" si="30"/>
        <v>37440</v>
      </c>
      <c r="N33" s="36">
        <v>3334000</v>
      </c>
      <c r="O33" s="17"/>
      <c r="P33" s="17">
        <f t="shared" si="31"/>
        <v>3334000</v>
      </c>
      <c r="Q33" s="36">
        <v>16630</v>
      </c>
      <c r="R33" s="17"/>
      <c r="S33" s="17">
        <f t="shared" si="32"/>
        <v>16630</v>
      </c>
      <c r="T33" s="36">
        <v>6322</v>
      </c>
      <c r="U33" s="17"/>
      <c r="V33" s="17">
        <f t="shared" si="33"/>
        <v>6322</v>
      </c>
      <c r="W33" s="36">
        <v>3890</v>
      </c>
      <c r="X33" s="17"/>
      <c r="Y33" s="17">
        <f t="shared" si="34"/>
        <v>3890</v>
      </c>
      <c r="Z33" s="36">
        <v>3890</v>
      </c>
      <c r="AA33" s="17"/>
      <c r="AB33" s="17">
        <f t="shared" si="26"/>
        <v>3890</v>
      </c>
      <c r="AC33" s="21">
        <f t="shared" si="27"/>
        <v>30732</v>
      </c>
      <c r="AD33" s="17"/>
      <c r="AE33" s="17">
        <f t="shared" si="35"/>
        <v>30732</v>
      </c>
      <c r="AF33" s="37">
        <f t="shared" si="28"/>
        <v>0.5411297670180919</v>
      </c>
      <c r="AG33" s="17" t="e">
        <f t="shared" si="36"/>
        <v>#DIV/0!</v>
      </c>
      <c r="AH33" s="17">
        <f t="shared" si="37"/>
        <v>0.5411297670180919</v>
      </c>
    </row>
    <row r="34" spans="1:54">
      <c r="A34" s="135"/>
      <c r="B34" s="136"/>
      <c r="C34" s="7">
        <v>1410.37</v>
      </c>
      <c r="D34">
        <v>40</v>
      </c>
      <c r="E34" s="30">
        <v>0.84211000000000003</v>
      </c>
      <c r="F34" s="30">
        <v>1.8000000000000001E-4</v>
      </c>
      <c r="G34" s="30">
        <v>-0.18749299999999999</v>
      </c>
      <c r="H34" s="23">
        <f t="shared" si="22"/>
        <v>-24.999066666666668</v>
      </c>
      <c r="I34" s="21"/>
      <c r="J34" s="17"/>
      <c r="K34" s="36">
        <v>22530</v>
      </c>
      <c r="L34" s="17"/>
      <c r="M34" s="17">
        <f t="shared" si="30"/>
        <v>22530</v>
      </c>
      <c r="N34" s="36">
        <v>3305000</v>
      </c>
      <c r="O34" s="17"/>
      <c r="P34" s="17">
        <f t="shared" si="31"/>
        <v>3305000</v>
      </c>
      <c r="Q34" s="36">
        <v>16940</v>
      </c>
      <c r="R34" s="17"/>
      <c r="S34" s="17">
        <f t="shared" si="32"/>
        <v>16940</v>
      </c>
      <c r="T34" s="36">
        <v>8167</v>
      </c>
      <c r="U34" s="17"/>
      <c r="V34" s="17">
        <f t="shared" si="33"/>
        <v>8167</v>
      </c>
      <c r="W34" s="36">
        <v>4801</v>
      </c>
      <c r="X34" s="17"/>
      <c r="Y34" s="17">
        <f t="shared" si="34"/>
        <v>4801</v>
      </c>
      <c r="Z34" s="36">
        <v>4801</v>
      </c>
      <c r="AA34" s="17"/>
      <c r="AB34" s="17">
        <f t="shared" si="26"/>
        <v>4801</v>
      </c>
      <c r="AC34" s="21">
        <f t="shared" si="27"/>
        <v>34709</v>
      </c>
      <c r="AD34" s="17"/>
      <c r="AE34" s="17">
        <f t="shared" si="35"/>
        <v>34709</v>
      </c>
      <c r="AF34" s="37">
        <f t="shared" si="28"/>
        <v>0.48805785243020544</v>
      </c>
      <c r="AG34" s="17" t="e">
        <f t="shared" si="36"/>
        <v>#DIV/0!</v>
      </c>
      <c r="AH34" s="17">
        <f t="shared" si="37"/>
        <v>0.48805785243020544</v>
      </c>
    </row>
    <row r="35" spans="1:54" s="18" customFormat="1">
      <c r="A35" s="137"/>
      <c r="B35" s="138"/>
      <c r="C35" s="20">
        <v>1762.96</v>
      </c>
      <c r="D35" s="18">
        <v>50</v>
      </c>
      <c r="E35" s="35">
        <v>0.78198999999999996</v>
      </c>
      <c r="F35" s="35">
        <v>1.9000000000000001E-4</v>
      </c>
      <c r="G35" s="35">
        <v>-0.27878900000000001</v>
      </c>
      <c r="H35" s="24">
        <f t="shared" si="22"/>
        <v>-37.171866666666666</v>
      </c>
      <c r="I35" s="22"/>
      <c r="J35" s="19"/>
      <c r="K35" s="36">
        <v>12580</v>
      </c>
      <c r="L35" s="19"/>
      <c r="M35" s="19">
        <f t="shared" si="30"/>
        <v>12580</v>
      </c>
      <c r="N35" s="36">
        <v>3274000</v>
      </c>
      <c r="O35" s="19"/>
      <c r="P35" s="19">
        <f t="shared" si="31"/>
        <v>3274000</v>
      </c>
      <c r="Q35" s="36">
        <v>16710</v>
      </c>
      <c r="R35" s="19"/>
      <c r="S35" s="19">
        <f t="shared" si="32"/>
        <v>16710</v>
      </c>
      <c r="T35" s="36">
        <v>9558</v>
      </c>
      <c r="U35" s="19"/>
      <c r="V35" s="19">
        <f t="shared" si="33"/>
        <v>9558</v>
      </c>
      <c r="W35" s="36">
        <v>5286</v>
      </c>
      <c r="X35" s="19"/>
      <c r="Y35" s="19">
        <f t="shared" si="34"/>
        <v>5286</v>
      </c>
      <c r="Z35" s="36">
        <v>5286</v>
      </c>
      <c r="AA35" s="19"/>
      <c r="AB35" s="19">
        <f t="shared" si="26"/>
        <v>5286</v>
      </c>
      <c r="AC35" s="21">
        <f t="shared" si="27"/>
        <v>36840</v>
      </c>
      <c r="AD35" s="19"/>
      <c r="AE35" s="19">
        <f t="shared" si="35"/>
        <v>36840</v>
      </c>
      <c r="AF35" s="37">
        <f t="shared" si="28"/>
        <v>0.45358306188925079</v>
      </c>
      <c r="AG35" s="19" t="e">
        <f t="shared" si="36"/>
        <v>#DIV/0!</v>
      </c>
      <c r="AH35" s="19">
        <f t="shared" si="37"/>
        <v>0.45358306188925079</v>
      </c>
    </row>
    <row r="37" spans="1:54" s="32" customFormat="1">
      <c r="A37" s="31" t="s">
        <v>1</v>
      </c>
      <c r="B37" s="32" t="s">
        <v>95</v>
      </c>
      <c r="C37" s="33"/>
      <c r="I37" s="34" t="s">
        <v>44</v>
      </c>
      <c r="K37" s="34" t="s">
        <v>47</v>
      </c>
      <c r="N37" s="34" t="s">
        <v>48</v>
      </c>
      <c r="O37" s="31"/>
      <c r="P37" s="31"/>
      <c r="Q37" s="34" t="s">
        <v>49</v>
      </c>
      <c r="T37" s="34" t="s">
        <v>50</v>
      </c>
      <c r="U37" s="31"/>
      <c r="V37" s="31"/>
      <c r="W37" s="34" t="s">
        <v>51</v>
      </c>
      <c r="Z37" s="34" t="s">
        <v>84</v>
      </c>
      <c r="AC37" s="34" t="s">
        <v>52</v>
      </c>
      <c r="AF37" s="34" t="s">
        <v>56</v>
      </c>
    </row>
    <row r="38" spans="1:54">
      <c r="A38" s="1" t="s">
        <v>36</v>
      </c>
      <c r="B38" t="s">
        <v>83</v>
      </c>
      <c r="C38" s="8" t="s">
        <v>43</v>
      </c>
      <c r="D38" s="1" t="s">
        <v>39</v>
      </c>
      <c r="E38" s="1" t="s">
        <v>40</v>
      </c>
      <c r="F38" s="1" t="s">
        <v>41</v>
      </c>
      <c r="G38" s="1" t="s">
        <v>42</v>
      </c>
      <c r="H38" s="1" t="s">
        <v>57</v>
      </c>
      <c r="I38" s="8" t="s">
        <v>45</v>
      </c>
      <c r="J38" s="1" t="s">
        <v>46</v>
      </c>
      <c r="K38" s="8" t="s">
        <v>53</v>
      </c>
      <c r="L38" s="1" t="s">
        <v>54</v>
      </c>
      <c r="M38" s="1" t="s">
        <v>55</v>
      </c>
      <c r="N38" s="8" t="s">
        <v>53</v>
      </c>
      <c r="O38" s="1" t="s">
        <v>54</v>
      </c>
      <c r="P38" s="1" t="s">
        <v>55</v>
      </c>
      <c r="Q38" s="8" t="s">
        <v>53</v>
      </c>
      <c r="R38" s="1" t="s">
        <v>54</v>
      </c>
      <c r="S38" s="1" t="s">
        <v>55</v>
      </c>
      <c r="T38" s="8" t="s">
        <v>53</v>
      </c>
      <c r="U38" s="1" t="s">
        <v>54</v>
      </c>
      <c r="V38" s="1" t="s">
        <v>55</v>
      </c>
      <c r="W38" s="8" t="s">
        <v>53</v>
      </c>
      <c r="X38" s="1" t="s">
        <v>54</v>
      </c>
      <c r="Y38" s="1" t="s">
        <v>55</v>
      </c>
      <c r="Z38" s="8" t="s">
        <v>53</v>
      </c>
      <c r="AA38" s="1" t="s">
        <v>54</v>
      </c>
      <c r="AB38" s="1" t="s">
        <v>55</v>
      </c>
      <c r="AC38" s="8" t="s">
        <v>53</v>
      </c>
      <c r="AD38" s="1" t="s">
        <v>54</v>
      </c>
      <c r="AE38" s="1" t="s">
        <v>55</v>
      </c>
      <c r="AF38" s="8" t="s">
        <v>53</v>
      </c>
      <c r="AG38" s="1" t="s">
        <v>54</v>
      </c>
      <c r="AH38" s="1" t="s">
        <v>55</v>
      </c>
    </row>
    <row r="39" spans="1:54">
      <c r="A39" s="1" t="s">
        <v>38</v>
      </c>
      <c r="B39" t="s">
        <v>90</v>
      </c>
      <c r="C39" s="7">
        <v>0</v>
      </c>
      <c r="D39">
        <v>0</v>
      </c>
      <c r="E39" s="30">
        <v>1.2324299999999999</v>
      </c>
      <c r="F39" s="30">
        <v>2.2000000000000001E-4</v>
      </c>
      <c r="G39" s="30">
        <v>0.18859500000000001</v>
      </c>
      <c r="H39" s="23">
        <f>G39/0.0075</f>
        <v>25.146000000000004</v>
      </c>
      <c r="I39" s="21"/>
      <c r="J39" s="17"/>
      <c r="Q39" s="7">
        <v>0</v>
      </c>
      <c r="T39" s="7">
        <v>0</v>
      </c>
      <c r="W39" s="7">
        <v>0</v>
      </c>
      <c r="Z39" s="7">
        <v>0</v>
      </c>
      <c r="AC39" s="7">
        <v>0</v>
      </c>
      <c r="AD39">
        <v>0</v>
      </c>
      <c r="AE39">
        <v>0</v>
      </c>
    </row>
    <row r="40" spans="1:54">
      <c r="A40" s="1" t="s">
        <v>87</v>
      </c>
      <c r="B40" t="s">
        <v>88</v>
      </c>
      <c r="C40" s="7">
        <v>3.5259299999999998</v>
      </c>
      <c r="D40">
        <v>0.1</v>
      </c>
      <c r="E40" s="30">
        <v>1.1938</v>
      </c>
      <c r="F40" s="30">
        <v>2.1000000000000001E-4</v>
      </c>
      <c r="G40" s="30">
        <v>0.16233900000000001</v>
      </c>
      <c r="H40" s="23">
        <f t="shared" ref="H40" si="38">G40/0.0075</f>
        <v>21.645200000000003</v>
      </c>
      <c r="I40" s="21"/>
      <c r="J40" s="17"/>
      <c r="K40" s="36">
        <v>121400</v>
      </c>
      <c r="L40" s="17"/>
      <c r="M40" s="17">
        <f>K40+L40</f>
        <v>121400</v>
      </c>
      <c r="N40" s="36">
        <v>3403000</v>
      </c>
      <c r="O40" s="17"/>
      <c r="P40" s="17">
        <f>N40+O40</f>
        <v>3403000</v>
      </c>
      <c r="Q40" s="36">
        <v>64.83</v>
      </c>
      <c r="R40" s="17"/>
      <c r="S40" s="17">
        <f>Q40+R40</f>
        <v>64.83</v>
      </c>
      <c r="T40" s="36">
        <v>0.2006</v>
      </c>
      <c r="U40" s="17"/>
      <c r="V40" s="17">
        <f>T40+U40</f>
        <v>0.2006</v>
      </c>
      <c r="W40" s="36">
        <v>8.1590000000000005E-4</v>
      </c>
      <c r="X40" s="17"/>
      <c r="Y40" s="17">
        <f>W40+X40</f>
        <v>8.1590000000000005E-4</v>
      </c>
      <c r="Z40" s="36">
        <v>0</v>
      </c>
      <c r="AA40" s="17"/>
      <c r="AB40" s="17">
        <f>Z40+AA40</f>
        <v>0</v>
      </c>
      <c r="AC40" s="21">
        <f>Q40+T40+W40+Z40</f>
        <v>65.031415899999999</v>
      </c>
      <c r="AD40" s="17"/>
      <c r="AE40" s="17">
        <f>AC40+AD40</f>
        <v>65.031415899999999</v>
      </c>
      <c r="AF40" s="37">
        <f>Q40/AC40</f>
        <v>0.99690279079407218</v>
      </c>
      <c r="AG40" s="17" t="e">
        <f>R40/AD40</f>
        <v>#DIV/0!</v>
      </c>
      <c r="AH40" s="23">
        <f>S40/AE40</f>
        <v>0.99690279079407218</v>
      </c>
      <c r="AJ40" s="1"/>
    </row>
    <row r="41" spans="1:54">
      <c r="A41" s="135" t="e" vm="1">
        <v>#VALUE!</v>
      </c>
      <c r="B41" s="136"/>
      <c r="C41" s="7">
        <v>35.256599999999999</v>
      </c>
      <c r="D41">
        <v>1</v>
      </c>
      <c r="E41" s="30">
        <v>1.17763</v>
      </c>
      <c r="F41" s="30">
        <v>2.1000000000000001E-4</v>
      </c>
      <c r="G41" s="30">
        <v>0.150837</v>
      </c>
      <c r="H41" s="23">
        <f>G41/0.0075</f>
        <v>20.111599999999999</v>
      </c>
      <c r="I41" s="21"/>
      <c r="J41" s="17"/>
      <c r="K41" s="36">
        <v>117700</v>
      </c>
      <c r="L41" s="17"/>
      <c r="M41" s="17">
        <f t="shared" ref="M41:M42" si="39">K41+L41</f>
        <v>117700</v>
      </c>
      <c r="N41" s="36">
        <v>3401000</v>
      </c>
      <c r="O41" s="17"/>
      <c r="P41" s="17">
        <f t="shared" ref="P41:P48" si="40">N41+O41</f>
        <v>3401000</v>
      </c>
      <c r="Q41" s="36">
        <v>1510</v>
      </c>
      <c r="R41" s="17"/>
      <c r="S41" s="17">
        <f t="shared" ref="S41:S48" si="41">Q41+R41</f>
        <v>1510</v>
      </c>
      <c r="T41" s="36">
        <v>31.08</v>
      </c>
      <c r="U41" s="17"/>
      <c r="V41" s="17">
        <f>T41+U41</f>
        <v>31.08</v>
      </c>
      <c r="W41" s="36">
        <v>1.3340000000000001</v>
      </c>
      <c r="X41" s="17"/>
      <c r="Y41" s="17">
        <f t="shared" ref="Y41:Y48" si="42">W41+X41</f>
        <v>1.3340000000000001</v>
      </c>
      <c r="Z41" s="36">
        <v>9.0570000000000008E-3</v>
      </c>
      <c r="AA41" s="17"/>
      <c r="AB41" s="17">
        <f t="shared" ref="AB41:AB48" si="43">Z41+AA41</f>
        <v>9.0570000000000008E-3</v>
      </c>
      <c r="AC41" s="21">
        <f t="shared" ref="AC41:AC48" si="44">Q41+T41+W41+Z41</f>
        <v>1542.423057</v>
      </c>
      <c r="AD41" s="17"/>
      <c r="AE41" s="17">
        <f t="shared" ref="AE41:AE43" si="45">AC41+AD41</f>
        <v>1542.423057</v>
      </c>
      <c r="AF41" s="37">
        <f t="shared" ref="AF41:AF48" si="46">Q41/AC41</f>
        <v>0.97897914138870401</v>
      </c>
      <c r="AG41" s="17" t="e">
        <f>R41/AD41</f>
        <v>#DIV/0!</v>
      </c>
      <c r="AH41" s="23">
        <f t="shared" ref="AH41:AH43" si="47">S41/AE41</f>
        <v>0.97897914138870401</v>
      </c>
      <c r="AJ41" s="1"/>
    </row>
    <row r="42" spans="1:54">
      <c r="A42" s="135"/>
      <c r="B42" s="136"/>
      <c r="C42" s="7">
        <v>141.02600000000001</v>
      </c>
      <c r="D42">
        <v>4</v>
      </c>
      <c r="E42" s="30">
        <v>1.14588</v>
      </c>
      <c r="F42" s="30">
        <v>2.2000000000000001E-4</v>
      </c>
      <c r="G42" s="30">
        <v>0.127308</v>
      </c>
      <c r="H42" s="23">
        <f t="shared" ref="H42:H48" si="48">G42/0.0075</f>
        <v>16.974400000000003</v>
      </c>
      <c r="I42" s="21"/>
      <c r="J42" s="17"/>
      <c r="K42" s="36">
        <v>106000</v>
      </c>
      <c r="L42" s="17"/>
      <c r="M42" s="17">
        <f t="shared" si="39"/>
        <v>106000</v>
      </c>
      <c r="N42" s="36">
        <v>3395000</v>
      </c>
      <c r="O42" s="17"/>
      <c r="P42" s="17">
        <f t="shared" si="40"/>
        <v>3395000</v>
      </c>
      <c r="Q42" s="36">
        <v>5591</v>
      </c>
      <c r="R42" s="17"/>
      <c r="S42" s="17">
        <f t="shared" si="41"/>
        <v>5591</v>
      </c>
      <c r="T42" s="36">
        <v>422.6</v>
      </c>
      <c r="U42" s="17"/>
      <c r="V42" s="17">
        <f>T42+U42</f>
        <v>422.6</v>
      </c>
      <c r="W42" s="36">
        <v>74.28</v>
      </c>
      <c r="X42" s="17"/>
      <c r="Y42" s="17">
        <f t="shared" si="42"/>
        <v>74.28</v>
      </c>
      <c r="Z42" s="36">
        <v>2.1539999999999999</v>
      </c>
      <c r="AA42" s="17"/>
      <c r="AB42" s="17">
        <f t="shared" si="43"/>
        <v>2.1539999999999999</v>
      </c>
      <c r="AC42" s="21">
        <f t="shared" si="44"/>
        <v>6090.0340000000006</v>
      </c>
      <c r="AD42" s="17"/>
      <c r="AE42" s="17">
        <f t="shared" si="45"/>
        <v>6090.0340000000006</v>
      </c>
      <c r="AF42" s="37">
        <f t="shared" si="46"/>
        <v>0.91805727192984465</v>
      </c>
      <c r="AG42" s="17" t="e">
        <f>R42/AD42</f>
        <v>#DIV/0!</v>
      </c>
      <c r="AH42" s="23">
        <f t="shared" si="47"/>
        <v>0.91805727192984465</v>
      </c>
      <c r="AJ42" s="1"/>
    </row>
    <row r="43" spans="1:54">
      <c r="A43" s="135"/>
      <c r="B43" s="136"/>
      <c r="C43" s="7">
        <v>246.79599999999999</v>
      </c>
      <c r="D43">
        <v>7</v>
      </c>
      <c r="E43" s="30">
        <v>1.1128899999999999</v>
      </c>
      <c r="F43" s="30">
        <v>2.1000000000000001E-4</v>
      </c>
      <c r="G43" s="30">
        <v>0.101439</v>
      </c>
      <c r="H43" s="23">
        <f t="shared" si="48"/>
        <v>13.5252</v>
      </c>
      <c r="I43" s="21"/>
      <c r="J43" s="17"/>
      <c r="K43" s="36">
        <v>95350</v>
      </c>
      <c r="L43" s="17"/>
      <c r="M43" s="17">
        <f t="shared" ref="M43:M48" si="49">K43+L43</f>
        <v>95350</v>
      </c>
      <c r="N43" s="36">
        <v>3389000</v>
      </c>
      <c r="O43" s="17"/>
      <c r="P43" s="17">
        <f t="shared" si="40"/>
        <v>3389000</v>
      </c>
      <c r="Q43" s="36">
        <v>8645</v>
      </c>
      <c r="R43" s="17"/>
      <c r="S43" s="17">
        <f t="shared" si="41"/>
        <v>8645</v>
      </c>
      <c r="T43" s="36">
        <v>1045</v>
      </c>
      <c r="U43" s="17"/>
      <c r="V43" s="17">
        <f>T43+U43</f>
        <v>1045</v>
      </c>
      <c r="W43" s="36">
        <v>301.8</v>
      </c>
      <c r="X43" s="17"/>
      <c r="Y43" s="17">
        <f t="shared" si="42"/>
        <v>301.8</v>
      </c>
      <c r="Z43" s="36">
        <v>16.2</v>
      </c>
      <c r="AA43" s="17"/>
      <c r="AB43" s="17">
        <f t="shared" si="43"/>
        <v>16.2</v>
      </c>
      <c r="AC43" s="21">
        <f t="shared" si="44"/>
        <v>10008</v>
      </c>
      <c r="AD43" s="17"/>
      <c r="AE43" s="17">
        <f t="shared" si="45"/>
        <v>10008</v>
      </c>
      <c r="AF43" s="37">
        <f t="shared" si="46"/>
        <v>0.86380895283772985</v>
      </c>
      <c r="AG43" s="17" t="e">
        <f t="shared" ref="AG43:AG48" si="50">R43/AD43</f>
        <v>#DIV/0!</v>
      </c>
      <c r="AH43" s="23">
        <f t="shared" si="47"/>
        <v>0.86380895283772985</v>
      </c>
      <c r="AJ43" s="41"/>
      <c r="BB43" t="s">
        <v>59</v>
      </c>
    </row>
    <row r="44" spans="1:54">
      <c r="A44" s="135"/>
      <c r="B44" s="136"/>
      <c r="C44" s="7">
        <v>352.59300000000002</v>
      </c>
      <c r="D44">
        <v>10</v>
      </c>
      <c r="E44" s="30">
        <v>1.0814999999999999</v>
      </c>
      <c r="F44" s="30">
        <v>2.1000000000000001E-4</v>
      </c>
      <c r="G44" s="30">
        <v>7.5357999999999994E-2</v>
      </c>
      <c r="H44" s="23">
        <f t="shared" si="48"/>
        <v>10.047733333333333</v>
      </c>
      <c r="I44" s="21"/>
      <c r="J44" s="17"/>
      <c r="K44" s="36">
        <v>85560</v>
      </c>
      <c r="L44" s="17"/>
      <c r="M44" s="17">
        <f t="shared" si="49"/>
        <v>85560</v>
      </c>
      <c r="N44" s="36">
        <v>3383000</v>
      </c>
      <c r="O44" s="17"/>
      <c r="P44" s="17">
        <f t="shared" si="40"/>
        <v>3383000</v>
      </c>
      <c r="Q44" s="36">
        <v>10960</v>
      </c>
      <c r="R44" s="17"/>
      <c r="S44" s="17">
        <f t="shared" si="41"/>
        <v>10960</v>
      </c>
      <c r="T44" s="36">
        <v>1772</v>
      </c>
      <c r="U44" s="17"/>
      <c r="V44" s="17">
        <f t="shared" ref="V44:V48" si="51">T44+U44</f>
        <v>1772</v>
      </c>
      <c r="W44" s="36">
        <v>661.3</v>
      </c>
      <c r="X44" s="17"/>
      <c r="Y44" s="17">
        <f t="shared" si="42"/>
        <v>661.3</v>
      </c>
      <c r="Z44" s="36">
        <v>53.89</v>
      </c>
      <c r="AA44" s="17"/>
      <c r="AB44" s="17">
        <f t="shared" si="43"/>
        <v>53.89</v>
      </c>
      <c r="AC44" s="21">
        <f t="shared" si="44"/>
        <v>13447.189999999999</v>
      </c>
      <c r="AD44" s="17"/>
      <c r="AE44" s="17">
        <f t="shared" ref="AE44:AE48" si="52">AC44+AD44</f>
        <v>13447.189999999999</v>
      </c>
      <c r="AF44" s="37">
        <f t="shared" si="46"/>
        <v>0.81504016824332826</v>
      </c>
      <c r="AG44" s="17" t="e">
        <f t="shared" si="50"/>
        <v>#DIV/0!</v>
      </c>
      <c r="AH44" s="23">
        <f t="shared" ref="AH44:AH48" si="53">S44/AE44</f>
        <v>0.81504016824332826</v>
      </c>
    </row>
    <row r="45" spans="1:54">
      <c r="A45" s="135"/>
      <c r="B45" s="136"/>
      <c r="C45" s="7">
        <v>705.18499999999995</v>
      </c>
      <c r="D45">
        <v>20</v>
      </c>
      <c r="E45" s="30">
        <v>0.99263000000000001</v>
      </c>
      <c r="F45" s="30">
        <v>1.9000000000000001E-4</v>
      </c>
      <c r="G45" s="30">
        <v>-7.4250000000000002E-3</v>
      </c>
      <c r="H45" s="23">
        <f t="shared" si="48"/>
        <v>-0.9900000000000001</v>
      </c>
      <c r="I45" s="21"/>
      <c r="J45" s="17"/>
      <c r="K45" s="36">
        <v>58190</v>
      </c>
      <c r="L45" s="17"/>
      <c r="M45" s="17">
        <f t="shared" si="49"/>
        <v>58190</v>
      </c>
      <c r="N45" s="36">
        <v>3360000</v>
      </c>
      <c r="O45" s="17"/>
      <c r="P45" s="17">
        <f t="shared" si="40"/>
        <v>3360000</v>
      </c>
      <c r="Q45" s="36">
        <v>15110</v>
      </c>
      <c r="R45" s="17"/>
      <c r="S45" s="17">
        <f t="shared" si="41"/>
        <v>15110</v>
      </c>
      <c r="T45" s="36">
        <v>4121</v>
      </c>
      <c r="U45" s="17"/>
      <c r="V45" s="17">
        <f t="shared" si="51"/>
        <v>4121</v>
      </c>
      <c r="W45" s="36">
        <v>2467</v>
      </c>
      <c r="X45" s="17"/>
      <c r="Y45" s="17">
        <f t="shared" si="42"/>
        <v>2467</v>
      </c>
      <c r="Z45" s="36">
        <v>460.1</v>
      </c>
      <c r="AA45" s="17"/>
      <c r="AB45" s="17">
        <f t="shared" si="43"/>
        <v>460.1</v>
      </c>
      <c r="AC45" s="21">
        <f t="shared" si="44"/>
        <v>22158.1</v>
      </c>
      <c r="AD45" s="17"/>
      <c r="AE45" s="17">
        <f t="shared" si="52"/>
        <v>22158.1</v>
      </c>
      <c r="AF45" s="37">
        <f t="shared" si="46"/>
        <v>0.6819176734467306</v>
      </c>
      <c r="AG45" s="17" t="e">
        <f t="shared" si="50"/>
        <v>#DIV/0!</v>
      </c>
      <c r="AH45" s="23">
        <f t="shared" si="53"/>
        <v>0.6819176734467306</v>
      </c>
    </row>
    <row r="46" spans="1:54">
      <c r="A46" s="135"/>
      <c r="B46" s="136"/>
      <c r="C46" s="7">
        <v>1057.78</v>
      </c>
      <c r="D46">
        <v>30</v>
      </c>
      <c r="E46" s="30">
        <v>0.91374999999999995</v>
      </c>
      <c r="F46" s="30">
        <v>1.9000000000000001E-4</v>
      </c>
      <c r="G46" s="30">
        <v>-9.4391000000000003E-2</v>
      </c>
      <c r="H46" s="23">
        <f t="shared" si="48"/>
        <v>-12.585466666666667</v>
      </c>
      <c r="I46" s="21"/>
      <c r="J46" s="17"/>
      <c r="K46" s="36">
        <v>37520</v>
      </c>
      <c r="L46" s="17"/>
      <c r="M46" s="17">
        <f t="shared" si="49"/>
        <v>37520</v>
      </c>
      <c r="N46" s="36">
        <v>3334000</v>
      </c>
      <c r="O46" s="17"/>
      <c r="P46" s="17">
        <f t="shared" si="40"/>
        <v>3334000</v>
      </c>
      <c r="Q46" s="36">
        <v>16700</v>
      </c>
      <c r="R46" s="17"/>
      <c r="S46" s="17">
        <f t="shared" si="41"/>
        <v>16700</v>
      </c>
      <c r="T46" s="36">
        <v>6321</v>
      </c>
      <c r="U46" s="17"/>
      <c r="V46" s="17">
        <f t="shared" si="51"/>
        <v>6321</v>
      </c>
      <c r="W46" s="36">
        <v>3908</v>
      </c>
      <c r="X46" s="17"/>
      <c r="Y46" s="17">
        <f t="shared" si="42"/>
        <v>3908</v>
      </c>
      <c r="Z46" s="36">
        <v>1322</v>
      </c>
      <c r="AA46" s="17"/>
      <c r="AB46" s="17">
        <f t="shared" si="43"/>
        <v>1322</v>
      </c>
      <c r="AC46" s="21">
        <f t="shared" si="44"/>
        <v>28251</v>
      </c>
      <c r="AD46" s="17"/>
      <c r="AE46" s="17">
        <f t="shared" si="52"/>
        <v>28251</v>
      </c>
      <c r="AF46" s="37">
        <f t="shared" si="46"/>
        <v>0.59112951753920218</v>
      </c>
      <c r="AG46" s="17" t="e">
        <f t="shared" si="50"/>
        <v>#DIV/0!</v>
      </c>
      <c r="AH46" s="23">
        <f t="shared" si="53"/>
        <v>0.59112951753920218</v>
      </c>
    </row>
    <row r="47" spans="1:54">
      <c r="A47" s="135"/>
      <c r="B47" s="136"/>
      <c r="C47" s="7">
        <v>1410.37</v>
      </c>
      <c r="D47">
        <v>40</v>
      </c>
      <c r="E47" s="30">
        <v>0.84228999999999998</v>
      </c>
      <c r="F47" s="30">
        <v>1.7000000000000001E-4</v>
      </c>
      <c r="G47" s="30">
        <v>-0.18723999999999999</v>
      </c>
      <c r="H47" s="23">
        <f t="shared" si="48"/>
        <v>-24.965333333333334</v>
      </c>
      <c r="I47" s="21"/>
      <c r="J47" s="17"/>
      <c r="K47" s="36">
        <v>22610</v>
      </c>
      <c r="L47" s="17"/>
      <c r="M47" s="17">
        <f t="shared" si="49"/>
        <v>22610</v>
      </c>
      <c r="N47" s="36">
        <v>3305000</v>
      </c>
      <c r="O47" s="17"/>
      <c r="P47" s="17">
        <f t="shared" si="40"/>
        <v>3305000</v>
      </c>
      <c r="Q47" s="36">
        <v>17020</v>
      </c>
      <c r="R47" s="17"/>
      <c r="S47" s="17">
        <f t="shared" si="41"/>
        <v>17020</v>
      </c>
      <c r="T47" s="36">
        <v>8168</v>
      </c>
      <c r="U47" s="17"/>
      <c r="V47" s="17">
        <f t="shared" si="51"/>
        <v>8168</v>
      </c>
      <c r="W47" s="36">
        <v>4822</v>
      </c>
      <c r="X47" s="17"/>
      <c r="Y47" s="17">
        <f t="shared" si="42"/>
        <v>4822</v>
      </c>
      <c r="Z47" s="36">
        <v>2521</v>
      </c>
      <c r="AA47" s="17"/>
      <c r="AB47" s="17">
        <f t="shared" si="43"/>
        <v>2521</v>
      </c>
      <c r="AC47" s="21">
        <f t="shared" si="44"/>
        <v>32531</v>
      </c>
      <c r="AD47" s="17"/>
      <c r="AE47" s="17">
        <f t="shared" si="52"/>
        <v>32531</v>
      </c>
      <c r="AF47" s="37">
        <f t="shared" si="46"/>
        <v>0.52319326181181025</v>
      </c>
      <c r="AG47" s="17" t="e">
        <f t="shared" si="50"/>
        <v>#DIV/0!</v>
      </c>
      <c r="AH47" s="23">
        <f t="shared" si="53"/>
        <v>0.52319326181181025</v>
      </c>
    </row>
    <row r="48" spans="1:54" s="18" customFormat="1">
      <c r="A48" s="137"/>
      <c r="B48" s="138"/>
      <c r="C48" s="20">
        <v>1762.96</v>
      </c>
      <c r="D48" s="18">
        <v>50</v>
      </c>
      <c r="E48" s="30">
        <v>0.78154000000000001</v>
      </c>
      <c r="F48" s="30">
        <v>2.0000000000000001E-4</v>
      </c>
      <c r="G48" s="30">
        <v>-0.27952500000000002</v>
      </c>
      <c r="H48" s="24">
        <f t="shared" si="48"/>
        <v>-37.270000000000003</v>
      </c>
      <c r="I48" s="22"/>
      <c r="J48" s="19"/>
      <c r="K48" s="36">
        <v>12670</v>
      </c>
      <c r="L48" s="19"/>
      <c r="M48" s="19">
        <f t="shared" si="49"/>
        <v>12670</v>
      </c>
      <c r="N48" s="36">
        <v>3274000</v>
      </c>
      <c r="O48" s="19"/>
      <c r="P48" s="19">
        <f t="shared" si="40"/>
        <v>3274000</v>
      </c>
      <c r="Q48" s="36">
        <v>16790</v>
      </c>
      <c r="R48" s="19"/>
      <c r="S48" s="19">
        <f t="shared" si="41"/>
        <v>16790</v>
      </c>
      <c r="T48" s="36">
        <v>9553</v>
      </c>
      <c r="U48" s="19"/>
      <c r="V48" s="19">
        <f t="shared" si="51"/>
        <v>9553</v>
      </c>
      <c r="W48" s="36">
        <v>5320</v>
      </c>
      <c r="X48" s="19"/>
      <c r="Y48" s="19">
        <f t="shared" si="42"/>
        <v>5320</v>
      </c>
      <c r="Z48" s="36">
        <v>3914</v>
      </c>
      <c r="AA48" s="19"/>
      <c r="AB48" s="19">
        <f t="shared" si="43"/>
        <v>3914</v>
      </c>
      <c r="AC48" s="21">
        <f t="shared" si="44"/>
        <v>35577</v>
      </c>
      <c r="AD48" s="19"/>
      <c r="AE48" s="19">
        <f t="shared" si="52"/>
        <v>35577</v>
      </c>
      <c r="AF48" s="37">
        <f t="shared" si="46"/>
        <v>0.47193411473704922</v>
      </c>
      <c r="AG48" s="19" t="e">
        <f t="shared" si="50"/>
        <v>#DIV/0!</v>
      </c>
      <c r="AH48" s="40">
        <f t="shared" si="53"/>
        <v>0.47193411473704922</v>
      </c>
    </row>
    <row r="50" spans="1:54" s="32" customFormat="1">
      <c r="A50" s="31" t="s">
        <v>1</v>
      </c>
      <c r="B50" s="39" t="s">
        <v>94</v>
      </c>
      <c r="C50" s="33"/>
      <c r="I50" s="34" t="s">
        <v>44</v>
      </c>
      <c r="K50" s="34" t="s">
        <v>47</v>
      </c>
      <c r="N50" s="34" t="s">
        <v>48</v>
      </c>
      <c r="O50" s="31"/>
      <c r="P50" s="31"/>
      <c r="Q50" s="34" t="s">
        <v>49</v>
      </c>
      <c r="T50" s="34" t="s">
        <v>50</v>
      </c>
      <c r="U50" s="31"/>
      <c r="V50" s="31"/>
      <c r="W50" s="34" t="s">
        <v>51</v>
      </c>
      <c r="Z50" s="34" t="s">
        <v>84</v>
      </c>
      <c r="AC50" s="34" t="s">
        <v>52</v>
      </c>
      <c r="AF50" s="34" t="s">
        <v>56</v>
      </c>
    </row>
    <row r="51" spans="1:54">
      <c r="A51" s="1" t="s">
        <v>36</v>
      </c>
      <c r="B51" t="s">
        <v>85</v>
      </c>
      <c r="C51" s="8" t="s">
        <v>43</v>
      </c>
      <c r="D51" s="1" t="s">
        <v>39</v>
      </c>
      <c r="E51" s="1" t="s">
        <v>40</v>
      </c>
      <c r="F51" s="1" t="s">
        <v>41</v>
      </c>
      <c r="G51" s="1" t="s">
        <v>42</v>
      </c>
      <c r="H51" s="1" t="s">
        <v>57</v>
      </c>
      <c r="I51" s="8" t="s">
        <v>45</v>
      </c>
      <c r="J51" s="1" t="s">
        <v>46</v>
      </c>
      <c r="K51" s="8" t="s">
        <v>53</v>
      </c>
      <c r="L51" s="1" t="s">
        <v>54</v>
      </c>
      <c r="M51" s="1" t="s">
        <v>55</v>
      </c>
      <c r="N51" s="8" t="s">
        <v>53</v>
      </c>
      <c r="O51" s="1" t="s">
        <v>54</v>
      </c>
      <c r="P51" s="1" t="s">
        <v>55</v>
      </c>
      <c r="Q51" s="8" t="s">
        <v>53</v>
      </c>
      <c r="R51" s="1" t="s">
        <v>54</v>
      </c>
      <c r="S51" s="1" t="s">
        <v>55</v>
      </c>
      <c r="T51" s="8" t="s">
        <v>53</v>
      </c>
      <c r="U51" s="1" t="s">
        <v>54</v>
      </c>
      <c r="V51" s="1" t="s">
        <v>55</v>
      </c>
      <c r="W51" s="8" t="s">
        <v>53</v>
      </c>
      <c r="X51" s="1" t="s">
        <v>54</v>
      </c>
      <c r="Y51" s="1" t="s">
        <v>55</v>
      </c>
      <c r="Z51" s="8" t="s">
        <v>53</v>
      </c>
      <c r="AA51" s="1" t="s">
        <v>54</v>
      </c>
      <c r="AB51" s="1" t="s">
        <v>55</v>
      </c>
      <c r="AC51" s="8" t="s">
        <v>53</v>
      </c>
      <c r="AD51" s="1" t="s">
        <v>54</v>
      </c>
      <c r="AE51" s="1" t="s">
        <v>55</v>
      </c>
      <c r="AF51" s="8" t="s">
        <v>53</v>
      </c>
      <c r="AG51" s="1" t="s">
        <v>54</v>
      </c>
      <c r="AH51" s="1" t="s">
        <v>55</v>
      </c>
    </row>
    <row r="52" spans="1:54">
      <c r="A52" s="1" t="s">
        <v>38</v>
      </c>
      <c r="B52" t="s">
        <v>86</v>
      </c>
      <c r="C52" s="7">
        <v>0</v>
      </c>
      <c r="D52">
        <v>0</v>
      </c>
      <c r="E52" s="30">
        <v>1.23176</v>
      </c>
      <c r="F52" s="30">
        <v>2.4000000000000001E-4</v>
      </c>
      <c r="G52" s="30">
        <v>0.18815399999999999</v>
      </c>
      <c r="H52" s="23">
        <f>G52/0.0075</f>
        <v>25.087199999999999</v>
      </c>
      <c r="I52" s="38">
        <v>0.92206999999999995</v>
      </c>
      <c r="J52" s="38">
        <v>7.7930100000000002E-2</v>
      </c>
      <c r="Q52" s="7">
        <v>0</v>
      </c>
      <c r="R52">
        <v>0</v>
      </c>
      <c r="S52" s="17">
        <f t="shared" ref="S52:S61" si="54">Q52+R52</f>
        <v>0</v>
      </c>
      <c r="T52" s="7">
        <v>0</v>
      </c>
      <c r="U52">
        <v>0</v>
      </c>
      <c r="V52" s="17">
        <f t="shared" ref="V52:V53" si="55">T52+U52</f>
        <v>0</v>
      </c>
      <c r="W52" s="7">
        <v>0</v>
      </c>
      <c r="X52">
        <v>0</v>
      </c>
      <c r="Y52" s="17">
        <f t="shared" ref="Y52:Y61" si="56">W52+X52</f>
        <v>0</v>
      </c>
      <c r="Z52" s="7">
        <v>0</v>
      </c>
      <c r="AA52">
        <v>0</v>
      </c>
      <c r="AB52" s="17">
        <f t="shared" ref="AB52:AB61" si="57">Z52+AA52</f>
        <v>0</v>
      </c>
      <c r="AC52" s="7">
        <v>0</v>
      </c>
      <c r="AD52">
        <v>0</v>
      </c>
      <c r="AE52">
        <v>0</v>
      </c>
    </row>
    <row r="53" spans="1:54">
      <c r="A53" s="1" t="s">
        <v>87</v>
      </c>
      <c r="B53" t="s">
        <v>88</v>
      </c>
      <c r="C53" s="7">
        <v>3.5259299999999998</v>
      </c>
      <c r="D53">
        <v>0.1</v>
      </c>
      <c r="E53" s="30">
        <v>1.1937500000000001</v>
      </c>
      <c r="F53" s="30">
        <v>2.0000000000000001E-4</v>
      </c>
      <c r="G53" s="30">
        <v>0.162304</v>
      </c>
      <c r="H53" s="23">
        <f t="shared" ref="H53" si="58">G53/0.0075</f>
        <v>21.640533333333334</v>
      </c>
      <c r="I53" s="38">
        <v>0.92130199999999995</v>
      </c>
      <c r="J53" s="38">
        <v>7.8697500000000004E-2</v>
      </c>
      <c r="K53" s="36">
        <v>103000</v>
      </c>
      <c r="L53" s="17">
        <v>19700</v>
      </c>
      <c r="M53" s="17">
        <f>K53+L53</f>
        <v>122700</v>
      </c>
      <c r="N53" s="36">
        <v>2513000</v>
      </c>
      <c r="O53" s="17">
        <v>888200</v>
      </c>
      <c r="P53" s="17">
        <f>N53+O53</f>
        <v>3401200</v>
      </c>
      <c r="Q53" s="36">
        <v>54.63</v>
      </c>
      <c r="R53" s="17">
        <v>6.9379999999999997</v>
      </c>
      <c r="S53" s="17">
        <f t="shared" si="54"/>
        <v>61.568000000000005</v>
      </c>
      <c r="T53" s="36">
        <v>0.19020000000000001</v>
      </c>
      <c r="U53" s="17">
        <v>9.2420000000000002E-3</v>
      </c>
      <c r="V53" s="17">
        <f t="shared" si="55"/>
        <v>0.19944200000000001</v>
      </c>
      <c r="W53" s="36">
        <v>9.2420000000000002E-3</v>
      </c>
      <c r="X53" s="17">
        <v>0</v>
      </c>
      <c r="Y53" s="17">
        <f>W53+X53</f>
        <v>9.2420000000000002E-3</v>
      </c>
      <c r="Z53" s="36">
        <v>0</v>
      </c>
      <c r="AA53" s="17">
        <v>0</v>
      </c>
      <c r="AB53" s="17">
        <f>Z53+AA53</f>
        <v>0</v>
      </c>
      <c r="AC53" s="21">
        <f>Q53+T53+W53+Z53</f>
        <v>54.829442</v>
      </c>
      <c r="AD53" s="21">
        <f>R53+U53+X53+AA53</f>
        <v>6.9472420000000001</v>
      </c>
      <c r="AE53" s="17">
        <f>AC53+AD53</f>
        <v>61.776684000000003</v>
      </c>
      <c r="AF53" s="37">
        <f>Q53/AC53</f>
        <v>0.99636250173766139</v>
      </c>
      <c r="AG53" s="23">
        <f>R53/AD53</f>
        <v>0.99866968791356336</v>
      </c>
      <c r="AH53" s="23">
        <f>S53/AE53</f>
        <v>0.99662196177444551</v>
      </c>
      <c r="AJ53" s="1"/>
    </row>
    <row r="54" spans="1:54">
      <c r="A54" s="135" t="e" vm="2">
        <v>#VALUE!</v>
      </c>
      <c r="B54" s="136"/>
      <c r="C54" s="7">
        <v>35.256599999999999</v>
      </c>
      <c r="D54">
        <v>1</v>
      </c>
      <c r="E54" s="30">
        <v>1.17828</v>
      </c>
      <c r="F54" s="30">
        <v>2.3000000000000001E-4</v>
      </c>
      <c r="G54" s="30">
        <v>0.151305</v>
      </c>
      <c r="H54" s="23">
        <f>G54/0.0075</f>
        <v>20.173999999999999</v>
      </c>
      <c r="I54" s="38">
        <v>0.92059199999999997</v>
      </c>
      <c r="J54" s="38">
        <v>7.9407900000000003E-2</v>
      </c>
      <c r="K54" s="36">
        <v>99550</v>
      </c>
      <c r="L54" s="17">
        <v>19400</v>
      </c>
      <c r="M54" s="17">
        <f t="shared" ref="M54:M56" si="59">K54+L54</f>
        <v>118950</v>
      </c>
      <c r="N54" s="36">
        <v>2512000</v>
      </c>
      <c r="O54" s="17">
        <v>888000</v>
      </c>
      <c r="P54" s="17">
        <f t="shared" ref="P54:P61" si="60">N54+O54</f>
        <v>3400000</v>
      </c>
      <c r="Q54" s="36">
        <v>1271</v>
      </c>
      <c r="R54" s="17">
        <v>166.5</v>
      </c>
      <c r="S54" s="17">
        <f t="shared" si="54"/>
        <v>1437.5</v>
      </c>
      <c r="T54" s="36">
        <v>28.88</v>
      </c>
      <c r="U54" s="17">
        <v>1.571</v>
      </c>
      <c r="V54" s="17">
        <f>T54+U54</f>
        <v>30.451000000000001</v>
      </c>
      <c r="W54" s="36">
        <v>1.571</v>
      </c>
      <c r="X54" s="17">
        <v>2.7519999999999999E-2</v>
      </c>
      <c r="Y54" s="17">
        <f t="shared" si="56"/>
        <v>1.5985199999999999</v>
      </c>
      <c r="Z54" s="36">
        <v>0</v>
      </c>
      <c r="AA54" s="17">
        <v>0</v>
      </c>
      <c r="AB54" s="17">
        <f t="shared" si="57"/>
        <v>0</v>
      </c>
      <c r="AC54" s="21">
        <f t="shared" ref="AC54:AD61" si="61">Q54+T54+W54+Z54</f>
        <v>1301.451</v>
      </c>
      <c r="AD54" s="21">
        <f t="shared" si="61"/>
        <v>168.09852000000001</v>
      </c>
      <c r="AE54" s="17">
        <f t="shared" ref="AE54:AE61" si="62">AC54+AD54</f>
        <v>1469.54952</v>
      </c>
      <c r="AF54" s="37">
        <f t="shared" ref="AF54:AF61" si="63">Q54/AC54</f>
        <v>0.97660226931325111</v>
      </c>
      <c r="AG54" s="23">
        <f t="shared" ref="AG54:AG55" si="64">R54/AD54</f>
        <v>0.990490576597581</v>
      </c>
      <c r="AH54" s="23">
        <f t="shared" ref="AH54:AH56" si="65">S54/AE54</f>
        <v>0.97819092207250014</v>
      </c>
      <c r="AJ54" s="1"/>
    </row>
    <row r="55" spans="1:54">
      <c r="A55" s="135"/>
      <c r="B55" s="136"/>
      <c r="C55" s="7">
        <v>141.02600000000001</v>
      </c>
      <c r="D55">
        <v>4</v>
      </c>
      <c r="E55" s="30">
        <v>1.1462000000000001</v>
      </c>
      <c r="F55" s="30">
        <v>1.7000000000000001E-4</v>
      </c>
      <c r="G55" s="30">
        <v>0.127552</v>
      </c>
      <c r="H55" s="23">
        <f t="shared" ref="H55:H61" si="66">G55/0.0075</f>
        <v>17.006933333333333</v>
      </c>
      <c r="I55" s="38">
        <v>0.91813199999999995</v>
      </c>
      <c r="J55" s="38">
        <v>8.1867599999999999E-2</v>
      </c>
      <c r="K55" s="36">
        <v>88740</v>
      </c>
      <c r="L55" s="17">
        <v>18470</v>
      </c>
      <c r="M55" s="17">
        <f t="shared" si="59"/>
        <v>107210</v>
      </c>
      <c r="N55" s="36">
        <v>2507000</v>
      </c>
      <c r="O55" s="17">
        <v>887400</v>
      </c>
      <c r="P55" s="17">
        <f t="shared" si="60"/>
        <v>3394400</v>
      </c>
      <c r="Q55" s="36">
        <v>4645</v>
      </c>
      <c r="R55" s="17">
        <v>669.9</v>
      </c>
      <c r="S55" s="17">
        <f t="shared" si="54"/>
        <v>5314.9</v>
      </c>
      <c r="T55" s="36">
        <v>383.1</v>
      </c>
      <c r="U55" s="17">
        <v>24.64</v>
      </c>
      <c r="V55" s="17">
        <f>T55+U55</f>
        <v>407.74</v>
      </c>
      <c r="W55" s="36">
        <v>24.64</v>
      </c>
      <c r="X55" s="17">
        <v>1.768</v>
      </c>
      <c r="Y55" s="17">
        <f t="shared" si="56"/>
        <v>26.408000000000001</v>
      </c>
      <c r="Z55" s="36">
        <v>2.3279999999999999E-2</v>
      </c>
      <c r="AA55" s="17">
        <v>2.3279999999999999E-2</v>
      </c>
      <c r="AB55" s="17">
        <f t="shared" si="57"/>
        <v>4.6559999999999997E-2</v>
      </c>
      <c r="AC55" s="21">
        <f t="shared" si="61"/>
        <v>5052.763280000001</v>
      </c>
      <c r="AD55" s="21">
        <f t="shared" si="61"/>
        <v>696.33127999999999</v>
      </c>
      <c r="AE55" s="17">
        <f t="shared" si="62"/>
        <v>5749.0945600000014</v>
      </c>
      <c r="AF55" s="37">
        <f t="shared" si="63"/>
        <v>0.91929895437333831</v>
      </c>
      <c r="AG55" s="23">
        <f t="shared" si="64"/>
        <v>0.96204209008103148</v>
      </c>
      <c r="AH55" s="23">
        <f t="shared" si="65"/>
        <v>0.92447601001017421</v>
      </c>
      <c r="AJ55" s="1"/>
    </row>
    <row r="56" spans="1:54">
      <c r="A56" s="135"/>
      <c r="B56" s="136"/>
      <c r="C56" s="7">
        <v>246.79599999999999</v>
      </c>
      <c r="D56">
        <v>7</v>
      </c>
      <c r="E56" s="30">
        <v>1.1138699999999999</v>
      </c>
      <c r="F56" s="30">
        <v>2.2000000000000001E-4</v>
      </c>
      <c r="G56" s="30">
        <v>0.102229</v>
      </c>
      <c r="H56" s="23">
        <f t="shared" si="66"/>
        <v>13.630533333333334</v>
      </c>
      <c r="I56" s="38">
        <v>0.91541300000000003</v>
      </c>
      <c r="J56" s="38">
        <v>8.4587099999999998E-2</v>
      </c>
      <c r="K56" s="36">
        <v>78920</v>
      </c>
      <c r="L56" s="17">
        <v>17560</v>
      </c>
      <c r="M56" s="17">
        <f t="shared" si="59"/>
        <v>96480</v>
      </c>
      <c r="N56" s="36">
        <v>2502000</v>
      </c>
      <c r="O56" s="17">
        <v>886700</v>
      </c>
      <c r="P56" s="17">
        <f t="shared" si="60"/>
        <v>3388700</v>
      </c>
      <c r="Q56" s="36">
        <v>7096</v>
      </c>
      <c r="R56" s="17">
        <v>1116</v>
      </c>
      <c r="S56" s="17">
        <f t="shared" si="54"/>
        <v>8212</v>
      </c>
      <c r="T56" s="36">
        <v>928.9</v>
      </c>
      <c r="U56" s="17">
        <v>69.36</v>
      </c>
      <c r="V56" s="17">
        <f>T56+U56</f>
        <v>998.26</v>
      </c>
      <c r="W56" s="36">
        <v>69.36</v>
      </c>
      <c r="X56" s="17">
        <v>8.6720000000000006</v>
      </c>
      <c r="Y56" s="17">
        <f t="shared" si="56"/>
        <v>78.031999999999996</v>
      </c>
      <c r="Z56" s="36">
        <v>0.2056</v>
      </c>
      <c r="AA56" s="17">
        <v>0.2056</v>
      </c>
      <c r="AB56" s="17">
        <f t="shared" si="57"/>
        <v>0.41120000000000001</v>
      </c>
      <c r="AC56" s="21">
        <f t="shared" si="61"/>
        <v>8094.4655999999995</v>
      </c>
      <c r="AD56" s="21">
        <f t="shared" si="61"/>
        <v>1194.2375999999999</v>
      </c>
      <c r="AE56" s="17">
        <f t="shared" si="62"/>
        <v>9288.7031999999999</v>
      </c>
      <c r="AF56" s="37">
        <f t="shared" si="63"/>
        <v>0.87664836082569808</v>
      </c>
      <c r="AG56" s="23">
        <f t="shared" ref="AG56:AG61" si="67">R56/AD56</f>
        <v>0.93448740853578893</v>
      </c>
      <c r="AH56" s="23">
        <f t="shared" si="65"/>
        <v>0.88408465887897036</v>
      </c>
      <c r="AJ56" s="41"/>
      <c r="BB56" t="s">
        <v>59</v>
      </c>
    </row>
    <row r="57" spans="1:54">
      <c r="A57" s="135"/>
      <c r="B57" s="136"/>
      <c r="C57" s="7">
        <v>352.59300000000002</v>
      </c>
      <c r="D57">
        <v>10</v>
      </c>
      <c r="E57" s="30">
        <v>1.0836600000000001</v>
      </c>
      <c r="F57" s="30">
        <v>1.9000000000000001E-4</v>
      </c>
      <c r="G57" s="30">
        <v>7.7201000000000006E-2</v>
      </c>
      <c r="H57" s="23">
        <f t="shared" si="66"/>
        <v>10.293466666666667</v>
      </c>
      <c r="I57" s="38">
        <v>0.91265700000000005</v>
      </c>
      <c r="J57" s="38">
        <v>8.7343400000000002E-2</v>
      </c>
      <c r="K57" s="36">
        <v>69930</v>
      </c>
      <c r="L57" s="17">
        <v>16680</v>
      </c>
      <c r="M57" s="17">
        <f t="shared" ref="M57:M61" si="68">K57+L57</f>
        <v>86610</v>
      </c>
      <c r="N57" s="36">
        <v>2496000</v>
      </c>
      <c r="O57" s="17">
        <v>886100</v>
      </c>
      <c r="P57" s="17">
        <f t="shared" si="60"/>
        <v>3382100</v>
      </c>
      <c r="Q57" s="36">
        <v>8896</v>
      </c>
      <c r="R57" s="17">
        <v>1514</v>
      </c>
      <c r="S57" s="17">
        <f t="shared" si="54"/>
        <v>10410</v>
      </c>
      <c r="T57" s="36">
        <v>1552</v>
      </c>
      <c r="U57" s="17">
        <v>130.4</v>
      </c>
      <c r="V57" s="17">
        <f t="shared" ref="V57:V61" si="69">T57+U57</f>
        <v>1682.4</v>
      </c>
      <c r="W57" s="36">
        <v>130.4</v>
      </c>
      <c r="X57" s="17">
        <v>22.67</v>
      </c>
      <c r="Y57" s="17">
        <f t="shared" si="56"/>
        <v>153.07</v>
      </c>
      <c r="Z57" s="36">
        <v>0.7964</v>
      </c>
      <c r="AA57" s="17">
        <v>0.7964</v>
      </c>
      <c r="AB57" s="17">
        <f t="shared" si="57"/>
        <v>1.5928</v>
      </c>
      <c r="AC57" s="21">
        <f t="shared" si="61"/>
        <v>10579.196399999999</v>
      </c>
      <c r="AD57" s="21">
        <f t="shared" si="61"/>
        <v>1667.8664000000001</v>
      </c>
      <c r="AE57" s="17">
        <f t="shared" si="62"/>
        <v>12247.0628</v>
      </c>
      <c r="AF57" s="37">
        <f t="shared" si="63"/>
        <v>0.84089562795147665</v>
      </c>
      <c r="AG57" s="23">
        <f t="shared" si="67"/>
        <v>0.90774656771069906</v>
      </c>
      <c r="AH57" s="23">
        <f t="shared" ref="AH57:AH61" si="70">S57/AE57</f>
        <v>0.84999972401545942</v>
      </c>
    </row>
    <row r="58" spans="1:54">
      <c r="A58" s="135"/>
      <c r="B58" s="136"/>
      <c r="C58" s="7">
        <v>705.18499999999995</v>
      </c>
      <c r="D58">
        <v>20</v>
      </c>
      <c r="E58" s="30">
        <v>0.99561999999999995</v>
      </c>
      <c r="F58" s="30">
        <v>1.8000000000000001E-4</v>
      </c>
      <c r="G58" s="30">
        <v>-4.3990000000000001E-3</v>
      </c>
      <c r="H58" s="23">
        <f t="shared" si="66"/>
        <v>-0.58653333333333335</v>
      </c>
      <c r="I58" s="38">
        <v>0.90303199999999995</v>
      </c>
      <c r="J58" s="38">
        <v>9.6968399999999996E-2</v>
      </c>
      <c r="K58" s="36">
        <v>45080</v>
      </c>
      <c r="L58" s="17">
        <v>13990</v>
      </c>
      <c r="M58" s="17">
        <f t="shared" si="68"/>
        <v>59070</v>
      </c>
      <c r="N58" s="36">
        <v>2476000</v>
      </c>
      <c r="O58" s="17">
        <v>883700</v>
      </c>
      <c r="P58" s="17">
        <f t="shared" si="60"/>
        <v>3359700</v>
      </c>
      <c r="Q58" s="36">
        <v>11890</v>
      </c>
      <c r="R58" s="17">
        <v>2498</v>
      </c>
      <c r="S58" s="17">
        <f t="shared" si="54"/>
        <v>14388</v>
      </c>
      <c r="T58" s="36">
        <v>3454</v>
      </c>
      <c r="U58" s="17">
        <v>395.2</v>
      </c>
      <c r="V58" s="17">
        <f t="shared" si="69"/>
        <v>3849.2</v>
      </c>
      <c r="W58" s="36">
        <v>395.2</v>
      </c>
      <c r="X58" s="17">
        <v>126.6</v>
      </c>
      <c r="Y58" s="17">
        <f t="shared" si="56"/>
        <v>521.79999999999995</v>
      </c>
      <c r="Z58" s="36">
        <v>9.6630000000000003</v>
      </c>
      <c r="AA58" s="17">
        <v>9.6630000000000003</v>
      </c>
      <c r="AB58" s="17">
        <f t="shared" si="57"/>
        <v>19.326000000000001</v>
      </c>
      <c r="AC58" s="21">
        <f t="shared" si="61"/>
        <v>15748.863000000001</v>
      </c>
      <c r="AD58" s="21">
        <f t="shared" si="61"/>
        <v>3029.4629999999997</v>
      </c>
      <c r="AE58" s="17">
        <f t="shared" si="62"/>
        <v>18778.326000000001</v>
      </c>
      <c r="AF58" s="37">
        <f t="shared" si="63"/>
        <v>0.75497513693528218</v>
      </c>
      <c r="AG58" s="23">
        <f t="shared" si="67"/>
        <v>0.82456857865568922</v>
      </c>
      <c r="AH58" s="23">
        <f t="shared" si="70"/>
        <v>0.76620248258550838</v>
      </c>
    </row>
    <row r="59" spans="1:54">
      <c r="A59" s="135"/>
      <c r="B59" s="136"/>
      <c r="C59" s="7">
        <v>1057.78</v>
      </c>
      <c r="D59">
        <v>30</v>
      </c>
      <c r="E59" s="30">
        <v>0.91596</v>
      </c>
      <c r="F59" s="30">
        <v>1.7000000000000001E-4</v>
      </c>
      <c r="G59" s="30">
        <v>-9.1750999999999999E-2</v>
      </c>
      <c r="H59" s="23">
        <f t="shared" si="66"/>
        <v>-12.233466666666667</v>
      </c>
      <c r="I59" s="38">
        <v>0.89268099999999995</v>
      </c>
      <c r="J59" s="38">
        <v>0.107319</v>
      </c>
      <c r="K59" s="36">
        <v>26970</v>
      </c>
      <c r="L59" s="17">
        <v>11480</v>
      </c>
      <c r="M59" s="17">
        <f t="shared" si="68"/>
        <v>38450</v>
      </c>
      <c r="N59" s="36">
        <v>2453000</v>
      </c>
      <c r="O59" s="17">
        <v>881100</v>
      </c>
      <c r="P59" s="17">
        <f t="shared" si="60"/>
        <v>3334100</v>
      </c>
      <c r="Q59" s="36">
        <v>12830</v>
      </c>
      <c r="R59" s="17">
        <v>3165</v>
      </c>
      <c r="S59" s="17">
        <f t="shared" si="54"/>
        <v>15995</v>
      </c>
      <c r="T59" s="36">
        <v>5162</v>
      </c>
      <c r="U59" s="17">
        <v>722.2</v>
      </c>
      <c r="V59" s="17">
        <f t="shared" si="69"/>
        <v>5884.2</v>
      </c>
      <c r="W59" s="36">
        <v>5162</v>
      </c>
      <c r="X59" s="17">
        <v>294.3</v>
      </c>
      <c r="Y59" s="17">
        <f t="shared" si="56"/>
        <v>5456.3</v>
      </c>
      <c r="Z59" s="36">
        <v>1342</v>
      </c>
      <c r="AA59" s="17">
        <v>38.85</v>
      </c>
      <c r="AB59" s="17">
        <f t="shared" si="57"/>
        <v>1380.85</v>
      </c>
      <c r="AC59" s="21">
        <f t="shared" si="61"/>
        <v>24496</v>
      </c>
      <c r="AD59" s="21">
        <f t="shared" si="61"/>
        <v>4220.3500000000004</v>
      </c>
      <c r="AE59" s="17">
        <f t="shared" si="62"/>
        <v>28716.35</v>
      </c>
      <c r="AF59" s="37">
        <f t="shared" si="63"/>
        <v>0.5237589810581319</v>
      </c>
      <c r="AG59" s="23">
        <f t="shared" si="67"/>
        <v>0.74993780136718513</v>
      </c>
      <c r="AH59" s="23">
        <f t="shared" si="70"/>
        <v>0.55699975797759815</v>
      </c>
    </row>
    <row r="60" spans="1:54">
      <c r="A60" s="135"/>
      <c r="B60" s="136"/>
      <c r="C60" s="7">
        <v>1410.37</v>
      </c>
      <c r="D60">
        <v>40</v>
      </c>
      <c r="E60" s="30">
        <v>0.84567999999999999</v>
      </c>
      <c r="F60" s="30">
        <v>2.1000000000000001E-4</v>
      </c>
      <c r="G60" s="30">
        <v>-0.18248</v>
      </c>
      <c r="H60" s="23">
        <f t="shared" si="66"/>
        <v>-24.330666666666669</v>
      </c>
      <c r="I60" s="38">
        <v>0.883525</v>
      </c>
      <c r="J60" s="38">
        <v>0.116475</v>
      </c>
      <c r="K60" s="36">
        <v>14720</v>
      </c>
      <c r="L60" s="17">
        <v>9147</v>
      </c>
      <c r="M60" s="17">
        <f t="shared" si="68"/>
        <v>23867</v>
      </c>
      <c r="N60" s="36">
        <v>2427000</v>
      </c>
      <c r="O60" s="17">
        <v>878000</v>
      </c>
      <c r="P60" s="17">
        <f t="shared" si="60"/>
        <v>3305000</v>
      </c>
      <c r="Q60" s="36">
        <v>12860</v>
      </c>
      <c r="R60" s="17">
        <v>3580</v>
      </c>
      <c r="S60" s="17">
        <f t="shared" si="54"/>
        <v>16440</v>
      </c>
      <c r="T60" s="36">
        <v>6515</v>
      </c>
      <c r="U60" s="17">
        <v>1083</v>
      </c>
      <c r="V60" s="17">
        <f t="shared" si="69"/>
        <v>7598</v>
      </c>
      <c r="W60" s="36">
        <v>6515</v>
      </c>
      <c r="X60" s="17">
        <v>490.1</v>
      </c>
      <c r="Y60" s="17">
        <f t="shared" si="56"/>
        <v>7005.1</v>
      </c>
      <c r="Z60" s="36">
        <v>2465</v>
      </c>
      <c r="AA60" s="17">
        <v>99.65</v>
      </c>
      <c r="AB60" s="17">
        <f t="shared" si="57"/>
        <v>2564.65</v>
      </c>
      <c r="AC60" s="21">
        <f t="shared" si="61"/>
        <v>28355</v>
      </c>
      <c r="AD60" s="21">
        <f t="shared" si="61"/>
        <v>5252.75</v>
      </c>
      <c r="AE60" s="17">
        <f t="shared" si="62"/>
        <v>33607.75</v>
      </c>
      <c r="AF60" s="37">
        <f t="shared" si="63"/>
        <v>0.4535355316522659</v>
      </c>
      <c r="AG60" s="23">
        <f t="shared" si="67"/>
        <v>0.68154776069677792</v>
      </c>
      <c r="AH60" s="23">
        <f t="shared" si="70"/>
        <v>0.48917288423057181</v>
      </c>
    </row>
    <row r="61" spans="1:54" s="18" customFormat="1">
      <c r="A61" s="137"/>
      <c r="B61" s="138"/>
      <c r="C61" s="20">
        <v>1762.96</v>
      </c>
      <c r="D61" s="18">
        <v>50</v>
      </c>
      <c r="E61" s="35">
        <v>0.78844999999999998</v>
      </c>
      <c r="F61" s="35">
        <v>1.9000000000000001E-4</v>
      </c>
      <c r="G61" s="35">
        <v>-0.26831100000000002</v>
      </c>
      <c r="H61" s="24">
        <f t="shared" si="66"/>
        <v>-35.774800000000006</v>
      </c>
      <c r="I61" s="42">
        <v>0.87685100000000005</v>
      </c>
      <c r="J61" s="42">
        <v>0.12314899999999999</v>
      </c>
      <c r="K61" s="43">
        <v>7307</v>
      </c>
      <c r="L61" s="19">
        <v>7057</v>
      </c>
      <c r="M61" s="19">
        <f t="shared" si="68"/>
        <v>14364</v>
      </c>
      <c r="N61" s="43">
        <v>2399000</v>
      </c>
      <c r="O61" s="19">
        <v>874600</v>
      </c>
      <c r="P61" s="19">
        <f t="shared" si="60"/>
        <v>3273600</v>
      </c>
      <c r="Q61" s="43">
        <v>12560</v>
      </c>
      <c r="R61" s="19">
        <v>3811</v>
      </c>
      <c r="S61" s="19">
        <f t="shared" si="54"/>
        <v>16371</v>
      </c>
      <c r="T61" s="43">
        <v>7461</v>
      </c>
      <c r="U61" s="19">
        <v>1446</v>
      </c>
      <c r="V61" s="19">
        <f t="shared" si="69"/>
        <v>8907</v>
      </c>
      <c r="W61" s="43">
        <v>7461</v>
      </c>
      <c r="X61" s="19">
        <v>684</v>
      </c>
      <c r="Y61" s="19">
        <f t="shared" si="56"/>
        <v>8145</v>
      </c>
      <c r="Z61" s="43">
        <v>3687</v>
      </c>
      <c r="AA61" s="19">
        <v>199</v>
      </c>
      <c r="AB61" s="19">
        <f t="shared" si="57"/>
        <v>3886</v>
      </c>
      <c r="AC61" s="22">
        <f t="shared" si="61"/>
        <v>31169</v>
      </c>
      <c r="AD61" s="22">
        <f t="shared" si="61"/>
        <v>6140</v>
      </c>
      <c r="AE61" s="19">
        <f t="shared" si="62"/>
        <v>37309</v>
      </c>
      <c r="AF61" s="44">
        <f t="shared" si="63"/>
        <v>0.40296448394237866</v>
      </c>
      <c r="AG61" s="40">
        <f t="shared" si="67"/>
        <v>0.62068403908794789</v>
      </c>
      <c r="AH61" s="40">
        <f t="shared" si="70"/>
        <v>0.43879492883754589</v>
      </c>
    </row>
  </sheetData>
  <mergeCells count="5">
    <mergeCell ref="A54:B61"/>
    <mergeCell ref="A6:B11"/>
    <mergeCell ref="A17:B22"/>
    <mergeCell ref="A28:B35"/>
    <mergeCell ref="A41:B4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DBFE-A5BA-41A3-9D62-681D89010C7A}">
  <dimension ref="A2:BB78"/>
  <sheetViews>
    <sheetView topLeftCell="A10" zoomScale="85" zoomScaleNormal="85" workbookViewId="0">
      <selection activeCell="V43" sqref="V43"/>
    </sheetView>
  </sheetViews>
  <sheetFormatPr defaultColWidth="8.77734375" defaultRowHeight="14.4"/>
  <cols>
    <col min="1" max="1" width="10.77734375" customWidth="1"/>
    <col min="2" max="2" width="12.33203125" customWidth="1"/>
    <col min="3" max="3" width="10.33203125" style="7" customWidth="1"/>
    <col min="4" max="4" width="16.44140625" customWidth="1"/>
    <col min="6" max="6" width="9.44140625" customWidth="1"/>
    <col min="7" max="8" width="11.77734375" customWidth="1"/>
    <col min="9" max="9" width="10.109375" style="7" customWidth="1"/>
    <col min="10" max="10" width="12.109375" customWidth="1"/>
    <col min="11" max="11" width="10.5546875" style="7" customWidth="1"/>
    <col min="12" max="12" width="9.77734375" customWidth="1"/>
    <col min="14" max="14" width="10.21875" style="7" customWidth="1"/>
    <col min="15" max="15" width="9.77734375" customWidth="1"/>
    <col min="17" max="17" width="10" style="7" customWidth="1"/>
    <col min="18" max="18" width="9.77734375" customWidth="1"/>
    <col min="20" max="20" width="10.5546875" style="7" customWidth="1"/>
    <col min="21" max="21" width="9.77734375" customWidth="1"/>
    <col min="23" max="23" width="10.5546875" style="7" customWidth="1"/>
    <col min="24" max="24" width="9.77734375" customWidth="1"/>
    <col min="26" max="26" width="10.33203125" style="7" customWidth="1"/>
    <col min="29" max="29" width="8.77734375" style="7"/>
    <col min="30" max="30" width="10.33203125" customWidth="1"/>
    <col min="32" max="32" width="8.77734375" style="7"/>
    <col min="34" max="34" width="9.77734375" bestFit="1" customWidth="1"/>
  </cols>
  <sheetData>
    <row r="2" spans="1:54" s="32" customFormat="1">
      <c r="A2" s="31" t="s">
        <v>1</v>
      </c>
      <c r="B2" s="32" t="s">
        <v>96</v>
      </c>
      <c r="C2" s="33"/>
      <c r="I2" s="34" t="s">
        <v>44</v>
      </c>
      <c r="K2" s="34" t="s">
        <v>47</v>
      </c>
      <c r="N2" s="34" t="s">
        <v>48</v>
      </c>
      <c r="O2" s="31"/>
      <c r="P2" s="31"/>
      <c r="Q2" s="34" t="s">
        <v>49</v>
      </c>
      <c r="T2" s="34" t="s">
        <v>50</v>
      </c>
      <c r="U2" s="31"/>
      <c r="V2" s="31"/>
      <c r="W2" s="34" t="s">
        <v>51</v>
      </c>
      <c r="Z2" s="34" t="s">
        <v>84</v>
      </c>
      <c r="AC2" s="34" t="s">
        <v>103</v>
      </c>
      <c r="AF2" s="34" t="s">
        <v>56</v>
      </c>
    </row>
    <row r="3" spans="1:54">
      <c r="A3" s="1" t="s">
        <v>36</v>
      </c>
      <c r="B3" s="15" t="s">
        <v>83</v>
      </c>
      <c r="C3" s="8" t="s">
        <v>43</v>
      </c>
      <c r="D3" s="1" t="s">
        <v>39</v>
      </c>
      <c r="E3" s="1" t="s">
        <v>40</v>
      </c>
      <c r="F3" s="1" t="s">
        <v>41</v>
      </c>
      <c r="G3" s="1" t="s">
        <v>42</v>
      </c>
      <c r="H3" s="1" t="s">
        <v>57</v>
      </c>
      <c r="I3" s="8" t="s">
        <v>45</v>
      </c>
      <c r="J3" s="1" t="s">
        <v>46</v>
      </c>
      <c r="K3" s="8" t="s">
        <v>53</v>
      </c>
      <c r="L3" s="1" t="s">
        <v>54</v>
      </c>
      <c r="M3" s="1" t="s">
        <v>55</v>
      </c>
      <c r="N3" s="8" t="s">
        <v>53</v>
      </c>
      <c r="O3" s="1" t="s">
        <v>54</v>
      </c>
      <c r="P3" s="1" t="s">
        <v>55</v>
      </c>
      <c r="Q3" s="8" t="s">
        <v>53</v>
      </c>
      <c r="R3" s="1" t="s">
        <v>54</v>
      </c>
      <c r="S3" s="1" t="s">
        <v>55</v>
      </c>
      <c r="T3" s="8" t="s">
        <v>53</v>
      </c>
      <c r="U3" s="1" t="s">
        <v>54</v>
      </c>
      <c r="V3" s="1" t="s">
        <v>55</v>
      </c>
      <c r="W3" s="8" t="s">
        <v>53</v>
      </c>
      <c r="X3" s="1" t="s">
        <v>54</v>
      </c>
      <c r="Y3" s="1" t="s">
        <v>55</v>
      </c>
      <c r="Z3" s="8" t="s">
        <v>53</v>
      </c>
      <c r="AA3" s="1" t="s">
        <v>54</v>
      </c>
      <c r="AB3" s="1" t="s">
        <v>55</v>
      </c>
      <c r="AC3" s="8" t="s">
        <v>53</v>
      </c>
      <c r="AD3" s="1" t="s">
        <v>54</v>
      </c>
      <c r="AE3" s="1" t="s">
        <v>55</v>
      </c>
      <c r="AF3" s="8" t="s">
        <v>53</v>
      </c>
      <c r="AG3" s="1" t="s">
        <v>54</v>
      </c>
      <c r="AH3" s="1" t="s">
        <v>55</v>
      </c>
    </row>
    <row r="4" spans="1:54">
      <c r="A4" s="1" t="s">
        <v>38</v>
      </c>
      <c r="B4" s="15" t="s">
        <v>90</v>
      </c>
      <c r="C4" s="7">
        <v>0</v>
      </c>
      <c r="D4">
        <v>0</v>
      </c>
      <c r="E4" s="30">
        <v>1.2342900000000001</v>
      </c>
      <c r="F4" s="30">
        <v>1.8000000000000001E-4</v>
      </c>
      <c r="G4" s="30">
        <v>0.18981799999999999</v>
      </c>
      <c r="H4" s="23">
        <f>G4/0.0075</f>
        <v>25.309066666666666</v>
      </c>
      <c r="I4" s="21"/>
      <c r="J4" s="17"/>
      <c r="Q4" s="7">
        <v>0</v>
      </c>
      <c r="T4" s="7">
        <v>0</v>
      </c>
      <c r="W4" s="7">
        <v>0</v>
      </c>
      <c r="Z4" s="7">
        <v>0</v>
      </c>
      <c r="AC4" s="7">
        <v>0</v>
      </c>
      <c r="AD4">
        <v>0</v>
      </c>
      <c r="AE4">
        <v>0</v>
      </c>
    </row>
    <row r="5" spans="1:54">
      <c r="A5" s="1" t="s">
        <v>87</v>
      </c>
      <c r="B5" t="s">
        <v>89</v>
      </c>
      <c r="C5" s="7">
        <v>3.5259299999999998</v>
      </c>
      <c r="D5">
        <v>0.1</v>
      </c>
      <c r="E5" s="30">
        <v>1.19486</v>
      </c>
      <c r="F5" s="30">
        <v>2.0000000000000001E-4</v>
      </c>
      <c r="G5" s="30">
        <v>0.163082</v>
      </c>
      <c r="H5" s="23">
        <f t="shared" ref="H5:H13" si="0">G5/0.0075</f>
        <v>21.744266666666668</v>
      </c>
      <c r="I5" s="21"/>
      <c r="J5" s="17"/>
      <c r="K5" s="48">
        <v>121400</v>
      </c>
      <c r="L5" s="17"/>
      <c r="M5" s="17">
        <f>K5+L5</f>
        <v>121400</v>
      </c>
      <c r="N5" s="48">
        <v>3403000</v>
      </c>
      <c r="O5" s="17"/>
      <c r="P5" s="17">
        <f>N5+O5</f>
        <v>3403000</v>
      </c>
      <c r="Q5" s="48">
        <v>64.5</v>
      </c>
      <c r="R5" s="17"/>
      <c r="S5" s="17">
        <f>Q5+R5</f>
        <v>64.5</v>
      </c>
      <c r="T5" s="48">
        <v>0.19919999999999999</v>
      </c>
      <c r="U5" s="17"/>
      <c r="V5" s="17">
        <f>T5+U5</f>
        <v>0.19919999999999999</v>
      </c>
      <c r="W5" s="48">
        <v>8.0769999999999995E-4</v>
      </c>
      <c r="X5" s="17"/>
      <c r="Y5" s="17">
        <f>W5+X5</f>
        <v>8.0769999999999995E-4</v>
      </c>
      <c r="Z5" s="48">
        <v>0</v>
      </c>
      <c r="AA5" s="17"/>
      <c r="AB5" s="17">
        <f>Z5+AA5</f>
        <v>0</v>
      </c>
      <c r="AC5" s="21">
        <f>(Q5+T5+W5+Z5)/1000</f>
        <v>6.4700007700000006E-2</v>
      </c>
      <c r="AD5" s="17"/>
      <c r="AE5" s="17">
        <f>AC5+AD5</f>
        <v>6.4700007700000006E-2</v>
      </c>
      <c r="AF5" s="47">
        <f>Q5/AC5/1000</f>
        <v>0.99690869124888837</v>
      </c>
      <c r="AG5" s="17" t="e">
        <f>R5/AD5</f>
        <v>#DIV/0!</v>
      </c>
      <c r="AH5" s="29">
        <f>S5/AE5</f>
        <v>996.90869124888832</v>
      </c>
      <c r="AJ5" s="1"/>
    </row>
    <row r="6" spans="1:54">
      <c r="A6" s="135" t="e" vm="1">
        <v>#VALUE!</v>
      </c>
      <c r="B6" s="136"/>
      <c r="C6" s="7">
        <v>35.256599999999999</v>
      </c>
      <c r="D6">
        <v>1</v>
      </c>
      <c r="E6" s="30">
        <v>1.17886</v>
      </c>
      <c r="F6" s="30">
        <v>2.2000000000000001E-4</v>
      </c>
      <c r="G6" s="30">
        <v>0.151723</v>
      </c>
      <c r="H6" s="23">
        <f>G6/0.0075</f>
        <v>20.229733333333332</v>
      </c>
      <c r="I6" s="21"/>
      <c r="J6" s="17"/>
      <c r="K6" s="48">
        <v>117700</v>
      </c>
      <c r="L6" s="17"/>
      <c r="M6" s="17">
        <f t="shared" ref="M6:M13" si="1">K6+L6</f>
        <v>117700</v>
      </c>
      <c r="N6" s="48">
        <v>3401000</v>
      </c>
      <c r="O6" s="17"/>
      <c r="P6" s="17">
        <f t="shared" ref="P6:P13" si="2">N6+O6</f>
        <v>3401000</v>
      </c>
      <c r="Q6" s="48">
        <v>1507</v>
      </c>
      <c r="R6" s="17"/>
      <c r="S6" s="17">
        <f t="shared" ref="S6:S13" si="3">Q6+R6</f>
        <v>1507</v>
      </c>
      <c r="T6" s="48">
        <v>30.96</v>
      </c>
      <c r="U6" s="17"/>
      <c r="V6" s="17">
        <f t="shared" ref="V6:V13" si="4">T6+U6</f>
        <v>30.96</v>
      </c>
      <c r="W6" s="48">
        <v>1.3260000000000001</v>
      </c>
      <c r="X6" s="17"/>
      <c r="Y6" s="17">
        <f t="shared" ref="Y6:Y13" si="5">W6+X6</f>
        <v>1.3260000000000001</v>
      </c>
      <c r="Z6" s="48">
        <v>8.9949999999999995E-3</v>
      </c>
      <c r="AA6" s="17"/>
      <c r="AB6" s="17">
        <f t="shared" ref="AB6:AB13" si="6">Z6+AA6</f>
        <v>8.9949999999999995E-3</v>
      </c>
      <c r="AC6" s="21">
        <f t="shared" ref="AC6:AC13" si="7">(Q6+T6+W6+Z6)/1000</f>
        <v>1.5392949949999999</v>
      </c>
      <c r="AD6" s="17"/>
      <c r="AE6" s="17">
        <f t="shared" ref="AE6:AE13" si="8">AC6+AD6</f>
        <v>1.5392949949999999</v>
      </c>
      <c r="AF6" s="47">
        <f t="shared" ref="AF6:AF13" si="9">Q6/AC6/1000</f>
        <v>0.97901961930305637</v>
      </c>
      <c r="AG6" s="17" t="e">
        <f t="shared" ref="AG6:AH13" si="10">R6/AD6</f>
        <v>#DIV/0!</v>
      </c>
      <c r="AH6" s="29">
        <f t="shared" si="10"/>
        <v>979.0196193030564</v>
      </c>
      <c r="AJ6" s="1"/>
    </row>
    <row r="7" spans="1:54">
      <c r="A7" s="135"/>
      <c r="B7" s="136"/>
      <c r="C7" s="7">
        <v>141.02600000000001</v>
      </c>
      <c r="D7">
        <v>4</v>
      </c>
      <c r="E7" s="30">
        <v>1.1470199999999999</v>
      </c>
      <c r="F7" s="30">
        <v>2.1000000000000001E-4</v>
      </c>
      <c r="G7" s="30">
        <v>0.12817600000000001</v>
      </c>
      <c r="H7" s="23">
        <f t="shared" si="0"/>
        <v>17.090133333333334</v>
      </c>
      <c r="I7" s="21"/>
      <c r="J7" s="17"/>
      <c r="K7" s="48">
        <v>106000</v>
      </c>
      <c r="L7" s="17"/>
      <c r="M7" s="17">
        <f t="shared" si="1"/>
        <v>106000</v>
      </c>
      <c r="N7" s="48">
        <v>3395000</v>
      </c>
      <c r="O7" s="17"/>
      <c r="P7" s="17">
        <f t="shared" si="2"/>
        <v>3395000</v>
      </c>
      <c r="Q7" s="48">
        <v>5577</v>
      </c>
      <c r="R7" s="17"/>
      <c r="S7" s="17">
        <f t="shared" si="3"/>
        <v>5577</v>
      </c>
      <c r="T7" s="48">
        <v>421.8</v>
      </c>
      <c r="U7" s="17"/>
      <c r="V7" s="17">
        <f t="shared" si="4"/>
        <v>421.8</v>
      </c>
      <c r="W7" s="48">
        <v>73.56</v>
      </c>
      <c r="X7" s="17"/>
      <c r="Y7" s="17">
        <f t="shared" si="5"/>
        <v>73.56</v>
      </c>
      <c r="Z7" s="48">
        <v>2.1320000000000001</v>
      </c>
      <c r="AA7" s="17"/>
      <c r="AB7" s="17">
        <f t="shared" si="6"/>
        <v>2.1320000000000001</v>
      </c>
      <c r="AC7" s="21">
        <f t="shared" si="7"/>
        <v>6.0744920000000002</v>
      </c>
      <c r="AD7" s="17"/>
      <c r="AE7" s="17">
        <f t="shared" si="8"/>
        <v>6.0744920000000002</v>
      </c>
      <c r="AF7" s="47">
        <f t="shared" si="9"/>
        <v>0.91810146428705475</v>
      </c>
      <c r="AG7" s="17" t="e">
        <f t="shared" si="10"/>
        <v>#DIV/0!</v>
      </c>
      <c r="AH7" s="29">
        <f t="shared" si="10"/>
        <v>918.1014642870548</v>
      </c>
      <c r="AJ7" s="1"/>
    </row>
    <row r="8" spans="1:54">
      <c r="A8" s="135"/>
      <c r="B8" s="136"/>
      <c r="C8" s="7">
        <v>246.79599999999999</v>
      </c>
      <c r="D8">
        <v>7</v>
      </c>
      <c r="E8" s="30">
        <v>1.1138699999999999</v>
      </c>
      <c r="F8" s="30">
        <v>2.1000000000000001E-4</v>
      </c>
      <c r="G8" s="30">
        <v>0.102229</v>
      </c>
      <c r="H8" s="23">
        <f t="shared" si="0"/>
        <v>13.630533333333334</v>
      </c>
      <c r="I8" s="21"/>
      <c r="J8" s="17"/>
      <c r="K8" s="48">
        <v>95340</v>
      </c>
      <c r="L8" s="17"/>
      <c r="M8" s="17">
        <f t="shared" si="1"/>
        <v>95340</v>
      </c>
      <c r="N8" s="48">
        <v>3389000</v>
      </c>
      <c r="O8" s="17"/>
      <c r="P8" s="17">
        <f t="shared" si="2"/>
        <v>3389000</v>
      </c>
      <c r="Q8" s="48">
        <v>8622</v>
      </c>
      <c r="R8" s="17"/>
      <c r="S8" s="17">
        <f t="shared" si="3"/>
        <v>8622</v>
      </c>
      <c r="T8" s="48">
        <v>1044</v>
      </c>
      <c r="U8" s="17"/>
      <c r="V8" s="17">
        <f t="shared" si="4"/>
        <v>1044</v>
      </c>
      <c r="W8" s="48">
        <v>300.3</v>
      </c>
      <c r="X8" s="17"/>
      <c r="Y8" s="17">
        <f t="shared" si="5"/>
        <v>300.3</v>
      </c>
      <c r="Z8" s="48">
        <v>16.11</v>
      </c>
      <c r="AA8" s="17"/>
      <c r="AB8" s="17">
        <f t="shared" si="6"/>
        <v>16.11</v>
      </c>
      <c r="AC8" s="21">
        <f t="shared" si="7"/>
        <v>9.9824099999999998</v>
      </c>
      <c r="AD8" s="17"/>
      <c r="AE8" s="17">
        <f t="shared" si="8"/>
        <v>9.9824099999999998</v>
      </c>
      <c r="AF8" s="47">
        <f t="shared" si="9"/>
        <v>0.86371928221742045</v>
      </c>
      <c r="AG8" s="17" t="e">
        <f t="shared" si="10"/>
        <v>#DIV/0!</v>
      </c>
      <c r="AH8" s="29">
        <f t="shared" si="10"/>
        <v>863.71928221742041</v>
      </c>
      <c r="AJ8" s="41"/>
      <c r="BB8" t="s">
        <v>59</v>
      </c>
    </row>
    <row r="9" spans="1:54">
      <c r="A9" s="135"/>
      <c r="B9" s="136"/>
      <c r="C9" s="7">
        <v>352.59300000000002</v>
      </c>
      <c r="D9">
        <v>10</v>
      </c>
      <c r="E9" s="30">
        <v>1.0826899999999999</v>
      </c>
      <c r="F9" s="30">
        <v>2.0000000000000001E-4</v>
      </c>
      <c r="G9" s="30">
        <v>7.6374999999999998E-2</v>
      </c>
      <c r="H9" s="23">
        <f t="shared" si="0"/>
        <v>10.183333333333334</v>
      </c>
      <c r="I9" s="21"/>
      <c r="J9" s="17"/>
      <c r="K9" s="48">
        <v>85540</v>
      </c>
      <c r="L9" s="17"/>
      <c r="M9" s="17">
        <f t="shared" si="1"/>
        <v>85540</v>
      </c>
      <c r="N9" s="48">
        <v>3383000</v>
      </c>
      <c r="O9" s="17"/>
      <c r="P9" s="17">
        <f t="shared" si="2"/>
        <v>3383000</v>
      </c>
      <c r="Q9" s="48">
        <v>10930</v>
      </c>
      <c r="R9" s="17"/>
      <c r="S9" s="17">
        <f t="shared" si="3"/>
        <v>10930</v>
      </c>
      <c r="T9" s="48">
        <v>1769</v>
      </c>
      <c r="U9" s="17"/>
      <c r="V9" s="17">
        <f t="shared" si="4"/>
        <v>1769</v>
      </c>
      <c r="W9" s="48">
        <v>658.5</v>
      </c>
      <c r="X9" s="17"/>
      <c r="Y9" s="17">
        <f t="shared" si="5"/>
        <v>658.5</v>
      </c>
      <c r="Z9" s="48">
        <v>53.69</v>
      </c>
      <c r="AA9" s="17"/>
      <c r="AB9" s="17">
        <f t="shared" si="6"/>
        <v>53.69</v>
      </c>
      <c r="AC9" s="21">
        <f t="shared" si="7"/>
        <v>13.411190000000001</v>
      </c>
      <c r="AD9" s="17"/>
      <c r="AE9" s="17">
        <f t="shared" si="8"/>
        <v>13.411190000000001</v>
      </c>
      <c r="AF9" s="47">
        <f t="shared" si="9"/>
        <v>0.81499106343284966</v>
      </c>
      <c r="AG9" s="17" t="e">
        <f t="shared" si="10"/>
        <v>#DIV/0!</v>
      </c>
      <c r="AH9" s="29">
        <f t="shared" si="10"/>
        <v>814.99106343284961</v>
      </c>
    </row>
    <row r="10" spans="1:54">
      <c r="A10" s="135"/>
      <c r="B10" s="136"/>
      <c r="C10" s="7">
        <v>705.18499999999995</v>
      </c>
      <c r="D10">
        <v>20</v>
      </c>
      <c r="E10" s="30">
        <v>0.99443999999999999</v>
      </c>
      <c r="F10" s="30">
        <v>1.9000000000000001E-4</v>
      </c>
      <c r="G10" s="30">
        <v>-5.5909999999999996E-3</v>
      </c>
      <c r="H10" s="23">
        <f t="shared" si="0"/>
        <v>-0.74546666666666661</v>
      </c>
      <c r="I10" s="21"/>
      <c r="J10" s="17"/>
      <c r="K10" s="48">
        <v>58150</v>
      </c>
      <c r="L10" s="17"/>
      <c r="M10" s="17">
        <f t="shared" si="1"/>
        <v>58150</v>
      </c>
      <c r="N10" s="48">
        <v>3360000</v>
      </c>
      <c r="O10" s="17"/>
      <c r="P10" s="17">
        <f t="shared" si="2"/>
        <v>3360000</v>
      </c>
      <c r="Q10" s="48">
        <v>15060</v>
      </c>
      <c r="R10" s="17"/>
      <c r="S10" s="17">
        <f t="shared" si="3"/>
        <v>15060</v>
      </c>
      <c r="T10" s="48">
        <v>4116</v>
      </c>
      <c r="U10" s="17"/>
      <c r="V10" s="17">
        <f t="shared" si="4"/>
        <v>4116</v>
      </c>
      <c r="W10" s="48">
        <v>2458</v>
      </c>
      <c r="X10" s="17"/>
      <c r="Y10" s="17">
        <f t="shared" si="5"/>
        <v>2458</v>
      </c>
      <c r="Z10" s="48">
        <v>458.7</v>
      </c>
      <c r="AA10" s="17"/>
      <c r="AB10" s="17">
        <f t="shared" si="6"/>
        <v>458.7</v>
      </c>
      <c r="AC10" s="21">
        <f t="shared" si="7"/>
        <v>22.092700000000001</v>
      </c>
      <c r="AD10" s="17"/>
      <c r="AE10" s="17">
        <f t="shared" si="8"/>
        <v>22.092700000000001</v>
      </c>
      <c r="AF10" s="47">
        <f t="shared" si="9"/>
        <v>0.68167313184898182</v>
      </c>
      <c r="AG10" s="17" t="e">
        <f t="shared" si="10"/>
        <v>#DIV/0!</v>
      </c>
      <c r="AH10" s="29">
        <f t="shared" si="10"/>
        <v>681.67313184898182</v>
      </c>
    </row>
    <row r="11" spans="1:54">
      <c r="A11" s="135"/>
      <c r="B11" s="136"/>
      <c r="C11" s="7">
        <v>1057.78</v>
      </c>
      <c r="D11">
        <v>30</v>
      </c>
      <c r="E11" s="30">
        <v>0.91393999999999997</v>
      </c>
      <c r="F11" s="30">
        <v>1.9000000000000001E-4</v>
      </c>
      <c r="G11" s="30">
        <v>-9.4163999999999998E-2</v>
      </c>
      <c r="H11" s="23">
        <f t="shared" si="0"/>
        <v>-12.555200000000001</v>
      </c>
      <c r="I11" s="21"/>
      <c r="J11" s="17"/>
      <c r="K11" s="48">
        <v>37440</v>
      </c>
      <c r="L11" s="17"/>
      <c r="M11" s="17">
        <f t="shared" si="1"/>
        <v>37440</v>
      </c>
      <c r="N11" s="48">
        <v>3334000</v>
      </c>
      <c r="O11" s="17"/>
      <c r="P11" s="17">
        <f t="shared" si="2"/>
        <v>3334000</v>
      </c>
      <c r="Q11" s="48">
        <v>16630</v>
      </c>
      <c r="R11" s="17"/>
      <c r="S11" s="17">
        <f t="shared" si="3"/>
        <v>16630</v>
      </c>
      <c r="T11" s="48">
        <v>6322</v>
      </c>
      <c r="U11" s="17"/>
      <c r="V11" s="17">
        <f t="shared" si="4"/>
        <v>6322</v>
      </c>
      <c r="W11" s="48">
        <v>3890</v>
      </c>
      <c r="X11" s="17"/>
      <c r="Y11" s="17">
        <f t="shared" si="5"/>
        <v>3890</v>
      </c>
      <c r="Z11" s="48">
        <v>3890</v>
      </c>
      <c r="AA11" s="17"/>
      <c r="AB11" s="17">
        <f t="shared" si="6"/>
        <v>3890</v>
      </c>
      <c r="AC11" s="21">
        <f t="shared" si="7"/>
        <v>30.731999999999999</v>
      </c>
      <c r="AD11" s="17"/>
      <c r="AE11" s="17">
        <f t="shared" si="8"/>
        <v>30.731999999999999</v>
      </c>
      <c r="AF11" s="47">
        <f t="shared" si="9"/>
        <v>0.5411297670180919</v>
      </c>
      <c r="AG11" s="17" t="e">
        <f t="shared" si="10"/>
        <v>#DIV/0!</v>
      </c>
      <c r="AH11" s="29">
        <f t="shared" si="10"/>
        <v>541.12976701809191</v>
      </c>
    </row>
    <row r="12" spans="1:54">
      <c r="A12" s="135"/>
      <c r="B12" s="136"/>
      <c r="C12" s="7">
        <v>1410.37</v>
      </c>
      <c r="D12">
        <v>40</v>
      </c>
      <c r="E12" s="30">
        <v>0.84211000000000003</v>
      </c>
      <c r="F12" s="30">
        <v>1.8000000000000001E-4</v>
      </c>
      <c r="G12" s="30">
        <v>-0.18749299999999999</v>
      </c>
      <c r="H12" s="23">
        <f t="shared" si="0"/>
        <v>-24.999066666666668</v>
      </c>
      <c r="I12" s="21"/>
      <c r="J12" s="17"/>
      <c r="K12" s="48">
        <v>22530</v>
      </c>
      <c r="L12" s="17"/>
      <c r="M12" s="17">
        <f t="shared" si="1"/>
        <v>22530</v>
      </c>
      <c r="N12" s="48">
        <v>3305000</v>
      </c>
      <c r="O12" s="17"/>
      <c r="P12" s="17">
        <f t="shared" si="2"/>
        <v>3305000</v>
      </c>
      <c r="Q12" s="48">
        <v>16940</v>
      </c>
      <c r="R12" s="17"/>
      <c r="S12" s="17">
        <f t="shared" si="3"/>
        <v>16940</v>
      </c>
      <c r="T12" s="48">
        <v>8167</v>
      </c>
      <c r="U12" s="17"/>
      <c r="V12" s="17">
        <f t="shared" si="4"/>
        <v>8167</v>
      </c>
      <c r="W12" s="48">
        <v>4801</v>
      </c>
      <c r="X12" s="17"/>
      <c r="Y12" s="17">
        <f t="shared" si="5"/>
        <v>4801</v>
      </c>
      <c r="Z12" s="48">
        <v>4801</v>
      </c>
      <c r="AA12" s="17"/>
      <c r="AB12" s="17">
        <f t="shared" si="6"/>
        <v>4801</v>
      </c>
      <c r="AC12" s="21">
        <f t="shared" si="7"/>
        <v>34.709000000000003</v>
      </c>
      <c r="AD12" s="17"/>
      <c r="AE12" s="17">
        <f t="shared" si="8"/>
        <v>34.709000000000003</v>
      </c>
      <c r="AF12" s="47">
        <f t="shared" si="9"/>
        <v>0.48805785243020539</v>
      </c>
      <c r="AG12" s="17" t="e">
        <f t="shared" si="10"/>
        <v>#DIV/0!</v>
      </c>
      <c r="AH12" s="29">
        <f t="shared" si="10"/>
        <v>488.0578524302054</v>
      </c>
    </row>
    <row r="13" spans="1:54" s="18" customFormat="1">
      <c r="A13" s="137"/>
      <c r="B13" s="138"/>
      <c r="C13" s="20">
        <v>1762.96</v>
      </c>
      <c r="D13" s="18">
        <v>50</v>
      </c>
      <c r="E13" s="35">
        <v>0.78198999999999996</v>
      </c>
      <c r="F13" s="35">
        <v>1.9000000000000001E-4</v>
      </c>
      <c r="G13" s="35">
        <v>-0.27878900000000001</v>
      </c>
      <c r="H13" s="40">
        <f t="shared" si="0"/>
        <v>-37.171866666666666</v>
      </c>
      <c r="I13" s="22"/>
      <c r="J13" s="19"/>
      <c r="K13" s="48">
        <v>12580</v>
      </c>
      <c r="L13" s="19"/>
      <c r="M13" s="19">
        <f t="shared" si="1"/>
        <v>12580</v>
      </c>
      <c r="N13" s="48">
        <v>3274000</v>
      </c>
      <c r="O13" s="19"/>
      <c r="P13" s="19">
        <f t="shared" si="2"/>
        <v>3274000</v>
      </c>
      <c r="Q13" s="48">
        <v>16710</v>
      </c>
      <c r="R13" s="19"/>
      <c r="S13" s="19">
        <f t="shared" si="3"/>
        <v>16710</v>
      </c>
      <c r="T13" s="48">
        <v>9558</v>
      </c>
      <c r="U13" s="19"/>
      <c r="V13" s="19">
        <f t="shared" si="4"/>
        <v>9558</v>
      </c>
      <c r="W13" s="48">
        <v>5286</v>
      </c>
      <c r="X13" s="19"/>
      <c r="Y13" s="19">
        <f t="shared" si="5"/>
        <v>5286</v>
      </c>
      <c r="Z13" s="48">
        <v>5286</v>
      </c>
      <c r="AA13" s="19"/>
      <c r="AB13" s="19">
        <f t="shared" si="6"/>
        <v>5286</v>
      </c>
      <c r="AC13" s="21">
        <f t="shared" si="7"/>
        <v>36.840000000000003</v>
      </c>
      <c r="AD13" s="19"/>
      <c r="AE13" s="19">
        <f t="shared" si="8"/>
        <v>36.840000000000003</v>
      </c>
      <c r="AF13" s="47">
        <f t="shared" si="9"/>
        <v>0.45358306188925074</v>
      </c>
      <c r="AG13" s="19" t="e">
        <f t="shared" si="10"/>
        <v>#DIV/0!</v>
      </c>
      <c r="AH13" s="46">
        <f t="shared" si="10"/>
        <v>453.58306188925076</v>
      </c>
    </row>
    <row r="14" spans="1:54">
      <c r="A14" s="45"/>
      <c r="B14" s="45"/>
      <c r="E14" s="30"/>
      <c r="F14" s="30"/>
      <c r="G14" s="30"/>
      <c r="H14" s="23"/>
      <c r="I14" s="21"/>
      <c r="J14" s="17"/>
      <c r="K14" s="48"/>
      <c r="L14" s="17"/>
      <c r="M14" s="17"/>
      <c r="N14" s="48"/>
      <c r="O14" s="17"/>
      <c r="P14" s="17"/>
      <c r="Q14" s="48"/>
      <c r="R14" s="17"/>
      <c r="S14" s="17"/>
      <c r="T14" s="48"/>
      <c r="U14" s="17"/>
      <c r="V14" s="17"/>
      <c r="W14" s="48"/>
      <c r="X14" s="17"/>
      <c r="Y14" s="17"/>
      <c r="Z14" s="48"/>
      <c r="AA14" s="17"/>
      <c r="AB14" s="17"/>
      <c r="AC14" s="21"/>
      <c r="AD14" s="17"/>
      <c r="AE14" s="17"/>
      <c r="AF14" s="47"/>
      <c r="AG14" s="17"/>
      <c r="AH14" s="29"/>
    </row>
    <row r="15" spans="1:54" s="55" customFormat="1">
      <c r="A15" s="49" t="s">
        <v>1</v>
      </c>
      <c r="B15" s="49" t="s">
        <v>99</v>
      </c>
      <c r="C15" s="54"/>
      <c r="I15" s="56" t="s">
        <v>44</v>
      </c>
      <c r="K15" s="56" t="s">
        <v>47</v>
      </c>
      <c r="N15" s="56" t="s">
        <v>48</v>
      </c>
      <c r="O15" s="49"/>
      <c r="P15" s="49"/>
      <c r="Q15" s="56" t="s">
        <v>49</v>
      </c>
      <c r="T15" s="56" t="s">
        <v>50</v>
      </c>
      <c r="U15" s="49"/>
      <c r="V15" s="49"/>
      <c r="W15" s="56" t="s">
        <v>51</v>
      </c>
      <c r="Z15" s="56" t="s">
        <v>84</v>
      </c>
      <c r="AC15" s="56" t="s">
        <v>52</v>
      </c>
      <c r="AF15" s="56" t="s">
        <v>56</v>
      </c>
      <c r="AI15" s="56"/>
      <c r="AL15" s="56"/>
    </row>
    <row r="16" spans="1:54" s="52" customFormat="1">
      <c r="A16" s="50" t="s">
        <v>36</v>
      </c>
      <c r="B16" s="51" t="s">
        <v>83</v>
      </c>
      <c r="C16" s="57" t="s">
        <v>43</v>
      </c>
      <c r="D16" s="50" t="s">
        <v>39</v>
      </c>
      <c r="E16" s="50" t="s">
        <v>40</v>
      </c>
      <c r="F16" s="50" t="s">
        <v>41</v>
      </c>
      <c r="G16" s="50" t="s">
        <v>42</v>
      </c>
      <c r="H16" s="50" t="s">
        <v>57</v>
      </c>
      <c r="I16" s="57" t="s">
        <v>45</v>
      </c>
      <c r="J16" s="50" t="s">
        <v>46</v>
      </c>
      <c r="K16" s="57" t="s">
        <v>53</v>
      </c>
      <c r="L16" s="50" t="s">
        <v>54</v>
      </c>
      <c r="M16" s="50" t="s">
        <v>55</v>
      </c>
      <c r="N16" s="57" t="s">
        <v>53</v>
      </c>
      <c r="O16" s="50" t="s">
        <v>54</v>
      </c>
      <c r="P16" s="50" t="s">
        <v>55</v>
      </c>
      <c r="Q16" s="57" t="s">
        <v>53</v>
      </c>
      <c r="R16" s="50" t="s">
        <v>54</v>
      </c>
      <c r="S16" s="50" t="s">
        <v>55</v>
      </c>
      <c r="T16" s="57" t="s">
        <v>53</v>
      </c>
      <c r="U16" s="50" t="s">
        <v>54</v>
      </c>
      <c r="V16" s="50" t="s">
        <v>55</v>
      </c>
      <c r="W16" s="57" t="s">
        <v>53</v>
      </c>
      <c r="X16" s="50" t="s">
        <v>54</v>
      </c>
      <c r="Y16" s="50" t="s">
        <v>55</v>
      </c>
      <c r="Z16" s="57" t="s">
        <v>53</v>
      </c>
      <c r="AA16" s="50" t="s">
        <v>54</v>
      </c>
      <c r="AB16" s="50" t="s">
        <v>55</v>
      </c>
      <c r="AC16" s="57" t="s">
        <v>53</v>
      </c>
      <c r="AD16" s="50" t="s">
        <v>54</v>
      </c>
      <c r="AE16" s="50" t="s">
        <v>55</v>
      </c>
      <c r="AF16" s="57" t="s">
        <v>53</v>
      </c>
      <c r="AG16" s="50" t="s">
        <v>54</v>
      </c>
      <c r="AH16" s="50" t="s">
        <v>55</v>
      </c>
      <c r="AI16" s="57"/>
      <c r="AJ16" s="50"/>
      <c r="AK16" s="50"/>
      <c r="AL16" s="57"/>
      <c r="AM16" s="50"/>
      <c r="AN16" s="50"/>
    </row>
    <row r="17" spans="1:54" s="52" customFormat="1">
      <c r="A17" s="50" t="s">
        <v>38</v>
      </c>
      <c r="B17" s="51" t="s">
        <v>109</v>
      </c>
      <c r="C17" s="58">
        <v>0</v>
      </c>
      <c r="D17" s="52">
        <v>0</v>
      </c>
      <c r="E17" s="59">
        <v>1.16862</v>
      </c>
      <c r="F17" s="59">
        <v>3.8999999999999999E-4</v>
      </c>
      <c r="G17" s="59">
        <v>0.14429</v>
      </c>
      <c r="H17" s="60">
        <f>G17/0.0075</f>
        <v>19.238666666666667</v>
      </c>
      <c r="I17" s="61">
        <v>0.96201999999999999</v>
      </c>
      <c r="J17" s="62">
        <v>3.7979600000000002E-2</v>
      </c>
      <c r="K17" s="58"/>
      <c r="N17" s="58"/>
      <c r="Q17" s="58">
        <v>0</v>
      </c>
      <c r="R17" s="52">
        <v>0</v>
      </c>
      <c r="S17" s="63">
        <f t="shared" ref="S17:S26" si="11">Q17+R17</f>
        <v>0</v>
      </c>
      <c r="T17" s="58"/>
      <c r="U17" s="52">
        <v>0</v>
      </c>
      <c r="V17" s="63">
        <f t="shared" ref="V17:V18" si="12">T17+U17</f>
        <v>0</v>
      </c>
      <c r="W17" s="58">
        <v>0</v>
      </c>
      <c r="X17" s="52">
        <v>0</v>
      </c>
      <c r="Y17" s="63">
        <f t="shared" ref="Y17" si="13">W17+X17</f>
        <v>0</v>
      </c>
      <c r="Z17" s="58">
        <v>0</v>
      </c>
      <c r="AA17" s="52">
        <v>0</v>
      </c>
      <c r="AB17" s="63">
        <f t="shared" ref="AB17" si="14">Z17+AA17</f>
        <v>0</v>
      </c>
      <c r="AC17" s="64">
        <f t="shared" ref="AC17" si="15">(Q17+T17+W17+Z17)/1000</f>
        <v>0</v>
      </c>
      <c r="AD17" s="64">
        <f t="shared" ref="AD17" si="16">(R17+U17+X17+AA17)/1000</f>
        <v>0</v>
      </c>
      <c r="AE17" s="52">
        <v>0</v>
      </c>
      <c r="AF17" s="58"/>
      <c r="AI17" s="64"/>
      <c r="AJ17" s="63"/>
      <c r="AK17" s="63"/>
      <c r="AL17" s="64"/>
      <c r="AN17" s="60"/>
    </row>
    <row r="18" spans="1:54" s="52" customFormat="1">
      <c r="A18" s="50" t="s">
        <v>87</v>
      </c>
      <c r="B18" s="52" t="s">
        <v>89</v>
      </c>
      <c r="C18" s="58">
        <v>3.5259299999999998</v>
      </c>
      <c r="D18" s="52">
        <v>0.1</v>
      </c>
      <c r="E18" s="59">
        <v>1.1294</v>
      </c>
      <c r="F18" s="59">
        <v>3.6999999999999999E-4</v>
      </c>
      <c r="G18" s="59">
        <v>0.114574</v>
      </c>
      <c r="H18" s="60">
        <f t="shared" ref="H18" si="17">G18/0.0075</f>
        <v>15.276533333333333</v>
      </c>
      <c r="I18" s="61">
        <v>0.961341</v>
      </c>
      <c r="J18" s="62">
        <v>3.8658999999999999E-2</v>
      </c>
      <c r="K18" s="65">
        <v>90070</v>
      </c>
      <c r="L18" s="63">
        <v>6444</v>
      </c>
      <c r="M18" s="63">
        <f>K18+L18</f>
        <v>96514</v>
      </c>
      <c r="N18" s="65">
        <v>2526000</v>
      </c>
      <c r="O18" s="63">
        <v>901500</v>
      </c>
      <c r="P18" s="63">
        <f>N18+O18</f>
        <v>3427500</v>
      </c>
      <c r="Q18" s="65">
        <v>58.04</v>
      </c>
      <c r="R18" s="63">
        <v>7.9509999999999996</v>
      </c>
      <c r="S18" s="63">
        <f t="shared" si="11"/>
        <v>65.991</v>
      </c>
      <c r="T18" s="65">
        <v>0.2223</v>
      </c>
      <c r="U18" s="63">
        <v>1.2749999999999999E-2</v>
      </c>
      <c r="V18" s="63">
        <f t="shared" si="12"/>
        <v>0.23505000000000001</v>
      </c>
      <c r="W18" s="65">
        <v>1.0790000000000001E-3</v>
      </c>
      <c r="X18" s="63">
        <v>0</v>
      </c>
      <c r="Y18" s="63">
        <f>W18+X18</f>
        <v>1.0790000000000001E-3</v>
      </c>
      <c r="Z18" s="65">
        <v>0</v>
      </c>
      <c r="AA18" s="63">
        <v>0</v>
      </c>
      <c r="AB18" s="63">
        <f>Z18+AA18</f>
        <v>0</v>
      </c>
      <c r="AC18" s="64">
        <f>(Q18+T18+W18+Z18)/1000</f>
        <v>5.826337899999999E-2</v>
      </c>
      <c r="AD18" s="64">
        <f>(R18+U18+X18+AA18)/1000</f>
        <v>7.9637499999999986E-3</v>
      </c>
      <c r="AE18" s="63">
        <f>AC18+AD18</f>
        <v>6.6227128999999996E-2</v>
      </c>
      <c r="AF18" s="66">
        <f>Q18/AC18/1000</f>
        <v>0.99616604797329056</v>
      </c>
      <c r="AG18" s="66">
        <f>R18/AD18/1000</f>
        <v>0.99839899544812438</v>
      </c>
      <c r="AH18" s="60">
        <f>S18/AE18</f>
        <v>996.4345578078736</v>
      </c>
      <c r="AI18" s="64"/>
      <c r="AJ18" s="63"/>
      <c r="AK18" s="63"/>
      <c r="AL18" s="64"/>
      <c r="AM18" s="60"/>
      <c r="AN18" s="60"/>
    </row>
    <row r="19" spans="1:54" s="52" customFormat="1">
      <c r="A19" s="50" t="s">
        <v>101</v>
      </c>
      <c r="B19" s="53" t="s">
        <v>102</v>
      </c>
      <c r="C19" s="58">
        <v>35.256599999999999</v>
      </c>
      <c r="D19" s="52">
        <v>1</v>
      </c>
      <c r="E19" s="59">
        <v>1.1160399999999999</v>
      </c>
      <c r="F19" s="59">
        <v>3.8999999999999999E-4</v>
      </c>
      <c r="G19" s="59">
        <v>0.103975</v>
      </c>
      <c r="H19" s="60">
        <f>G19/0.0075</f>
        <v>13.863333333333333</v>
      </c>
      <c r="I19" s="61">
        <v>0.95976099999999998</v>
      </c>
      <c r="J19" s="62">
        <v>4.0239299999999999E-2</v>
      </c>
      <c r="K19" s="65">
        <v>86470</v>
      </c>
      <c r="L19" s="63">
        <v>6314</v>
      </c>
      <c r="M19" s="63">
        <f t="shared" ref="M19:M26" si="18">K19+L19</f>
        <v>92784</v>
      </c>
      <c r="N19" s="65">
        <v>2525000</v>
      </c>
      <c r="O19" s="63">
        <v>901300</v>
      </c>
      <c r="P19" s="63">
        <f t="shared" ref="P19:P26" si="19">N19+O19</f>
        <v>3426300</v>
      </c>
      <c r="Q19" s="65">
        <v>1339</v>
      </c>
      <c r="R19" s="63">
        <v>186.5</v>
      </c>
      <c r="S19" s="63">
        <f t="shared" si="11"/>
        <v>1525.5</v>
      </c>
      <c r="T19" s="65">
        <v>35.020000000000003</v>
      </c>
      <c r="U19" s="63">
        <v>2.25</v>
      </c>
      <c r="V19" s="63">
        <f>T19+U19</f>
        <v>37.270000000000003</v>
      </c>
      <c r="W19" s="65">
        <v>1.7969999999999999</v>
      </c>
      <c r="X19" s="63">
        <v>4.1680000000000002E-2</v>
      </c>
      <c r="Y19" s="63">
        <f t="shared" ref="Y19:Y26" si="20">W19+X19</f>
        <v>1.8386799999999999</v>
      </c>
      <c r="Z19" s="65">
        <v>1.584E-2</v>
      </c>
      <c r="AA19" s="63">
        <v>1.76E-4</v>
      </c>
      <c r="AB19" s="63">
        <f t="shared" ref="AB19:AB26" si="21">Z19+AA19</f>
        <v>1.6015999999999999E-2</v>
      </c>
      <c r="AC19" s="64">
        <f t="shared" ref="AC19:AD24" si="22">(Q19+T19+W19+Z19)/1000</f>
        <v>1.3758328399999999</v>
      </c>
      <c r="AD19" s="64">
        <f t="shared" si="22"/>
        <v>0.18879185600000004</v>
      </c>
      <c r="AE19" s="63">
        <f t="shared" ref="AE19:AE26" si="23">AC19+AD19</f>
        <v>1.5646246960000001</v>
      </c>
      <c r="AF19" s="66">
        <f t="shared" ref="AF19:AG24" si="24">Q19/AC19/1000</f>
        <v>0.97322869542785451</v>
      </c>
      <c r="AG19" s="66">
        <f t="shared" si="24"/>
        <v>0.98786040855491131</v>
      </c>
      <c r="AH19" s="60">
        <f t="shared" ref="AH19:AH26" si="25">S19/AE19</f>
        <v>974.99419758615386</v>
      </c>
      <c r="AI19" s="64"/>
      <c r="AJ19" s="63"/>
      <c r="AK19" s="63"/>
      <c r="AL19" s="64"/>
      <c r="AM19" s="60"/>
      <c r="AN19" s="60"/>
    </row>
    <row r="20" spans="1:54" s="52" customFormat="1">
      <c r="A20" s="147" t="e" vm="2">
        <v>#VALUE!</v>
      </c>
      <c r="B20" s="148"/>
      <c r="C20" s="58">
        <v>141.02600000000001</v>
      </c>
      <c r="D20" s="52">
        <v>4</v>
      </c>
      <c r="E20" s="59">
        <v>1.0836699999999999</v>
      </c>
      <c r="F20" s="59">
        <v>3.8000000000000002E-4</v>
      </c>
      <c r="G20" s="59">
        <v>7.7210000000000001E-2</v>
      </c>
      <c r="H20" s="60">
        <f t="shared" ref="H20:H26" si="26">G20/0.0075</f>
        <v>10.294666666666668</v>
      </c>
      <c r="I20" s="61">
        <v>0.95454700000000003</v>
      </c>
      <c r="J20" s="62">
        <v>4.54525E-2</v>
      </c>
      <c r="K20" s="65">
        <v>75420</v>
      </c>
      <c r="L20" s="63">
        <v>5915</v>
      </c>
      <c r="M20" s="63">
        <f t="shared" si="18"/>
        <v>81335</v>
      </c>
      <c r="N20" s="65">
        <v>2519000</v>
      </c>
      <c r="O20" s="63">
        <v>900600</v>
      </c>
      <c r="P20" s="63">
        <f t="shared" si="19"/>
        <v>3419600</v>
      </c>
      <c r="Q20" s="65">
        <v>4758</v>
      </c>
      <c r="R20" s="63">
        <v>715.2</v>
      </c>
      <c r="S20" s="63">
        <f t="shared" si="11"/>
        <v>5473.2</v>
      </c>
      <c r="T20" s="65">
        <v>456.4</v>
      </c>
      <c r="U20" s="63">
        <v>32.99</v>
      </c>
      <c r="V20" s="63">
        <f>T20+U20</f>
        <v>489.39</v>
      </c>
      <c r="W20" s="65">
        <v>94.27</v>
      </c>
      <c r="X20" s="63">
        <v>2.468</v>
      </c>
      <c r="Y20" s="63">
        <f t="shared" si="20"/>
        <v>96.738</v>
      </c>
      <c r="Z20" s="65">
        <v>3.613</v>
      </c>
      <c r="AA20" s="63">
        <v>4.2560000000000001E-2</v>
      </c>
      <c r="AB20" s="63">
        <f t="shared" si="21"/>
        <v>3.6555599999999999</v>
      </c>
      <c r="AC20" s="64">
        <f t="shared" si="22"/>
        <v>5.3122830000000008</v>
      </c>
      <c r="AD20" s="64">
        <f t="shared" si="22"/>
        <v>0.75070055999999996</v>
      </c>
      <c r="AE20" s="63">
        <f t="shared" si="23"/>
        <v>6.062983560000001</v>
      </c>
      <c r="AF20" s="66">
        <f t="shared" si="24"/>
        <v>0.8956601144931472</v>
      </c>
      <c r="AG20" s="66">
        <f t="shared" si="24"/>
        <v>0.95271009255674466</v>
      </c>
      <c r="AH20" s="60">
        <f t="shared" si="25"/>
        <v>902.72387279902159</v>
      </c>
      <c r="AI20" s="64"/>
      <c r="AJ20" s="63"/>
      <c r="AK20" s="63"/>
      <c r="AL20" s="64"/>
      <c r="AM20" s="60"/>
      <c r="AN20" s="60"/>
    </row>
    <row r="21" spans="1:54" s="52" customFormat="1">
      <c r="A21" s="147"/>
      <c r="B21" s="148"/>
      <c r="C21" s="58">
        <v>246.79599999999999</v>
      </c>
      <c r="D21" s="52">
        <v>7</v>
      </c>
      <c r="E21" s="59">
        <v>1.0490999999999999</v>
      </c>
      <c r="F21" s="59">
        <v>3.4000000000000002E-4</v>
      </c>
      <c r="G21" s="59">
        <v>4.6802000000000003E-2</v>
      </c>
      <c r="H21" s="60">
        <f t="shared" si="26"/>
        <v>6.2402666666666677</v>
      </c>
      <c r="I21" s="61">
        <v>0.94977400000000001</v>
      </c>
      <c r="J21" s="62">
        <v>5.0226300000000001E-2</v>
      </c>
      <c r="K21" s="65">
        <v>65570</v>
      </c>
      <c r="L21" s="63">
        <v>5534</v>
      </c>
      <c r="M21" s="63">
        <f t="shared" si="18"/>
        <v>71104</v>
      </c>
      <c r="N21" s="65">
        <v>2514000</v>
      </c>
      <c r="O21" s="63">
        <v>899900</v>
      </c>
      <c r="P21" s="63">
        <f t="shared" si="19"/>
        <v>3413900</v>
      </c>
      <c r="Q21" s="65">
        <v>7121</v>
      </c>
      <c r="R21" s="63">
        <v>1171</v>
      </c>
      <c r="S21" s="63">
        <f t="shared" si="11"/>
        <v>8292</v>
      </c>
      <c r="T21" s="65">
        <v>1086</v>
      </c>
      <c r="U21" s="63">
        <v>91.36</v>
      </c>
      <c r="V21" s="63">
        <f>T21+U21</f>
        <v>1177.3599999999999</v>
      </c>
      <c r="W21" s="65">
        <v>361.4</v>
      </c>
      <c r="X21" s="63">
        <v>11.79</v>
      </c>
      <c r="Y21" s="63">
        <f t="shared" si="20"/>
        <v>373.19</v>
      </c>
      <c r="Z21" s="65">
        <v>26.1</v>
      </c>
      <c r="AA21" s="63">
        <v>0.3679</v>
      </c>
      <c r="AB21" s="63">
        <f t="shared" si="21"/>
        <v>26.4679</v>
      </c>
      <c r="AC21" s="64">
        <f t="shared" si="22"/>
        <v>8.5945</v>
      </c>
      <c r="AD21" s="64">
        <f t="shared" si="22"/>
        <v>1.2745178999999998</v>
      </c>
      <c r="AE21" s="63">
        <f t="shared" si="23"/>
        <v>9.8690178999999993</v>
      </c>
      <c r="AF21" s="66">
        <f t="shared" si="24"/>
        <v>0.82855314445284778</v>
      </c>
      <c r="AG21" s="66">
        <f t="shared" si="24"/>
        <v>0.91877877901911009</v>
      </c>
      <c r="AH21" s="60">
        <f t="shared" si="25"/>
        <v>840.20518394236581</v>
      </c>
      <c r="AI21" s="64"/>
      <c r="AJ21" s="63"/>
      <c r="AK21" s="63"/>
      <c r="AL21" s="64"/>
      <c r="AM21" s="60"/>
      <c r="AN21" s="60"/>
      <c r="BB21" s="52" t="s">
        <v>59</v>
      </c>
    </row>
    <row r="22" spans="1:54" s="52" customFormat="1">
      <c r="A22" s="147"/>
      <c r="B22" s="148"/>
      <c r="C22" s="58">
        <v>352.59300000000002</v>
      </c>
      <c r="D22" s="52">
        <v>10</v>
      </c>
      <c r="E22" s="59">
        <v>1.0170999999999999</v>
      </c>
      <c r="F22" s="59">
        <v>3.5E-4</v>
      </c>
      <c r="G22" s="59">
        <v>1.6813000000000002E-2</v>
      </c>
      <c r="H22" s="60">
        <f t="shared" si="26"/>
        <v>2.2417333333333338</v>
      </c>
      <c r="I22" s="61">
        <v>0.94509200000000004</v>
      </c>
      <c r="J22" s="62">
        <v>5.4908400000000003E-2</v>
      </c>
      <c r="K22" s="65">
        <v>56700</v>
      </c>
      <c r="L22" s="63">
        <v>5169</v>
      </c>
      <c r="M22" s="63">
        <f t="shared" si="18"/>
        <v>61869</v>
      </c>
      <c r="N22" s="65">
        <v>2508000</v>
      </c>
      <c r="O22" s="63">
        <v>899200</v>
      </c>
      <c r="P22" s="63">
        <f t="shared" si="19"/>
        <v>3407200</v>
      </c>
      <c r="Q22" s="65">
        <v>8775</v>
      </c>
      <c r="R22" s="63">
        <v>1566</v>
      </c>
      <c r="S22" s="63">
        <f t="shared" si="11"/>
        <v>10341</v>
      </c>
      <c r="T22" s="65">
        <v>1793</v>
      </c>
      <c r="U22" s="63">
        <v>169.6</v>
      </c>
      <c r="V22" s="63">
        <f t="shared" ref="V22:V26" si="27">T22+U22</f>
        <v>1962.6</v>
      </c>
      <c r="W22" s="65">
        <v>745.8</v>
      </c>
      <c r="X22" s="63">
        <v>30.36</v>
      </c>
      <c r="Y22" s="63">
        <f t="shared" si="20"/>
        <v>776.16</v>
      </c>
      <c r="Z22" s="65">
        <v>83.55</v>
      </c>
      <c r="AA22" s="63">
        <v>1.4059999999999999</v>
      </c>
      <c r="AB22" s="63">
        <f t="shared" si="21"/>
        <v>84.956000000000003</v>
      </c>
      <c r="AC22" s="64">
        <f t="shared" si="22"/>
        <v>11.397349999999999</v>
      </c>
      <c r="AD22" s="64">
        <f t="shared" si="22"/>
        <v>1.7673659999999998</v>
      </c>
      <c r="AE22" s="63">
        <f t="shared" si="23"/>
        <v>13.164715999999999</v>
      </c>
      <c r="AF22" s="66">
        <f t="shared" si="24"/>
        <v>0.76991581376372586</v>
      </c>
      <c r="AG22" s="66">
        <f t="shared" si="24"/>
        <v>0.88606434660392941</v>
      </c>
      <c r="AH22" s="60">
        <f t="shared" si="25"/>
        <v>785.50877968047325</v>
      </c>
      <c r="AI22" s="64"/>
      <c r="AJ22" s="63"/>
      <c r="AK22" s="63"/>
      <c r="AL22" s="64"/>
      <c r="AM22" s="60"/>
      <c r="AN22" s="60"/>
    </row>
    <row r="23" spans="1:54" s="52" customFormat="1">
      <c r="A23" s="147"/>
      <c r="B23" s="148"/>
      <c r="C23" s="58">
        <v>705.18499999999995</v>
      </c>
      <c r="D23" s="52">
        <v>20</v>
      </c>
      <c r="E23" s="59">
        <v>0.92530999999999997</v>
      </c>
      <c r="F23" s="59">
        <v>3.5E-4</v>
      </c>
      <c r="G23" s="59">
        <v>-8.0718999999999999E-2</v>
      </c>
      <c r="H23" s="60">
        <f t="shared" si="26"/>
        <v>-10.762533333333334</v>
      </c>
      <c r="I23" s="61">
        <v>0.93108100000000005</v>
      </c>
      <c r="J23" s="62">
        <v>6.8918499999999994E-2</v>
      </c>
      <c r="K23" s="65">
        <v>33160</v>
      </c>
      <c r="L23" s="63">
        <v>4134</v>
      </c>
      <c r="M23" s="63">
        <f t="shared" si="18"/>
        <v>37294</v>
      </c>
      <c r="N23" s="65">
        <v>2486000</v>
      </c>
      <c r="O23" s="63">
        <v>896700</v>
      </c>
      <c r="P23" s="63">
        <f t="shared" si="19"/>
        <v>3382700</v>
      </c>
      <c r="Q23" s="65">
        <v>11230</v>
      </c>
      <c r="R23" s="63">
        <v>2447</v>
      </c>
      <c r="S23" s="63">
        <f t="shared" si="11"/>
        <v>13677</v>
      </c>
      <c r="T23" s="65">
        <v>3843</v>
      </c>
      <c r="U23" s="63">
        <v>482.5</v>
      </c>
      <c r="V23" s="63">
        <f t="shared" si="27"/>
        <v>4325.5</v>
      </c>
      <c r="W23" s="65">
        <v>2413</v>
      </c>
      <c r="X23" s="63">
        <v>151</v>
      </c>
      <c r="Y23" s="63">
        <f t="shared" si="20"/>
        <v>2564</v>
      </c>
      <c r="Z23" s="65">
        <v>647.6</v>
      </c>
      <c r="AA23" s="63">
        <v>15.08</v>
      </c>
      <c r="AB23" s="63">
        <f t="shared" si="21"/>
        <v>662.68000000000006</v>
      </c>
      <c r="AC23" s="64">
        <f t="shared" si="22"/>
        <v>18.133599999999998</v>
      </c>
      <c r="AD23" s="64">
        <f t="shared" si="22"/>
        <v>3.09558</v>
      </c>
      <c r="AE23" s="63">
        <f t="shared" si="23"/>
        <v>21.229179999999999</v>
      </c>
      <c r="AF23" s="66">
        <f t="shared" si="24"/>
        <v>0.61929236334759785</v>
      </c>
      <c r="AG23" s="66">
        <f t="shared" si="24"/>
        <v>0.79048191292100356</v>
      </c>
      <c r="AH23" s="60">
        <f t="shared" si="25"/>
        <v>644.25474747493786</v>
      </c>
      <c r="AI23" s="64"/>
      <c r="AJ23" s="63"/>
      <c r="AK23" s="63"/>
      <c r="AL23" s="64"/>
      <c r="AM23" s="60"/>
      <c r="AN23" s="60"/>
    </row>
    <row r="24" spans="1:54" s="52" customFormat="1">
      <c r="A24" s="147"/>
      <c r="B24" s="148"/>
      <c r="C24" s="58">
        <v>1057.78</v>
      </c>
      <c r="D24" s="52">
        <v>30</v>
      </c>
      <c r="E24" s="59">
        <v>0.84433000000000002</v>
      </c>
      <c r="F24" s="59">
        <v>3.2000000000000003E-4</v>
      </c>
      <c r="G24" s="59">
        <v>-0.18437100000000001</v>
      </c>
      <c r="H24" s="60">
        <f t="shared" si="26"/>
        <v>-24.582800000000002</v>
      </c>
      <c r="I24" s="61">
        <v>0.91671400000000003</v>
      </c>
      <c r="J24" s="62">
        <v>8.3285899999999996E-2</v>
      </c>
      <c r="K24" s="65">
        <v>17480</v>
      </c>
      <c r="L24" s="63">
        <v>3203</v>
      </c>
      <c r="M24" s="63">
        <f t="shared" si="18"/>
        <v>20683</v>
      </c>
      <c r="N24" s="65">
        <v>2460000</v>
      </c>
      <c r="O24" s="63">
        <v>893800</v>
      </c>
      <c r="P24" s="63">
        <f t="shared" si="19"/>
        <v>3353800</v>
      </c>
      <c r="Q24" s="65">
        <v>11810</v>
      </c>
      <c r="R24" s="63">
        <v>3007</v>
      </c>
      <c r="S24" s="63">
        <f t="shared" si="11"/>
        <v>14817</v>
      </c>
      <c r="T24" s="65">
        <v>5577</v>
      </c>
      <c r="U24" s="63">
        <v>854.5</v>
      </c>
      <c r="V24" s="63">
        <f t="shared" si="27"/>
        <v>6431.5</v>
      </c>
      <c r="W24" s="65">
        <v>3367</v>
      </c>
      <c r="X24" s="63">
        <v>332.3</v>
      </c>
      <c r="Y24" s="63">
        <f t="shared" si="20"/>
        <v>3699.3</v>
      </c>
      <c r="Z24" s="65">
        <v>1699</v>
      </c>
      <c r="AA24" s="63">
        <v>57.74</v>
      </c>
      <c r="AB24" s="63">
        <f t="shared" si="21"/>
        <v>1756.74</v>
      </c>
      <c r="AC24" s="64">
        <f t="shared" si="22"/>
        <v>22.452999999999999</v>
      </c>
      <c r="AD24" s="64">
        <f t="shared" si="22"/>
        <v>4.2515400000000003</v>
      </c>
      <c r="AE24" s="63">
        <f t="shared" si="23"/>
        <v>26.704540000000001</v>
      </c>
      <c r="AF24" s="66">
        <f t="shared" si="24"/>
        <v>0.52598761858103593</v>
      </c>
      <c r="AG24" s="66">
        <f t="shared" si="24"/>
        <v>0.70727312926610109</v>
      </c>
      <c r="AH24" s="60">
        <f t="shared" si="25"/>
        <v>554.84947503308422</v>
      </c>
      <c r="AI24" s="64"/>
      <c r="AJ24" s="63"/>
      <c r="AK24" s="63"/>
      <c r="AL24" s="64"/>
      <c r="AM24" s="60"/>
      <c r="AN24" s="60"/>
    </row>
    <row r="25" spans="1:54" s="52" customFormat="1">
      <c r="A25" s="147"/>
      <c r="B25" s="148"/>
      <c r="C25" s="58">
        <v>1410.37</v>
      </c>
      <c r="D25" s="52">
        <v>40</v>
      </c>
      <c r="E25" s="59"/>
      <c r="F25" s="59"/>
      <c r="G25" s="59"/>
      <c r="H25" s="60">
        <f t="shared" si="26"/>
        <v>0</v>
      </c>
      <c r="I25" s="61"/>
      <c r="J25" s="62"/>
      <c r="K25" s="65"/>
      <c r="L25" s="63"/>
      <c r="M25" s="63">
        <f t="shared" si="18"/>
        <v>0</v>
      </c>
      <c r="N25" s="65"/>
      <c r="O25" s="63"/>
      <c r="P25" s="63">
        <f t="shared" si="19"/>
        <v>0</v>
      </c>
      <c r="Q25" s="65"/>
      <c r="R25" s="63"/>
      <c r="S25" s="63">
        <f t="shared" si="11"/>
        <v>0</v>
      </c>
      <c r="T25" s="65"/>
      <c r="U25" s="63"/>
      <c r="V25" s="63">
        <f t="shared" si="27"/>
        <v>0</v>
      </c>
      <c r="W25" s="65"/>
      <c r="X25" s="63"/>
      <c r="Y25" s="63">
        <f t="shared" si="20"/>
        <v>0</v>
      </c>
      <c r="Z25" s="65"/>
      <c r="AA25" s="63"/>
      <c r="AB25" s="63">
        <f t="shared" si="21"/>
        <v>0</v>
      </c>
      <c r="AC25" s="64">
        <f t="shared" ref="AC25:AC26" si="28">Q25+T25+W25+Z25</f>
        <v>0</v>
      </c>
      <c r="AD25" s="64">
        <f t="shared" ref="AD25:AD26" si="29">R25+U25+X25+AA25</f>
        <v>0</v>
      </c>
      <c r="AE25" s="63">
        <f t="shared" si="23"/>
        <v>0</v>
      </c>
      <c r="AF25" s="66" t="e">
        <f t="shared" ref="AF25:AF26" si="30">Q25/AC25</f>
        <v>#DIV/0!</v>
      </c>
      <c r="AG25" s="60" t="e">
        <f t="shared" ref="AG25:AG26" si="31">R25/AD25</f>
        <v>#DIV/0!</v>
      </c>
      <c r="AH25" s="60" t="e">
        <f t="shared" si="25"/>
        <v>#DIV/0!</v>
      </c>
      <c r="AI25" s="66"/>
      <c r="AJ25" s="60"/>
      <c r="AK25" s="63"/>
      <c r="AL25" s="64"/>
      <c r="AM25" s="60"/>
      <c r="AN25" s="60"/>
    </row>
    <row r="26" spans="1:54" s="68" customFormat="1">
      <c r="A26" s="149"/>
      <c r="B26" s="150"/>
      <c r="C26" s="67">
        <v>1762.96</v>
      </c>
      <c r="D26" s="68">
        <v>50</v>
      </c>
      <c r="E26" s="69"/>
      <c r="F26" s="69"/>
      <c r="G26" s="69"/>
      <c r="H26" s="70">
        <f t="shared" si="26"/>
        <v>0</v>
      </c>
      <c r="I26" s="71"/>
      <c r="J26" s="72"/>
      <c r="K26" s="73"/>
      <c r="L26" s="74"/>
      <c r="M26" s="74">
        <f t="shared" si="18"/>
        <v>0</v>
      </c>
      <c r="N26" s="73"/>
      <c r="O26" s="74"/>
      <c r="P26" s="74">
        <f t="shared" si="19"/>
        <v>0</v>
      </c>
      <c r="Q26" s="73"/>
      <c r="R26" s="74"/>
      <c r="S26" s="74">
        <f t="shared" si="11"/>
        <v>0</v>
      </c>
      <c r="T26" s="73"/>
      <c r="U26" s="74"/>
      <c r="V26" s="74">
        <f t="shared" si="27"/>
        <v>0</v>
      </c>
      <c r="W26" s="73"/>
      <c r="X26" s="74"/>
      <c r="Y26" s="74">
        <f t="shared" si="20"/>
        <v>0</v>
      </c>
      <c r="Z26" s="73"/>
      <c r="AA26" s="74"/>
      <c r="AB26" s="74">
        <f t="shared" si="21"/>
        <v>0</v>
      </c>
      <c r="AC26" s="75">
        <f t="shared" si="28"/>
        <v>0</v>
      </c>
      <c r="AD26" s="75">
        <f t="shared" si="29"/>
        <v>0</v>
      </c>
      <c r="AE26" s="74">
        <f t="shared" si="23"/>
        <v>0</v>
      </c>
      <c r="AF26" s="76" t="e">
        <f t="shared" si="30"/>
        <v>#DIV/0!</v>
      </c>
      <c r="AG26" s="70" t="e">
        <f t="shared" si="31"/>
        <v>#DIV/0!</v>
      </c>
      <c r="AH26" s="70" t="e">
        <f t="shared" si="25"/>
        <v>#DIV/0!</v>
      </c>
      <c r="AI26" s="76"/>
      <c r="AJ26" s="70"/>
      <c r="AK26" s="63"/>
      <c r="AL26" s="64"/>
      <c r="AM26" s="70"/>
      <c r="AN26" s="60"/>
    </row>
    <row r="27" spans="1:54">
      <c r="A27" s="45"/>
      <c r="B27" s="45"/>
      <c r="E27" s="30"/>
      <c r="F27" s="30"/>
      <c r="G27" s="30"/>
      <c r="H27" s="23"/>
      <c r="I27" s="21"/>
      <c r="J27" s="17"/>
      <c r="K27" s="48"/>
      <c r="L27" s="17"/>
      <c r="M27" s="17"/>
      <c r="N27" s="48"/>
      <c r="O27" s="17"/>
      <c r="P27" s="17"/>
      <c r="Q27" s="48"/>
      <c r="R27" s="17"/>
      <c r="S27" s="17"/>
      <c r="T27" s="48"/>
      <c r="U27" s="17"/>
      <c r="V27" s="17"/>
      <c r="W27" s="48"/>
      <c r="X27" s="17"/>
      <c r="Y27" s="17"/>
      <c r="Z27" s="48"/>
      <c r="AA27" s="17"/>
      <c r="AB27" s="17"/>
      <c r="AC27" s="21"/>
      <c r="AD27" s="17"/>
      <c r="AE27" s="17"/>
      <c r="AF27" s="37"/>
      <c r="AG27" s="17"/>
      <c r="AH27" s="17"/>
    </row>
    <row r="28" spans="1:54" s="105" customFormat="1">
      <c r="A28" s="104" t="s">
        <v>1</v>
      </c>
      <c r="B28" s="105" t="s">
        <v>105</v>
      </c>
      <c r="C28" s="106"/>
      <c r="I28" s="107" t="s">
        <v>44</v>
      </c>
      <c r="K28" s="107" t="s">
        <v>47</v>
      </c>
      <c r="N28" s="107" t="s">
        <v>48</v>
      </c>
      <c r="O28" s="104"/>
      <c r="P28" s="104"/>
      <c r="Q28" s="107" t="s">
        <v>49</v>
      </c>
      <c r="T28" s="107" t="s">
        <v>50</v>
      </c>
      <c r="U28" s="104"/>
      <c r="V28" s="104"/>
      <c r="W28" s="107" t="s">
        <v>51</v>
      </c>
      <c r="Z28" s="107" t="s">
        <v>84</v>
      </c>
      <c r="AC28" s="107" t="s">
        <v>52</v>
      </c>
      <c r="AF28" s="107" t="s">
        <v>56</v>
      </c>
      <c r="AI28" s="107" t="s">
        <v>106</v>
      </c>
      <c r="AL28" s="107" t="s">
        <v>107</v>
      </c>
    </row>
    <row r="29" spans="1:54" s="111" customFormat="1">
      <c r="A29" s="108" t="s">
        <v>36</v>
      </c>
      <c r="B29" s="109" t="s">
        <v>85</v>
      </c>
      <c r="C29" s="110" t="s">
        <v>43</v>
      </c>
      <c r="D29" s="108" t="s">
        <v>39</v>
      </c>
      <c r="E29" s="108" t="s">
        <v>40</v>
      </c>
      <c r="F29" s="108" t="s">
        <v>41</v>
      </c>
      <c r="G29" s="108" t="s">
        <v>42</v>
      </c>
      <c r="H29" s="108" t="s">
        <v>57</v>
      </c>
      <c r="I29" s="110" t="s">
        <v>45</v>
      </c>
      <c r="J29" s="108" t="s">
        <v>46</v>
      </c>
      <c r="K29" s="110" t="s">
        <v>53</v>
      </c>
      <c r="L29" s="108" t="s">
        <v>54</v>
      </c>
      <c r="M29" s="108" t="s">
        <v>55</v>
      </c>
      <c r="N29" s="110" t="s">
        <v>53</v>
      </c>
      <c r="O29" s="108" t="s">
        <v>54</v>
      </c>
      <c r="P29" s="108" t="s">
        <v>55</v>
      </c>
      <c r="Q29" s="110" t="s">
        <v>53</v>
      </c>
      <c r="R29" s="108" t="s">
        <v>54</v>
      </c>
      <c r="S29" s="108" t="s">
        <v>55</v>
      </c>
      <c r="T29" s="110" t="s">
        <v>53</v>
      </c>
      <c r="U29" s="108" t="s">
        <v>54</v>
      </c>
      <c r="V29" s="108" t="s">
        <v>55</v>
      </c>
      <c r="W29" s="110" t="s">
        <v>53</v>
      </c>
      <c r="X29" s="108" t="s">
        <v>54</v>
      </c>
      <c r="Y29" s="108" t="s">
        <v>55</v>
      </c>
      <c r="Z29" s="110" t="s">
        <v>53</v>
      </c>
      <c r="AA29" s="108" t="s">
        <v>54</v>
      </c>
      <c r="AB29" s="108" t="s">
        <v>55</v>
      </c>
      <c r="AC29" s="110" t="s">
        <v>53</v>
      </c>
      <c r="AD29" s="108" t="s">
        <v>54</v>
      </c>
      <c r="AE29" s="108" t="s">
        <v>55</v>
      </c>
      <c r="AF29" s="110" t="s">
        <v>53</v>
      </c>
      <c r="AG29" s="108" t="s">
        <v>54</v>
      </c>
      <c r="AH29" s="108" t="s">
        <v>55</v>
      </c>
      <c r="AI29" s="110" t="s">
        <v>53</v>
      </c>
      <c r="AJ29" s="108" t="s">
        <v>54</v>
      </c>
      <c r="AK29" s="108" t="s">
        <v>55</v>
      </c>
      <c r="AL29" s="110" t="s">
        <v>53</v>
      </c>
      <c r="AM29" s="108" t="s">
        <v>54</v>
      </c>
      <c r="AN29" s="108" t="s">
        <v>55</v>
      </c>
    </row>
    <row r="30" spans="1:54" s="111" customFormat="1">
      <c r="A30" s="108" t="s">
        <v>38</v>
      </c>
      <c r="B30" s="109" t="s">
        <v>86</v>
      </c>
      <c r="C30" s="112">
        <v>0</v>
      </c>
      <c r="D30" s="111">
        <v>0</v>
      </c>
      <c r="E30" s="113"/>
      <c r="F30" s="113"/>
      <c r="G30" s="113"/>
      <c r="H30" s="114">
        <f>G30/0.0075</f>
        <v>0</v>
      </c>
      <c r="I30" s="115"/>
      <c r="J30" s="116"/>
      <c r="K30" s="112"/>
      <c r="N30" s="112"/>
      <c r="Q30" s="112"/>
      <c r="S30" s="117">
        <f t="shared" ref="S30:S39" si="32">Q30+R30</f>
        <v>0</v>
      </c>
      <c r="T30" s="112"/>
      <c r="V30" s="117">
        <f t="shared" ref="V30:V31" si="33">T30+U30</f>
        <v>0</v>
      </c>
      <c r="W30" s="112"/>
      <c r="Y30" s="117">
        <f t="shared" ref="Y30" si="34">W30+X30</f>
        <v>0</v>
      </c>
      <c r="Z30" s="112"/>
      <c r="AB30" s="117">
        <f t="shared" ref="AB30" si="35">Z30+AA30</f>
        <v>0</v>
      </c>
      <c r="AC30" s="112">
        <v>0</v>
      </c>
      <c r="AD30" s="111">
        <v>0</v>
      </c>
      <c r="AE30" s="111">
        <v>0</v>
      </c>
      <c r="AF30" s="112"/>
      <c r="AI30" s="118"/>
      <c r="AJ30" s="117"/>
      <c r="AK30" s="117">
        <f>AI30+AJ30</f>
        <v>0</v>
      </c>
      <c r="AL30" s="118">
        <f>AI30*(7710000000000000000)*23.1662*3.016/(6.022E+23)*(C30*24*60*60)</f>
        <v>0</v>
      </c>
      <c r="AN30" s="114">
        <f>AL30+AM30</f>
        <v>0</v>
      </c>
    </row>
    <row r="31" spans="1:54" s="111" customFormat="1">
      <c r="A31" s="108" t="s">
        <v>87</v>
      </c>
      <c r="B31" s="111" t="s">
        <v>89</v>
      </c>
      <c r="C31" s="112">
        <v>3.5259299999999998</v>
      </c>
      <c r="D31" s="111">
        <v>0.1</v>
      </c>
      <c r="E31" s="113"/>
      <c r="F31" s="113"/>
      <c r="G31" s="113"/>
      <c r="H31" s="114">
        <f t="shared" ref="H31" si="36">G31/0.0075</f>
        <v>0</v>
      </c>
      <c r="I31" s="115"/>
      <c r="J31" s="116"/>
      <c r="K31" s="119"/>
      <c r="L31" s="117"/>
      <c r="M31" s="117">
        <f>K31+L31</f>
        <v>0</v>
      </c>
      <c r="N31" s="119"/>
      <c r="O31" s="117"/>
      <c r="P31" s="117">
        <f>N31+O31</f>
        <v>0</v>
      </c>
      <c r="Q31" s="119"/>
      <c r="R31" s="117"/>
      <c r="S31" s="117">
        <f t="shared" si="32"/>
        <v>0</v>
      </c>
      <c r="T31" s="119"/>
      <c r="U31" s="117"/>
      <c r="V31" s="117">
        <f t="shared" si="33"/>
        <v>0</v>
      </c>
      <c r="W31" s="119"/>
      <c r="X31" s="117"/>
      <c r="Y31" s="117">
        <f>W31+X31</f>
        <v>0</v>
      </c>
      <c r="Z31" s="119"/>
      <c r="AA31" s="117"/>
      <c r="AB31" s="117">
        <f>Z31+AA31</f>
        <v>0</v>
      </c>
      <c r="AC31" s="118">
        <f>Q31+T31+W31+Z31</f>
        <v>0</v>
      </c>
      <c r="AD31" s="118">
        <f>R31+U31+X31+AA31</f>
        <v>0</v>
      </c>
      <c r="AE31" s="117">
        <f>AC31+AD31</f>
        <v>0</v>
      </c>
      <c r="AF31" s="120" t="e">
        <f>Q31/AC31</f>
        <v>#DIV/0!</v>
      </c>
      <c r="AG31" s="114" t="e">
        <f>R31/AD31</f>
        <v>#DIV/0!</v>
      </c>
      <c r="AH31" s="114" t="e">
        <f>S31/AE31</f>
        <v>#DIV/0!</v>
      </c>
      <c r="AI31" s="118"/>
      <c r="AJ31" s="117"/>
      <c r="AK31" s="117">
        <f>AI31+AJ31</f>
        <v>0</v>
      </c>
      <c r="AL31" s="118">
        <f t="shared" ref="AL31:AL39" si="37">AI31*(7710000000000000000)*23.1662*3.016/(6.022E+23)*(C31*24*60*60)</f>
        <v>0</v>
      </c>
      <c r="AM31" s="114"/>
      <c r="AN31" s="114">
        <f>AL31+AM31</f>
        <v>0</v>
      </c>
    </row>
    <row r="32" spans="1:54" s="111" customFormat="1">
      <c r="A32" s="108" t="s">
        <v>101</v>
      </c>
      <c r="B32" s="121" t="s">
        <v>102</v>
      </c>
      <c r="C32" s="112">
        <v>35.256599999999999</v>
      </c>
      <c r="D32" s="111">
        <v>1</v>
      </c>
      <c r="E32" s="113"/>
      <c r="F32" s="113"/>
      <c r="G32" s="113"/>
      <c r="H32" s="114">
        <f>G32/0.0075</f>
        <v>0</v>
      </c>
      <c r="I32" s="115"/>
      <c r="J32" s="116"/>
      <c r="K32" s="119"/>
      <c r="L32" s="117"/>
      <c r="M32" s="117">
        <f t="shared" ref="M32:M39" si="38">K32+L32</f>
        <v>0</v>
      </c>
      <c r="N32" s="119"/>
      <c r="O32" s="117"/>
      <c r="P32" s="117">
        <f t="shared" ref="P32:P39" si="39">N32+O32</f>
        <v>0</v>
      </c>
      <c r="Q32" s="119"/>
      <c r="R32" s="117"/>
      <c r="S32" s="117">
        <f t="shared" si="32"/>
        <v>0</v>
      </c>
      <c r="T32" s="119"/>
      <c r="U32" s="117"/>
      <c r="V32" s="117">
        <f>T32+U32</f>
        <v>0</v>
      </c>
      <c r="W32" s="119"/>
      <c r="X32" s="117"/>
      <c r="Y32" s="117">
        <f t="shared" ref="Y32:Y39" si="40">W32+X32</f>
        <v>0</v>
      </c>
      <c r="Z32" s="119"/>
      <c r="AA32" s="117"/>
      <c r="AB32" s="117">
        <f t="shared" ref="AB32:AB39" si="41">Z32+AA32</f>
        <v>0</v>
      </c>
      <c r="AC32" s="118">
        <f t="shared" ref="AC32:AC39" si="42">Q32+T32+W32+Z32</f>
        <v>0</v>
      </c>
      <c r="AD32" s="118">
        <f t="shared" ref="AD32:AD39" si="43">R32+U32+X32+AA32</f>
        <v>0</v>
      </c>
      <c r="AE32" s="117">
        <f t="shared" ref="AE32:AE39" si="44">AC32+AD32</f>
        <v>0</v>
      </c>
      <c r="AF32" s="120" t="e">
        <f t="shared" ref="AF32:AF39" si="45">Q32/AC32</f>
        <v>#DIV/0!</v>
      </c>
      <c r="AG32" s="114" t="e">
        <f t="shared" ref="AG32:AG39" si="46">R32/AD32</f>
        <v>#DIV/0!</v>
      </c>
      <c r="AH32" s="114" t="e">
        <f t="shared" ref="AH32:AH39" si="47">S32/AE32</f>
        <v>#DIV/0!</v>
      </c>
      <c r="AI32" s="120"/>
      <c r="AJ32" s="114"/>
      <c r="AK32" s="117">
        <f t="shared" ref="AK32:AK39" si="48">AI32+AJ32</f>
        <v>0</v>
      </c>
      <c r="AL32" s="118">
        <f t="shared" si="37"/>
        <v>0</v>
      </c>
      <c r="AM32" s="114"/>
      <c r="AN32" s="114">
        <f t="shared" ref="AN32:AN39" si="49">AL32+AM32</f>
        <v>0</v>
      </c>
    </row>
    <row r="33" spans="1:54" s="111" customFormat="1">
      <c r="A33" s="139" t="e" vm="2">
        <v>#VALUE!</v>
      </c>
      <c r="B33" s="140"/>
      <c r="C33" s="112">
        <v>141.02600000000001</v>
      </c>
      <c r="D33" s="111">
        <v>4</v>
      </c>
      <c r="E33" s="113"/>
      <c r="F33" s="113"/>
      <c r="G33" s="113"/>
      <c r="H33" s="114">
        <f t="shared" ref="H33:H39" si="50">G33/0.0075</f>
        <v>0</v>
      </c>
      <c r="I33" s="115"/>
      <c r="J33" s="116"/>
      <c r="K33" s="119"/>
      <c r="L33" s="117"/>
      <c r="M33" s="117">
        <f t="shared" si="38"/>
        <v>0</v>
      </c>
      <c r="N33" s="119"/>
      <c r="O33" s="117"/>
      <c r="P33" s="117">
        <f t="shared" si="39"/>
        <v>0</v>
      </c>
      <c r="Q33" s="119"/>
      <c r="R33" s="117"/>
      <c r="S33" s="117">
        <f t="shared" si="32"/>
        <v>0</v>
      </c>
      <c r="T33" s="119"/>
      <c r="U33" s="117"/>
      <c r="V33" s="117">
        <f>T33+U33</f>
        <v>0</v>
      </c>
      <c r="W33" s="119"/>
      <c r="X33" s="117"/>
      <c r="Y33" s="117">
        <f t="shared" si="40"/>
        <v>0</v>
      </c>
      <c r="Z33" s="119"/>
      <c r="AA33" s="117"/>
      <c r="AB33" s="117">
        <f t="shared" si="41"/>
        <v>0</v>
      </c>
      <c r="AC33" s="118">
        <f t="shared" si="42"/>
        <v>0</v>
      </c>
      <c r="AD33" s="118">
        <f t="shared" si="43"/>
        <v>0</v>
      </c>
      <c r="AE33" s="117">
        <f t="shared" si="44"/>
        <v>0</v>
      </c>
      <c r="AF33" s="120" t="e">
        <f t="shared" si="45"/>
        <v>#DIV/0!</v>
      </c>
      <c r="AG33" s="114" t="e">
        <f t="shared" si="46"/>
        <v>#DIV/0!</v>
      </c>
      <c r="AH33" s="114" t="e">
        <f t="shared" si="47"/>
        <v>#DIV/0!</v>
      </c>
      <c r="AI33" s="120"/>
      <c r="AJ33" s="114"/>
      <c r="AK33" s="117">
        <f t="shared" si="48"/>
        <v>0</v>
      </c>
      <c r="AL33" s="118">
        <f t="shared" si="37"/>
        <v>0</v>
      </c>
      <c r="AM33" s="114"/>
      <c r="AN33" s="114">
        <f t="shared" si="49"/>
        <v>0</v>
      </c>
    </row>
    <row r="34" spans="1:54" s="111" customFormat="1">
      <c r="A34" s="139"/>
      <c r="B34" s="140"/>
      <c r="C34" s="112">
        <v>246.79599999999999</v>
      </c>
      <c r="D34" s="111">
        <v>7</v>
      </c>
      <c r="E34" s="113"/>
      <c r="F34" s="113"/>
      <c r="G34" s="113"/>
      <c r="H34" s="114">
        <f t="shared" si="50"/>
        <v>0</v>
      </c>
      <c r="I34" s="115"/>
      <c r="J34" s="116"/>
      <c r="K34" s="119"/>
      <c r="L34" s="117"/>
      <c r="M34" s="117">
        <f t="shared" si="38"/>
        <v>0</v>
      </c>
      <c r="N34" s="119"/>
      <c r="O34" s="117"/>
      <c r="P34" s="117">
        <f t="shared" si="39"/>
        <v>0</v>
      </c>
      <c r="Q34" s="119"/>
      <c r="R34" s="117"/>
      <c r="S34" s="117">
        <f t="shared" si="32"/>
        <v>0</v>
      </c>
      <c r="T34" s="119"/>
      <c r="U34" s="117"/>
      <c r="V34" s="117">
        <f>T34+U34</f>
        <v>0</v>
      </c>
      <c r="W34" s="119"/>
      <c r="X34" s="117"/>
      <c r="Y34" s="117">
        <f t="shared" si="40"/>
        <v>0</v>
      </c>
      <c r="Z34" s="119"/>
      <c r="AA34" s="117"/>
      <c r="AB34" s="117">
        <f t="shared" si="41"/>
        <v>0</v>
      </c>
      <c r="AC34" s="118">
        <f t="shared" si="42"/>
        <v>0</v>
      </c>
      <c r="AD34" s="118">
        <f t="shared" si="43"/>
        <v>0</v>
      </c>
      <c r="AE34" s="117">
        <f t="shared" si="44"/>
        <v>0</v>
      </c>
      <c r="AF34" s="120" t="e">
        <f t="shared" si="45"/>
        <v>#DIV/0!</v>
      </c>
      <c r="AG34" s="114" t="e">
        <f t="shared" si="46"/>
        <v>#DIV/0!</v>
      </c>
      <c r="AH34" s="114" t="e">
        <f t="shared" si="47"/>
        <v>#DIV/0!</v>
      </c>
      <c r="AI34" s="120"/>
      <c r="AJ34" s="114"/>
      <c r="AK34" s="117">
        <f t="shared" si="48"/>
        <v>0</v>
      </c>
      <c r="AL34" s="118">
        <f t="shared" si="37"/>
        <v>0</v>
      </c>
      <c r="AM34" s="114"/>
      <c r="AN34" s="114">
        <f t="shared" si="49"/>
        <v>0</v>
      </c>
      <c r="BB34" s="111" t="s">
        <v>59</v>
      </c>
    </row>
    <row r="35" spans="1:54" s="111" customFormat="1">
      <c r="A35" s="139"/>
      <c r="B35" s="140"/>
      <c r="C35" s="112">
        <v>352.59300000000002</v>
      </c>
      <c r="D35" s="111">
        <v>10</v>
      </c>
      <c r="E35" s="113"/>
      <c r="F35" s="113"/>
      <c r="G35" s="113"/>
      <c r="H35" s="114">
        <f t="shared" si="50"/>
        <v>0</v>
      </c>
      <c r="I35" s="115"/>
      <c r="J35" s="116"/>
      <c r="K35" s="119"/>
      <c r="L35" s="117"/>
      <c r="M35" s="117">
        <f t="shared" si="38"/>
        <v>0</v>
      </c>
      <c r="N35" s="119"/>
      <c r="O35" s="117"/>
      <c r="P35" s="117">
        <f t="shared" si="39"/>
        <v>0</v>
      </c>
      <c r="Q35" s="119"/>
      <c r="R35" s="117"/>
      <c r="S35" s="117">
        <f t="shared" si="32"/>
        <v>0</v>
      </c>
      <c r="T35" s="119"/>
      <c r="U35" s="117"/>
      <c r="V35" s="117">
        <f t="shared" ref="V35:V39" si="51">T35+U35</f>
        <v>0</v>
      </c>
      <c r="W35" s="119"/>
      <c r="X35" s="117"/>
      <c r="Y35" s="117">
        <f t="shared" si="40"/>
        <v>0</v>
      </c>
      <c r="Z35" s="119"/>
      <c r="AA35" s="117"/>
      <c r="AB35" s="117">
        <f t="shared" si="41"/>
        <v>0</v>
      </c>
      <c r="AC35" s="118">
        <f t="shared" si="42"/>
        <v>0</v>
      </c>
      <c r="AD35" s="118">
        <f t="shared" si="43"/>
        <v>0</v>
      </c>
      <c r="AE35" s="117">
        <f t="shared" si="44"/>
        <v>0</v>
      </c>
      <c r="AF35" s="120" t="e">
        <f t="shared" si="45"/>
        <v>#DIV/0!</v>
      </c>
      <c r="AG35" s="114" t="e">
        <f t="shared" si="46"/>
        <v>#DIV/0!</v>
      </c>
      <c r="AH35" s="114" t="e">
        <f t="shared" si="47"/>
        <v>#DIV/0!</v>
      </c>
      <c r="AI35" s="120"/>
      <c r="AJ35" s="114"/>
      <c r="AK35" s="117">
        <f t="shared" si="48"/>
        <v>0</v>
      </c>
      <c r="AL35" s="118">
        <f t="shared" si="37"/>
        <v>0</v>
      </c>
      <c r="AM35" s="114"/>
      <c r="AN35" s="114">
        <f t="shared" si="49"/>
        <v>0</v>
      </c>
    </row>
    <row r="36" spans="1:54" s="111" customFormat="1">
      <c r="A36" s="139"/>
      <c r="B36" s="140"/>
      <c r="C36" s="112">
        <v>705.18499999999995</v>
      </c>
      <c r="D36" s="111">
        <v>20</v>
      </c>
      <c r="E36" s="113"/>
      <c r="F36" s="113"/>
      <c r="G36" s="113"/>
      <c r="H36" s="114">
        <f t="shared" si="50"/>
        <v>0</v>
      </c>
      <c r="I36" s="115"/>
      <c r="J36" s="116"/>
      <c r="K36" s="119"/>
      <c r="L36" s="117"/>
      <c r="M36" s="117">
        <f t="shared" si="38"/>
        <v>0</v>
      </c>
      <c r="N36" s="119"/>
      <c r="O36" s="117"/>
      <c r="P36" s="117">
        <f t="shared" si="39"/>
        <v>0</v>
      </c>
      <c r="Q36" s="119"/>
      <c r="R36" s="117"/>
      <c r="S36" s="117">
        <f t="shared" si="32"/>
        <v>0</v>
      </c>
      <c r="T36" s="119"/>
      <c r="U36" s="117"/>
      <c r="V36" s="117">
        <f t="shared" si="51"/>
        <v>0</v>
      </c>
      <c r="W36" s="119"/>
      <c r="X36" s="117"/>
      <c r="Y36" s="117">
        <f t="shared" si="40"/>
        <v>0</v>
      </c>
      <c r="Z36" s="119"/>
      <c r="AA36" s="117"/>
      <c r="AB36" s="117">
        <f t="shared" si="41"/>
        <v>0</v>
      </c>
      <c r="AC36" s="118">
        <f t="shared" si="42"/>
        <v>0</v>
      </c>
      <c r="AD36" s="118">
        <f t="shared" si="43"/>
        <v>0</v>
      </c>
      <c r="AE36" s="117">
        <f t="shared" si="44"/>
        <v>0</v>
      </c>
      <c r="AF36" s="120" t="e">
        <f t="shared" si="45"/>
        <v>#DIV/0!</v>
      </c>
      <c r="AG36" s="114" t="e">
        <f t="shared" si="46"/>
        <v>#DIV/0!</v>
      </c>
      <c r="AH36" s="114" t="e">
        <f t="shared" si="47"/>
        <v>#DIV/0!</v>
      </c>
      <c r="AI36" s="120"/>
      <c r="AJ36" s="114"/>
      <c r="AK36" s="117">
        <f t="shared" si="48"/>
        <v>0</v>
      </c>
      <c r="AL36" s="118">
        <f t="shared" si="37"/>
        <v>0</v>
      </c>
      <c r="AM36" s="114"/>
      <c r="AN36" s="114">
        <f t="shared" si="49"/>
        <v>0</v>
      </c>
    </row>
    <row r="37" spans="1:54" s="111" customFormat="1">
      <c r="A37" s="139"/>
      <c r="B37" s="140"/>
      <c r="C37" s="112">
        <v>1057.78</v>
      </c>
      <c r="D37" s="111">
        <v>30</v>
      </c>
      <c r="E37" s="113"/>
      <c r="F37" s="113"/>
      <c r="G37" s="113"/>
      <c r="H37" s="114">
        <f t="shared" si="50"/>
        <v>0</v>
      </c>
      <c r="I37" s="115"/>
      <c r="J37" s="116"/>
      <c r="K37" s="119"/>
      <c r="L37" s="117"/>
      <c r="M37" s="117">
        <f t="shared" si="38"/>
        <v>0</v>
      </c>
      <c r="N37" s="119"/>
      <c r="O37" s="117"/>
      <c r="P37" s="117">
        <f t="shared" si="39"/>
        <v>0</v>
      </c>
      <c r="Q37" s="119"/>
      <c r="R37" s="117"/>
      <c r="S37" s="117">
        <f t="shared" si="32"/>
        <v>0</v>
      </c>
      <c r="T37" s="119"/>
      <c r="U37" s="117"/>
      <c r="V37" s="117">
        <f t="shared" si="51"/>
        <v>0</v>
      </c>
      <c r="W37" s="119"/>
      <c r="X37" s="117"/>
      <c r="Y37" s="117">
        <f t="shared" si="40"/>
        <v>0</v>
      </c>
      <c r="Z37" s="119"/>
      <c r="AA37" s="117"/>
      <c r="AB37" s="117">
        <f t="shared" si="41"/>
        <v>0</v>
      </c>
      <c r="AC37" s="118">
        <f t="shared" si="42"/>
        <v>0</v>
      </c>
      <c r="AD37" s="118">
        <f t="shared" si="43"/>
        <v>0</v>
      </c>
      <c r="AE37" s="117">
        <f t="shared" si="44"/>
        <v>0</v>
      </c>
      <c r="AF37" s="120" t="e">
        <f t="shared" si="45"/>
        <v>#DIV/0!</v>
      </c>
      <c r="AG37" s="114" t="e">
        <f t="shared" si="46"/>
        <v>#DIV/0!</v>
      </c>
      <c r="AH37" s="114" t="e">
        <f t="shared" si="47"/>
        <v>#DIV/0!</v>
      </c>
      <c r="AI37" s="120"/>
      <c r="AJ37" s="114"/>
      <c r="AK37" s="117">
        <f t="shared" si="48"/>
        <v>0</v>
      </c>
      <c r="AL37" s="118">
        <f t="shared" si="37"/>
        <v>0</v>
      </c>
      <c r="AM37" s="114"/>
      <c r="AN37" s="114">
        <f t="shared" si="49"/>
        <v>0</v>
      </c>
    </row>
    <row r="38" spans="1:54" s="111" customFormat="1">
      <c r="A38" s="139"/>
      <c r="B38" s="140"/>
      <c r="C38" s="112">
        <v>1410.37</v>
      </c>
      <c r="D38" s="111">
        <v>40</v>
      </c>
      <c r="E38" s="113"/>
      <c r="F38" s="113"/>
      <c r="G38" s="113"/>
      <c r="H38" s="114">
        <f t="shared" si="50"/>
        <v>0</v>
      </c>
      <c r="I38" s="115"/>
      <c r="J38" s="116"/>
      <c r="K38" s="119"/>
      <c r="L38" s="117"/>
      <c r="M38" s="117">
        <f t="shared" si="38"/>
        <v>0</v>
      </c>
      <c r="N38" s="119"/>
      <c r="O38" s="117"/>
      <c r="P38" s="117">
        <f t="shared" si="39"/>
        <v>0</v>
      </c>
      <c r="Q38" s="119"/>
      <c r="R38" s="117"/>
      <c r="S38" s="117">
        <f t="shared" si="32"/>
        <v>0</v>
      </c>
      <c r="T38" s="119"/>
      <c r="U38" s="117"/>
      <c r="V38" s="117">
        <f t="shared" si="51"/>
        <v>0</v>
      </c>
      <c r="W38" s="119"/>
      <c r="X38" s="117"/>
      <c r="Y38" s="117">
        <f t="shared" si="40"/>
        <v>0</v>
      </c>
      <c r="Z38" s="119"/>
      <c r="AA38" s="117"/>
      <c r="AB38" s="117">
        <f t="shared" si="41"/>
        <v>0</v>
      </c>
      <c r="AC38" s="118">
        <f t="shared" si="42"/>
        <v>0</v>
      </c>
      <c r="AD38" s="118">
        <f t="shared" si="43"/>
        <v>0</v>
      </c>
      <c r="AE38" s="117">
        <f t="shared" si="44"/>
        <v>0</v>
      </c>
      <c r="AF38" s="120" t="e">
        <f t="shared" si="45"/>
        <v>#DIV/0!</v>
      </c>
      <c r="AG38" s="114" t="e">
        <f t="shared" si="46"/>
        <v>#DIV/0!</v>
      </c>
      <c r="AH38" s="114" t="e">
        <f t="shared" si="47"/>
        <v>#DIV/0!</v>
      </c>
      <c r="AI38" s="120"/>
      <c r="AJ38" s="114"/>
      <c r="AK38" s="117">
        <f t="shared" si="48"/>
        <v>0</v>
      </c>
      <c r="AL38" s="118">
        <f t="shared" si="37"/>
        <v>0</v>
      </c>
      <c r="AM38" s="114"/>
      <c r="AN38" s="114">
        <f t="shared" si="49"/>
        <v>0</v>
      </c>
    </row>
    <row r="39" spans="1:54" s="123" customFormat="1">
      <c r="A39" s="141"/>
      <c r="B39" s="142"/>
      <c r="C39" s="122">
        <v>1762.96</v>
      </c>
      <c r="D39" s="123">
        <v>50</v>
      </c>
      <c r="E39" s="124"/>
      <c r="F39" s="124"/>
      <c r="G39" s="124"/>
      <c r="H39" s="125">
        <f t="shared" si="50"/>
        <v>0</v>
      </c>
      <c r="I39" s="126"/>
      <c r="J39" s="127"/>
      <c r="K39" s="128"/>
      <c r="L39" s="129"/>
      <c r="M39" s="129">
        <f t="shared" si="38"/>
        <v>0</v>
      </c>
      <c r="N39" s="128"/>
      <c r="O39" s="129"/>
      <c r="P39" s="129">
        <f t="shared" si="39"/>
        <v>0</v>
      </c>
      <c r="Q39" s="128"/>
      <c r="R39" s="129"/>
      <c r="S39" s="129">
        <f t="shared" si="32"/>
        <v>0</v>
      </c>
      <c r="T39" s="128"/>
      <c r="U39" s="129"/>
      <c r="V39" s="129">
        <f t="shared" si="51"/>
        <v>0</v>
      </c>
      <c r="W39" s="128"/>
      <c r="X39" s="129"/>
      <c r="Y39" s="129">
        <f t="shared" si="40"/>
        <v>0</v>
      </c>
      <c r="Z39" s="128"/>
      <c r="AA39" s="129"/>
      <c r="AB39" s="129">
        <f t="shared" si="41"/>
        <v>0</v>
      </c>
      <c r="AC39" s="130">
        <f t="shared" si="42"/>
        <v>0</v>
      </c>
      <c r="AD39" s="130">
        <f t="shared" si="43"/>
        <v>0</v>
      </c>
      <c r="AE39" s="129">
        <f t="shared" si="44"/>
        <v>0</v>
      </c>
      <c r="AF39" s="131" t="e">
        <f t="shared" si="45"/>
        <v>#DIV/0!</v>
      </c>
      <c r="AG39" s="125" t="e">
        <f t="shared" si="46"/>
        <v>#DIV/0!</v>
      </c>
      <c r="AH39" s="125" t="e">
        <f t="shared" si="47"/>
        <v>#DIV/0!</v>
      </c>
      <c r="AI39" s="131"/>
      <c r="AJ39" s="125"/>
      <c r="AK39" s="117">
        <f t="shared" si="48"/>
        <v>0</v>
      </c>
      <c r="AL39" s="118">
        <f t="shared" si="37"/>
        <v>0</v>
      </c>
      <c r="AM39" s="125"/>
      <c r="AN39" s="114">
        <f t="shared" si="49"/>
        <v>0</v>
      </c>
    </row>
    <row r="40" spans="1:54" s="83" customFormat="1">
      <c r="C40" s="84"/>
      <c r="I40" s="84"/>
      <c r="K40" s="84"/>
      <c r="N40" s="84"/>
      <c r="Q40" s="84"/>
      <c r="T40" s="84"/>
      <c r="W40" s="84"/>
      <c r="Z40" s="84"/>
      <c r="AC40" s="84"/>
      <c r="AF40" s="84"/>
    </row>
    <row r="41" spans="1:54" s="78" customFormat="1">
      <c r="A41" s="77" t="s">
        <v>1</v>
      </c>
      <c r="B41" s="78" t="s">
        <v>105</v>
      </c>
      <c r="C41" s="79"/>
      <c r="I41" s="80" t="s">
        <v>44</v>
      </c>
      <c r="K41" s="80" t="s">
        <v>47</v>
      </c>
      <c r="N41" s="80" t="s">
        <v>48</v>
      </c>
      <c r="O41" s="77"/>
      <c r="P41" s="77"/>
      <c r="Q41" s="80" t="s">
        <v>49</v>
      </c>
      <c r="T41" s="80" t="s">
        <v>50</v>
      </c>
      <c r="U41" s="77"/>
      <c r="V41" s="77"/>
      <c r="W41" s="80" t="s">
        <v>51</v>
      </c>
      <c r="Z41" s="80" t="s">
        <v>84</v>
      </c>
      <c r="AC41" s="80" t="s">
        <v>52</v>
      </c>
      <c r="AF41" s="80" t="s">
        <v>56</v>
      </c>
      <c r="AI41" s="80" t="s">
        <v>106</v>
      </c>
      <c r="AL41" s="80" t="s">
        <v>107</v>
      </c>
    </row>
    <row r="42" spans="1:54" s="83" customFormat="1">
      <c r="A42" s="81" t="s">
        <v>36</v>
      </c>
      <c r="B42" s="83" t="s">
        <v>85</v>
      </c>
      <c r="C42" s="82" t="s">
        <v>43</v>
      </c>
      <c r="D42" s="81" t="s">
        <v>39</v>
      </c>
      <c r="E42" s="81" t="s">
        <v>40</v>
      </c>
      <c r="F42" s="81" t="s">
        <v>41</v>
      </c>
      <c r="G42" s="81" t="s">
        <v>42</v>
      </c>
      <c r="H42" s="81" t="s">
        <v>57</v>
      </c>
      <c r="I42" s="82" t="s">
        <v>45</v>
      </c>
      <c r="J42" s="81" t="s">
        <v>46</v>
      </c>
      <c r="K42" s="82" t="s">
        <v>53</v>
      </c>
      <c r="L42" s="81" t="s">
        <v>54</v>
      </c>
      <c r="M42" s="81" t="s">
        <v>55</v>
      </c>
      <c r="N42" s="82" t="s">
        <v>53</v>
      </c>
      <c r="O42" s="81" t="s">
        <v>54</v>
      </c>
      <c r="P42" s="81" t="s">
        <v>55</v>
      </c>
      <c r="Q42" s="82" t="s">
        <v>53</v>
      </c>
      <c r="R42" s="81" t="s">
        <v>54</v>
      </c>
      <c r="S42" s="81" t="s">
        <v>55</v>
      </c>
      <c r="T42" s="82" t="s">
        <v>53</v>
      </c>
      <c r="U42" s="81" t="s">
        <v>54</v>
      </c>
      <c r="V42" s="81" t="s">
        <v>55</v>
      </c>
      <c r="W42" s="82" t="s">
        <v>53</v>
      </c>
      <c r="X42" s="81" t="s">
        <v>54</v>
      </c>
      <c r="Y42" s="81" t="s">
        <v>55</v>
      </c>
      <c r="Z42" s="82" t="s">
        <v>53</v>
      </c>
      <c r="AA42" s="81" t="s">
        <v>54</v>
      </c>
      <c r="AB42" s="81" t="s">
        <v>55</v>
      </c>
      <c r="AC42" s="82" t="s">
        <v>53</v>
      </c>
      <c r="AD42" s="81" t="s">
        <v>54</v>
      </c>
      <c r="AE42" s="81" t="s">
        <v>55</v>
      </c>
      <c r="AF42" s="82" t="s">
        <v>53</v>
      </c>
      <c r="AG42" s="81" t="s">
        <v>54</v>
      </c>
      <c r="AH42" s="81" t="s">
        <v>55</v>
      </c>
      <c r="AI42" s="82" t="s">
        <v>53</v>
      </c>
      <c r="AJ42" s="81" t="s">
        <v>54</v>
      </c>
      <c r="AK42" s="81" t="s">
        <v>55</v>
      </c>
      <c r="AL42" s="82" t="s">
        <v>53</v>
      </c>
      <c r="AM42" s="81" t="s">
        <v>54</v>
      </c>
      <c r="AN42" s="81" t="s">
        <v>55</v>
      </c>
    </row>
    <row r="43" spans="1:54" s="83" customFormat="1">
      <c r="A43" s="81" t="s">
        <v>38</v>
      </c>
      <c r="B43" s="83" t="s">
        <v>86</v>
      </c>
      <c r="C43" s="84">
        <v>0</v>
      </c>
      <c r="D43" s="83">
        <v>0</v>
      </c>
      <c r="E43" s="85">
        <v>1.20699</v>
      </c>
      <c r="F43" s="85">
        <v>2.9999999999999997E-4</v>
      </c>
      <c r="G43" s="85">
        <v>0.17149300000000001</v>
      </c>
      <c r="H43" s="86">
        <f>G43/0.0075</f>
        <v>22.865733333333335</v>
      </c>
      <c r="I43" s="87">
        <v>0.921732</v>
      </c>
      <c r="J43" s="88">
        <v>7.8268199999999996E-2</v>
      </c>
      <c r="K43" s="84"/>
      <c r="N43" s="84"/>
      <c r="Q43" s="84">
        <v>0</v>
      </c>
      <c r="R43" s="83">
        <v>0</v>
      </c>
      <c r="S43" s="89">
        <f t="shared" ref="S43:S52" si="52">Q43+R43</f>
        <v>0</v>
      </c>
      <c r="T43" s="84">
        <v>0</v>
      </c>
      <c r="U43" s="83">
        <v>0</v>
      </c>
      <c r="V43" s="89">
        <f t="shared" ref="V43:V44" si="53">T43+U43</f>
        <v>0</v>
      </c>
      <c r="W43" s="84">
        <v>0</v>
      </c>
      <c r="X43" s="83">
        <v>0</v>
      </c>
      <c r="Y43" s="89">
        <f t="shared" ref="Y43:Y52" si="54">W43+X43</f>
        <v>0</v>
      </c>
      <c r="Z43" s="84">
        <v>0</v>
      </c>
      <c r="AA43" s="83">
        <v>0</v>
      </c>
      <c r="AB43" s="89">
        <f t="shared" ref="AB43:AB52" si="55">Z43+AA43</f>
        <v>0</v>
      </c>
      <c r="AC43" s="84">
        <v>0</v>
      </c>
      <c r="AD43" s="83">
        <v>0</v>
      </c>
      <c r="AE43" s="83">
        <v>0</v>
      </c>
      <c r="AF43" s="84"/>
      <c r="AI43" s="90">
        <v>4.6870000000000001E-4</v>
      </c>
      <c r="AJ43" s="89">
        <v>1.99693E-4</v>
      </c>
      <c r="AK43" s="89">
        <f>AI43+AJ43</f>
        <v>6.6839299999999998E-4</v>
      </c>
      <c r="AL43" s="90">
        <f>AI43*(7710000000000000000)*23.1662*3.016/(6.022E+23)*(C43*24*60*60)</f>
        <v>0</v>
      </c>
      <c r="AM43" s="90">
        <f>AJ43*(7710000000000000000)*23.1662*3.016/(6.022E+23)*(D43*24*60*60)</f>
        <v>0</v>
      </c>
      <c r="AN43" s="86">
        <f>AL43+AM43</f>
        <v>0</v>
      </c>
    </row>
    <row r="44" spans="1:54" s="83" customFormat="1">
      <c r="A44" s="81" t="s">
        <v>87</v>
      </c>
      <c r="B44" s="83" t="s">
        <v>89</v>
      </c>
      <c r="C44" s="84">
        <v>3.5259299999999998</v>
      </c>
      <c r="D44" s="83">
        <v>0.1</v>
      </c>
      <c r="E44" s="85">
        <v>1.1708000000000001</v>
      </c>
      <c r="F44" s="85">
        <v>3.5E-4</v>
      </c>
      <c r="G44" s="85">
        <v>0.14588300000000001</v>
      </c>
      <c r="H44" s="86">
        <f t="shared" ref="H44" si="56">G44/0.0075</f>
        <v>19.451066666666669</v>
      </c>
      <c r="I44" s="87">
        <v>0.92100499999999996</v>
      </c>
      <c r="J44" s="88">
        <v>7.8995099999999999E-2</v>
      </c>
      <c r="K44" s="91">
        <v>103000</v>
      </c>
      <c r="L44" s="89">
        <v>19700</v>
      </c>
      <c r="M44" s="89">
        <f>K44+L44</f>
        <v>122700</v>
      </c>
      <c r="N44" s="91">
        <v>2513000</v>
      </c>
      <c r="O44" s="89">
        <v>888200</v>
      </c>
      <c r="P44" s="89">
        <f>N44+O44</f>
        <v>3401200</v>
      </c>
      <c r="Q44" s="91">
        <v>55.38</v>
      </c>
      <c r="R44" s="89">
        <v>7.0640000000000001</v>
      </c>
      <c r="S44" s="89">
        <f t="shared" si="52"/>
        <v>62.444000000000003</v>
      </c>
      <c r="T44" s="91">
        <v>0.19420000000000001</v>
      </c>
      <c r="U44" s="89">
        <v>9.502E-3</v>
      </c>
      <c r="V44" s="89">
        <f t="shared" si="53"/>
        <v>0.20370200000000002</v>
      </c>
      <c r="W44" s="91">
        <v>9.1699999999999995E-4</v>
      </c>
      <c r="X44" s="89">
        <v>0</v>
      </c>
      <c r="Y44" s="89">
        <f>W44+X44</f>
        <v>9.1699999999999995E-4</v>
      </c>
      <c r="Z44" s="91">
        <v>0</v>
      </c>
      <c r="AA44" s="89">
        <v>0</v>
      </c>
      <c r="AB44" s="89">
        <f>Z44+AA44</f>
        <v>0</v>
      </c>
      <c r="AC44" s="90">
        <f>Q44+T44+W44+Z44</f>
        <v>55.575117000000006</v>
      </c>
      <c r="AD44" s="90">
        <f>R44+U44+X44+AA44</f>
        <v>7.0735020000000004</v>
      </c>
      <c r="AE44" s="89">
        <f>AC44+AD44</f>
        <v>62.648619000000004</v>
      </c>
      <c r="AF44" s="92">
        <f>Q44/AC44</f>
        <v>0.9964891301983223</v>
      </c>
      <c r="AG44" s="86">
        <f>R44/AD44</f>
        <v>0.99865667670695502</v>
      </c>
      <c r="AH44" s="86">
        <f>S44/AE44</f>
        <v>0.99673386256128005</v>
      </c>
      <c r="AI44" s="90">
        <v>4.5506499999999999E-4</v>
      </c>
      <c r="AJ44" s="89">
        <v>1.9504E-4</v>
      </c>
      <c r="AK44" s="89">
        <f>AI44+AJ44</f>
        <v>6.50105E-4</v>
      </c>
      <c r="AL44" s="90">
        <f t="shared" ref="AL44:AM52" si="57">AI44*(7710000000000000000)*23.1662*3.016/(6.022E+23)*(C44*24*60*60)</f>
        <v>0.12401111956070728</v>
      </c>
      <c r="AM44" s="90">
        <f t="shared" si="57"/>
        <v>1.5074301462328725E-3</v>
      </c>
      <c r="AN44" s="86">
        <f>AL44+AM44</f>
        <v>0.12551854970694015</v>
      </c>
    </row>
    <row r="45" spans="1:54" s="83" customFormat="1">
      <c r="A45" s="81" t="s">
        <v>101</v>
      </c>
      <c r="B45" s="93" t="s">
        <v>100</v>
      </c>
      <c r="C45" s="84">
        <v>35.256599999999999</v>
      </c>
      <c r="D45" s="83">
        <v>1</v>
      </c>
      <c r="E45" s="85">
        <v>1.1556200000000001</v>
      </c>
      <c r="F45" s="85">
        <v>3.6999999999999999E-4</v>
      </c>
      <c r="G45" s="85">
        <v>0.13466400000000001</v>
      </c>
      <c r="H45" s="86">
        <f>G45/0.0075</f>
        <v>17.955200000000001</v>
      </c>
      <c r="I45" s="87">
        <v>0.92036300000000004</v>
      </c>
      <c r="J45" s="88">
        <v>7.9636899999999997E-2</v>
      </c>
      <c r="K45" s="91">
        <v>99550</v>
      </c>
      <c r="L45" s="89">
        <v>19400</v>
      </c>
      <c r="M45" s="89">
        <f t="shared" ref="M45:M52" si="58">K45+L45</f>
        <v>118950</v>
      </c>
      <c r="N45" s="91">
        <v>2512000</v>
      </c>
      <c r="O45" s="89">
        <v>888000</v>
      </c>
      <c r="P45" s="89">
        <f t="shared" ref="P45:P52" si="59">N45+O45</f>
        <v>3400000</v>
      </c>
      <c r="Q45" s="91">
        <v>1289</v>
      </c>
      <c r="R45" s="89">
        <v>168.3</v>
      </c>
      <c r="S45" s="89">
        <f t="shared" si="52"/>
        <v>1457.3</v>
      </c>
      <c r="T45" s="91">
        <v>29.32</v>
      </c>
      <c r="U45" s="89">
        <v>1.6</v>
      </c>
      <c r="V45" s="89">
        <f>T45+U45</f>
        <v>30.92</v>
      </c>
      <c r="W45" s="91">
        <v>1.458</v>
      </c>
      <c r="X45" s="89">
        <v>2.8340000000000001E-2</v>
      </c>
      <c r="Y45" s="89">
        <f t="shared" si="54"/>
        <v>1.48634</v>
      </c>
      <c r="Z45" s="91">
        <v>1.0880000000000001E-2</v>
      </c>
      <c r="AA45" s="89">
        <v>0</v>
      </c>
      <c r="AB45" s="89">
        <f t="shared" si="55"/>
        <v>1.0880000000000001E-2</v>
      </c>
      <c r="AC45" s="90">
        <f t="shared" ref="AC45:AD52" si="60">Q45+T45+W45+Z45</f>
        <v>1319.7888800000001</v>
      </c>
      <c r="AD45" s="90">
        <f t="shared" si="60"/>
        <v>169.92833999999999</v>
      </c>
      <c r="AE45" s="89">
        <f t="shared" ref="AE45:AE52" si="61">AC45+AD45</f>
        <v>1489.71722</v>
      </c>
      <c r="AF45" s="92">
        <f t="shared" ref="AF45:AH52" si="62">Q45/AC45</f>
        <v>0.97667135974050634</v>
      </c>
      <c r="AG45" s="86">
        <f t="shared" si="62"/>
        <v>0.99041749010200431</v>
      </c>
      <c r="AH45" s="86">
        <f t="shared" si="62"/>
        <v>0.9782393466593613</v>
      </c>
      <c r="AI45" s="90">
        <v>4.4739299999999998E-4</v>
      </c>
      <c r="AJ45" s="89">
        <v>1.91838E-4</v>
      </c>
      <c r="AK45" s="89">
        <f t="shared" ref="AK45:AK52" si="63">AI45+AJ45</f>
        <v>6.3923099999999998E-4</v>
      </c>
      <c r="AL45" s="90">
        <f t="shared" si="57"/>
        <v>1.2191106385212183</v>
      </c>
      <c r="AM45" s="90">
        <f t="shared" si="57"/>
        <v>1.4826824466418261E-2</v>
      </c>
      <c r="AN45" s="86">
        <f t="shared" ref="AN45:AN52" si="64">AL45+AM45</f>
        <v>1.2339374629876365</v>
      </c>
    </row>
    <row r="46" spans="1:54" s="83" customFormat="1">
      <c r="A46" s="143" t="e" vm="2">
        <v>#VALUE!</v>
      </c>
      <c r="B46" s="144"/>
      <c r="C46" s="84">
        <v>141.02600000000001</v>
      </c>
      <c r="D46" s="83">
        <v>4</v>
      </c>
      <c r="E46" s="85">
        <v>1.12476</v>
      </c>
      <c r="F46" s="85">
        <v>3.5E-4</v>
      </c>
      <c r="G46" s="85">
        <v>0.11092100000000001</v>
      </c>
      <c r="H46" s="86">
        <f t="shared" ref="H46:H52" si="65">G46/0.0075</f>
        <v>14.789466666666668</v>
      </c>
      <c r="I46" s="87">
        <v>0.91778999999999999</v>
      </c>
      <c r="J46" s="88">
        <v>8.2210000000000005E-2</v>
      </c>
      <c r="K46" s="91">
        <v>88760</v>
      </c>
      <c r="L46" s="89">
        <v>18470</v>
      </c>
      <c r="M46" s="89">
        <f t="shared" si="58"/>
        <v>107230</v>
      </c>
      <c r="N46" s="91">
        <v>2507000</v>
      </c>
      <c r="O46" s="89">
        <v>887400</v>
      </c>
      <c r="P46" s="89">
        <f t="shared" si="59"/>
        <v>3394400</v>
      </c>
      <c r="Q46" s="91">
        <v>4696</v>
      </c>
      <c r="R46" s="89">
        <v>676.8</v>
      </c>
      <c r="S46" s="89">
        <f t="shared" si="52"/>
        <v>5372.8</v>
      </c>
      <c r="T46" s="91">
        <v>386.9</v>
      </c>
      <c r="U46" s="89">
        <v>24.99</v>
      </c>
      <c r="V46" s="89">
        <f>T46+U46</f>
        <v>411.89</v>
      </c>
      <c r="W46" s="91">
        <v>79.03</v>
      </c>
      <c r="X46" s="89">
        <v>1.8160000000000001</v>
      </c>
      <c r="Y46" s="89">
        <f t="shared" si="54"/>
        <v>80.846000000000004</v>
      </c>
      <c r="Z46" s="91">
        <v>2.536</v>
      </c>
      <c r="AA46" s="89">
        <v>2.3949999999999999E-2</v>
      </c>
      <c r="AB46" s="89">
        <f t="shared" si="55"/>
        <v>2.5599500000000002</v>
      </c>
      <c r="AC46" s="90">
        <f t="shared" si="60"/>
        <v>5164.4659999999994</v>
      </c>
      <c r="AD46" s="90">
        <f t="shared" si="60"/>
        <v>703.62995000000001</v>
      </c>
      <c r="AE46" s="89">
        <f t="shared" si="61"/>
        <v>5868.095949999999</v>
      </c>
      <c r="AF46" s="92">
        <f t="shared" si="62"/>
        <v>0.90929052490615692</v>
      </c>
      <c r="AG46" s="86">
        <f t="shared" si="62"/>
        <v>0.96186923254190637</v>
      </c>
      <c r="AH46" s="86">
        <f t="shared" si="62"/>
        <v>0.91559511735659349</v>
      </c>
      <c r="AI46" s="90">
        <v>4.3272699999999999E-4</v>
      </c>
      <c r="AJ46" s="89">
        <v>1.8616800000000001E-4</v>
      </c>
      <c r="AK46" s="89">
        <f t="shared" si="63"/>
        <v>6.1889499999999995E-4</v>
      </c>
      <c r="AL46" s="90">
        <f t="shared" si="57"/>
        <v>4.71657440310622</v>
      </c>
      <c r="AM46" s="90">
        <f t="shared" si="57"/>
        <v>5.7554400218187314E-2</v>
      </c>
      <c r="AN46" s="86">
        <f t="shared" si="64"/>
        <v>4.7741288033244071</v>
      </c>
    </row>
    <row r="47" spans="1:54" s="83" customFormat="1">
      <c r="A47" s="143"/>
      <c r="B47" s="144"/>
      <c r="C47" s="84">
        <v>246.79599999999999</v>
      </c>
      <c r="D47" s="83">
        <v>7</v>
      </c>
      <c r="E47" s="85">
        <v>1.0932599999999999</v>
      </c>
      <c r="F47" s="85">
        <v>3.4000000000000002E-4</v>
      </c>
      <c r="G47" s="85">
        <v>8.5305000000000006E-2</v>
      </c>
      <c r="H47" s="86">
        <f t="shared" si="65"/>
        <v>11.374000000000001</v>
      </c>
      <c r="I47" s="87">
        <v>0.91504399999999997</v>
      </c>
      <c r="J47" s="88">
        <v>8.4955699999999995E-2</v>
      </c>
      <c r="K47" s="91">
        <v>78960</v>
      </c>
      <c r="L47" s="89">
        <v>17560</v>
      </c>
      <c r="M47" s="89">
        <f t="shared" si="58"/>
        <v>96520</v>
      </c>
      <c r="N47" s="91">
        <v>2501000</v>
      </c>
      <c r="O47" s="89">
        <v>886700</v>
      </c>
      <c r="P47" s="89">
        <f t="shared" si="59"/>
        <v>3387700</v>
      </c>
      <c r="Q47" s="91">
        <v>7177</v>
      </c>
      <c r="R47" s="89">
        <v>1128</v>
      </c>
      <c r="S47" s="89">
        <f t="shared" si="52"/>
        <v>8305</v>
      </c>
      <c r="T47" s="91">
        <v>934.7</v>
      </c>
      <c r="U47" s="89">
        <v>70.25</v>
      </c>
      <c r="V47" s="89">
        <f>T47+U47</f>
        <v>1004.95</v>
      </c>
      <c r="W47" s="91">
        <v>311.7</v>
      </c>
      <c r="X47" s="89">
        <v>8.9019999999999992</v>
      </c>
      <c r="Y47" s="89">
        <f t="shared" si="54"/>
        <v>320.60199999999998</v>
      </c>
      <c r="Z47" s="91">
        <v>18.66</v>
      </c>
      <c r="AA47" s="89">
        <v>0.21160000000000001</v>
      </c>
      <c r="AB47" s="89">
        <f t="shared" si="55"/>
        <v>18.871600000000001</v>
      </c>
      <c r="AC47" s="90">
        <f t="shared" si="60"/>
        <v>8442.06</v>
      </c>
      <c r="AD47" s="90">
        <f t="shared" si="60"/>
        <v>1207.3636000000001</v>
      </c>
      <c r="AE47" s="89">
        <f t="shared" si="61"/>
        <v>9649.4236000000001</v>
      </c>
      <c r="AF47" s="92">
        <f t="shared" si="62"/>
        <v>0.85014794967105189</v>
      </c>
      <c r="AG47" s="86">
        <f t="shared" si="62"/>
        <v>0.93426702610547463</v>
      </c>
      <c r="AH47" s="86">
        <f t="shared" si="62"/>
        <v>0.86067317015702371</v>
      </c>
      <c r="AI47" s="90">
        <v>4.24506E-4</v>
      </c>
      <c r="AJ47" s="89">
        <v>1.8242200000000001E-4</v>
      </c>
      <c r="AK47" s="89">
        <f t="shared" si="63"/>
        <v>6.0692800000000007E-4</v>
      </c>
      <c r="AL47" s="90">
        <f t="shared" si="57"/>
        <v>8.0972110186789745</v>
      </c>
      <c r="AM47" s="90">
        <f t="shared" si="57"/>
        <v>9.869354773137054E-2</v>
      </c>
      <c r="AN47" s="86">
        <f t="shared" si="64"/>
        <v>8.1959045664103449</v>
      </c>
      <c r="BB47" s="83" t="s">
        <v>59</v>
      </c>
    </row>
    <row r="48" spans="1:54" s="83" customFormat="1">
      <c r="A48" s="143"/>
      <c r="B48" s="144"/>
      <c r="C48" s="84">
        <v>352.59300000000002</v>
      </c>
      <c r="D48" s="83">
        <v>10</v>
      </c>
      <c r="E48" s="85">
        <v>1.06393</v>
      </c>
      <c r="F48" s="85">
        <v>3.1E-4</v>
      </c>
      <c r="G48" s="85">
        <v>6.0088999999999997E-2</v>
      </c>
      <c r="H48" s="86">
        <f t="shared" si="65"/>
        <v>8.0118666666666662</v>
      </c>
      <c r="I48" s="87">
        <v>0.912219</v>
      </c>
      <c r="J48" s="88">
        <v>8.7780800000000006E-2</v>
      </c>
      <c r="K48" s="91">
        <v>70010</v>
      </c>
      <c r="L48" s="89">
        <v>16680</v>
      </c>
      <c r="M48" s="89">
        <f t="shared" si="58"/>
        <v>86690</v>
      </c>
      <c r="N48" s="91">
        <v>2496000</v>
      </c>
      <c r="O48" s="89">
        <v>886000</v>
      </c>
      <c r="P48" s="89">
        <f t="shared" si="59"/>
        <v>3382000</v>
      </c>
      <c r="Q48" s="91">
        <v>9005</v>
      </c>
      <c r="R48" s="89">
        <v>1530</v>
      </c>
      <c r="S48" s="89">
        <f t="shared" si="52"/>
        <v>10535</v>
      </c>
      <c r="T48" s="91">
        <v>1561</v>
      </c>
      <c r="U48" s="89">
        <v>132.1</v>
      </c>
      <c r="V48" s="89">
        <f t="shared" ref="V48:V52" si="66">T48+U48</f>
        <v>1693.1</v>
      </c>
      <c r="W48" s="91">
        <v>660.2</v>
      </c>
      <c r="X48" s="89">
        <v>23.14</v>
      </c>
      <c r="Y48" s="89">
        <f t="shared" si="54"/>
        <v>683.34</v>
      </c>
      <c r="Z48" s="91">
        <v>60.65</v>
      </c>
      <c r="AA48" s="89">
        <v>0.81710000000000005</v>
      </c>
      <c r="AB48" s="89">
        <f t="shared" si="55"/>
        <v>61.467100000000002</v>
      </c>
      <c r="AC48" s="90">
        <f t="shared" si="60"/>
        <v>11286.85</v>
      </c>
      <c r="AD48" s="90">
        <f t="shared" si="60"/>
        <v>1686.0571</v>
      </c>
      <c r="AE48" s="89">
        <f t="shared" si="61"/>
        <v>12972.9071</v>
      </c>
      <c r="AF48" s="92">
        <f t="shared" si="62"/>
        <v>0.79783110433823434</v>
      </c>
      <c r="AG48" s="86">
        <f t="shared" si="62"/>
        <v>0.90744257712268461</v>
      </c>
      <c r="AH48" s="86">
        <f t="shared" si="62"/>
        <v>0.81207704015702076</v>
      </c>
      <c r="AI48" s="90">
        <v>4.2054000000000001E-4</v>
      </c>
      <c r="AJ48" s="89">
        <v>1.79817E-4</v>
      </c>
      <c r="AK48" s="89">
        <f t="shared" si="63"/>
        <v>6.0035700000000004E-4</v>
      </c>
      <c r="AL48" s="90">
        <f t="shared" si="57"/>
        <v>11.460260890215647</v>
      </c>
      <c r="AM48" s="90">
        <f t="shared" si="57"/>
        <v>0.13897742340297189</v>
      </c>
      <c r="AN48" s="86">
        <f t="shared" si="64"/>
        <v>11.599238313618619</v>
      </c>
    </row>
    <row r="49" spans="1:54" s="83" customFormat="1">
      <c r="A49" s="143"/>
      <c r="B49" s="144"/>
      <c r="C49" s="84">
        <v>705.18499999999995</v>
      </c>
      <c r="D49" s="83">
        <v>20</v>
      </c>
      <c r="E49" s="85">
        <v>0.97867000000000004</v>
      </c>
      <c r="F49" s="85">
        <v>2.9999999999999997E-4</v>
      </c>
      <c r="G49" s="85">
        <v>-2.1794999999999998E-2</v>
      </c>
      <c r="H49" s="86">
        <f t="shared" si="65"/>
        <v>-2.9059999999999997</v>
      </c>
      <c r="I49" s="87">
        <v>0.90279100000000001</v>
      </c>
      <c r="J49" s="88">
        <v>9.7208900000000001E-2</v>
      </c>
      <c r="K49" s="91">
        <v>45280</v>
      </c>
      <c r="L49" s="89">
        <v>13980</v>
      </c>
      <c r="M49" s="89">
        <f t="shared" si="58"/>
        <v>59260</v>
      </c>
      <c r="N49" s="91">
        <v>2475000</v>
      </c>
      <c r="O49" s="89">
        <v>883600</v>
      </c>
      <c r="P49" s="89">
        <f t="shared" si="59"/>
        <v>3358600</v>
      </c>
      <c r="Q49" s="91">
        <v>12040</v>
      </c>
      <c r="R49" s="89">
        <v>2520</v>
      </c>
      <c r="S49" s="89">
        <f t="shared" si="52"/>
        <v>14560</v>
      </c>
      <c r="T49" s="91">
        <v>3471</v>
      </c>
      <c r="U49" s="89">
        <v>399.7</v>
      </c>
      <c r="V49" s="89">
        <f t="shared" si="66"/>
        <v>3870.7</v>
      </c>
      <c r="W49" s="91">
        <v>2301</v>
      </c>
      <c r="X49" s="89">
        <v>129</v>
      </c>
      <c r="Y49" s="89">
        <f t="shared" si="54"/>
        <v>2430</v>
      </c>
      <c r="Z49" s="91">
        <v>490.3</v>
      </c>
      <c r="AA49" s="89">
        <v>9.8789999999999996</v>
      </c>
      <c r="AB49" s="89">
        <f t="shared" si="55"/>
        <v>500.17900000000003</v>
      </c>
      <c r="AC49" s="90">
        <f t="shared" si="60"/>
        <v>18302.3</v>
      </c>
      <c r="AD49" s="90">
        <f t="shared" si="60"/>
        <v>3058.5789999999997</v>
      </c>
      <c r="AE49" s="89">
        <f t="shared" si="61"/>
        <v>21360.879000000001</v>
      </c>
      <c r="AF49" s="92">
        <f t="shared" si="62"/>
        <v>0.65784081782071113</v>
      </c>
      <c r="AG49" s="86">
        <f t="shared" si="62"/>
        <v>0.82391201927431013</v>
      </c>
      <c r="AH49" s="86">
        <f t="shared" si="62"/>
        <v>0.68161989026762426</v>
      </c>
      <c r="AI49" s="90">
        <v>4.2443899999999998E-4</v>
      </c>
      <c r="AJ49" s="89">
        <v>1.7675300000000001E-4</v>
      </c>
      <c r="AK49" s="89">
        <f t="shared" si="63"/>
        <v>6.0119199999999996E-4</v>
      </c>
      <c r="AL49" s="90">
        <f t="shared" si="57"/>
        <v>23.1329945986284</v>
      </c>
      <c r="AM49" s="90">
        <f t="shared" si="57"/>
        <v>0.2732186224744656</v>
      </c>
      <c r="AN49" s="86">
        <f t="shared" si="64"/>
        <v>23.406213221102867</v>
      </c>
    </row>
    <row r="50" spans="1:54" s="83" customFormat="1">
      <c r="A50" s="143"/>
      <c r="B50" s="144"/>
      <c r="C50" s="84">
        <v>1057.78</v>
      </c>
      <c r="D50" s="83">
        <v>30</v>
      </c>
      <c r="E50" s="85">
        <v>0.90022000000000002</v>
      </c>
      <c r="F50" s="85">
        <v>2.9999999999999997E-4</v>
      </c>
      <c r="G50" s="85">
        <v>-0.11083999999999999</v>
      </c>
      <c r="H50" s="86">
        <f t="shared" si="65"/>
        <v>-14.778666666666666</v>
      </c>
      <c r="I50" s="87">
        <v>0.89266199999999996</v>
      </c>
      <c r="J50" s="88">
        <v>0.107338</v>
      </c>
      <c r="K50" s="91">
        <v>27250</v>
      </c>
      <c r="L50" s="89">
        <v>11470</v>
      </c>
      <c r="M50" s="89">
        <f t="shared" si="58"/>
        <v>38720</v>
      </c>
      <c r="N50" s="91">
        <v>2452000</v>
      </c>
      <c r="O50" s="89">
        <v>881000</v>
      </c>
      <c r="P50" s="89">
        <f t="shared" si="59"/>
        <v>3333000</v>
      </c>
      <c r="Q50" s="91">
        <v>12990</v>
      </c>
      <c r="R50" s="89">
        <v>3194</v>
      </c>
      <c r="S50" s="89">
        <f t="shared" si="52"/>
        <v>16184</v>
      </c>
      <c r="T50" s="91">
        <v>5182</v>
      </c>
      <c r="U50" s="89">
        <v>725.7</v>
      </c>
      <c r="V50" s="89">
        <f t="shared" si="66"/>
        <v>5907.7</v>
      </c>
      <c r="W50" s="91">
        <v>3434</v>
      </c>
      <c r="X50" s="89">
        <v>300.10000000000002</v>
      </c>
      <c r="Y50" s="89">
        <f t="shared" si="54"/>
        <v>3734.1</v>
      </c>
      <c r="Z50" s="91">
        <v>1346</v>
      </c>
      <c r="AA50" s="89">
        <v>39.6</v>
      </c>
      <c r="AB50" s="89">
        <f t="shared" si="55"/>
        <v>1385.6</v>
      </c>
      <c r="AC50" s="90">
        <f t="shared" si="60"/>
        <v>22952</v>
      </c>
      <c r="AD50" s="90">
        <f t="shared" si="60"/>
        <v>4259.4000000000005</v>
      </c>
      <c r="AE50" s="89">
        <f t="shared" si="61"/>
        <v>27211.4</v>
      </c>
      <c r="AF50" s="92">
        <f t="shared" si="62"/>
        <v>0.56596375043569191</v>
      </c>
      <c r="AG50" s="86">
        <f t="shared" si="62"/>
        <v>0.74987087383199502</v>
      </c>
      <c r="AH50" s="86">
        <f t="shared" si="62"/>
        <v>0.59475072947367646</v>
      </c>
      <c r="AI50" s="90">
        <v>4.3977799999999999E-4</v>
      </c>
      <c r="AJ50" s="89">
        <v>1.77565E-4</v>
      </c>
      <c r="AK50" s="89">
        <f t="shared" si="63"/>
        <v>6.1734300000000002E-4</v>
      </c>
      <c r="AL50" s="90">
        <f t="shared" si="57"/>
        <v>35.953598077114094</v>
      </c>
      <c r="AM50" s="90">
        <f t="shared" si="57"/>
        <v>0.41171067562936831</v>
      </c>
      <c r="AN50" s="86">
        <f t="shared" si="64"/>
        <v>36.365308752743459</v>
      </c>
    </row>
    <row r="51" spans="1:54" s="83" customFormat="1">
      <c r="A51" s="143"/>
      <c r="B51" s="144"/>
      <c r="C51" s="84">
        <v>1410.37</v>
      </c>
      <c r="D51" s="83">
        <v>40</v>
      </c>
      <c r="E51" s="85"/>
      <c r="F51" s="85"/>
      <c r="G51" s="85"/>
      <c r="H51" s="86">
        <f t="shared" si="65"/>
        <v>0</v>
      </c>
      <c r="I51" s="87"/>
      <c r="J51" s="88"/>
      <c r="K51" s="91"/>
      <c r="L51" s="89"/>
      <c r="M51" s="89">
        <f t="shared" si="58"/>
        <v>0</v>
      </c>
      <c r="N51" s="91"/>
      <c r="O51" s="89"/>
      <c r="P51" s="89">
        <f t="shared" si="59"/>
        <v>0</v>
      </c>
      <c r="Q51" s="91"/>
      <c r="R51" s="89"/>
      <c r="S51" s="89">
        <f t="shared" si="52"/>
        <v>0</v>
      </c>
      <c r="T51" s="91"/>
      <c r="U51" s="89"/>
      <c r="V51" s="89">
        <f t="shared" si="66"/>
        <v>0</v>
      </c>
      <c r="W51" s="91"/>
      <c r="X51" s="89"/>
      <c r="Y51" s="89">
        <f t="shared" si="54"/>
        <v>0</v>
      </c>
      <c r="Z51" s="91"/>
      <c r="AA51" s="89"/>
      <c r="AB51" s="89">
        <f t="shared" si="55"/>
        <v>0</v>
      </c>
      <c r="AC51" s="90">
        <f t="shared" si="60"/>
        <v>0</v>
      </c>
      <c r="AD51" s="90">
        <f t="shared" si="60"/>
        <v>0</v>
      </c>
      <c r="AE51" s="89">
        <f t="shared" si="61"/>
        <v>0</v>
      </c>
      <c r="AF51" s="92" t="e">
        <f t="shared" si="62"/>
        <v>#DIV/0!</v>
      </c>
      <c r="AG51" s="86" t="e">
        <f t="shared" si="62"/>
        <v>#DIV/0!</v>
      </c>
      <c r="AH51" s="86" t="e">
        <f t="shared" si="62"/>
        <v>#DIV/0!</v>
      </c>
      <c r="AI51" s="90"/>
      <c r="AJ51" s="89"/>
      <c r="AK51" s="89">
        <f t="shared" si="63"/>
        <v>0</v>
      </c>
      <c r="AL51" s="90">
        <f t="shared" si="57"/>
        <v>0</v>
      </c>
      <c r="AM51" s="90">
        <f>AJ51*(7710000000000000000)*23.1662*3.016/(6.022E+23)*(D51*24*60*60)</f>
        <v>0</v>
      </c>
      <c r="AN51" s="86">
        <f t="shared" si="64"/>
        <v>0</v>
      </c>
    </row>
    <row r="52" spans="1:54" s="95" customFormat="1">
      <c r="A52" s="145"/>
      <c r="B52" s="146"/>
      <c r="C52" s="94">
        <v>1762.96</v>
      </c>
      <c r="D52" s="95">
        <v>50</v>
      </c>
      <c r="E52" s="96"/>
      <c r="F52" s="96"/>
      <c r="G52" s="96"/>
      <c r="H52" s="97">
        <f t="shared" si="65"/>
        <v>0</v>
      </c>
      <c r="I52" s="98"/>
      <c r="J52" s="99"/>
      <c r="K52" s="100"/>
      <c r="L52" s="101"/>
      <c r="M52" s="101">
        <f t="shared" si="58"/>
        <v>0</v>
      </c>
      <c r="N52" s="100"/>
      <c r="O52" s="101"/>
      <c r="P52" s="101">
        <f t="shared" si="59"/>
        <v>0</v>
      </c>
      <c r="Q52" s="100"/>
      <c r="R52" s="101"/>
      <c r="S52" s="101">
        <f t="shared" si="52"/>
        <v>0</v>
      </c>
      <c r="T52" s="100"/>
      <c r="U52" s="101"/>
      <c r="V52" s="101">
        <f t="shared" si="66"/>
        <v>0</v>
      </c>
      <c r="W52" s="100"/>
      <c r="X52" s="101"/>
      <c r="Y52" s="101">
        <f t="shared" si="54"/>
        <v>0</v>
      </c>
      <c r="Z52" s="100"/>
      <c r="AA52" s="101"/>
      <c r="AB52" s="101">
        <f t="shared" si="55"/>
        <v>0</v>
      </c>
      <c r="AC52" s="102">
        <f t="shared" si="60"/>
        <v>0</v>
      </c>
      <c r="AD52" s="102">
        <f t="shared" si="60"/>
        <v>0</v>
      </c>
      <c r="AE52" s="101">
        <f t="shared" si="61"/>
        <v>0</v>
      </c>
      <c r="AF52" s="103" t="e">
        <f t="shared" si="62"/>
        <v>#DIV/0!</v>
      </c>
      <c r="AG52" s="97" t="e">
        <f t="shared" si="62"/>
        <v>#DIV/0!</v>
      </c>
      <c r="AH52" s="97" t="e">
        <f t="shared" si="62"/>
        <v>#DIV/0!</v>
      </c>
      <c r="AI52" s="102"/>
      <c r="AJ52" s="101"/>
      <c r="AK52" s="89">
        <f t="shared" si="63"/>
        <v>0</v>
      </c>
      <c r="AL52" s="90">
        <f t="shared" si="57"/>
        <v>0</v>
      </c>
      <c r="AM52" s="90">
        <f t="shared" si="57"/>
        <v>0</v>
      </c>
      <c r="AN52" s="86">
        <f t="shared" si="64"/>
        <v>0</v>
      </c>
    </row>
    <row r="53" spans="1:54" s="83" customFormat="1">
      <c r="C53" s="84"/>
      <c r="I53" s="84"/>
      <c r="K53" s="84"/>
      <c r="N53" s="84"/>
      <c r="Q53" s="84"/>
      <c r="T53" s="84"/>
      <c r="W53" s="84"/>
      <c r="Z53" s="84"/>
      <c r="AC53" s="84"/>
      <c r="AF53" s="84"/>
    </row>
    <row r="54" spans="1:54" s="78" customFormat="1">
      <c r="A54" s="77" t="s">
        <v>1</v>
      </c>
      <c r="B54" s="78" t="s">
        <v>105</v>
      </c>
      <c r="C54" s="79"/>
      <c r="I54" s="80" t="s">
        <v>44</v>
      </c>
      <c r="K54" s="80" t="s">
        <v>47</v>
      </c>
      <c r="N54" s="80" t="s">
        <v>48</v>
      </c>
      <c r="O54" s="77"/>
      <c r="P54" s="77"/>
      <c r="Q54" s="80" t="s">
        <v>49</v>
      </c>
      <c r="T54" s="80" t="s">
        <v>50</v>
      </c>
      <c r="U54" s="77"/>
      <c r="V54" s="77"/>
      <c r="W54" s="80" t="s">
        <v>51</v>
      </c>
      <c r="Z54" s="80" t="s">
        <v>84</v>
      </c>
      <c r="AC54" s="80" t="s">
        <v>52</v>
      </c>
      <c r="AF54" s="80" t="s">
        <v>56</v>
      </c>
      <c r="AI54" s="80" t="s">
        <v>106</v>
      </c>
      <c r="AL54" s="80" t="s">
        <v>107</v>
      </c>
    </row>
    <row r="55" spans="1:54" s="83" customFormat="1">
      <c r="A55" s="81" t="s">
        <v>36</v>
      </c>
      <c r="B55" s="83" t="s">
        <v>85</v>
      </c>
      <c r="C55" s="82" t="s">
        <v>43</v>
      </c>
      <c r="D55" s="81" t="s">
        <v>39</v>
      </c>
      <c r="E55" s="81" t="s">
        <v>40</v>
      </c>
      <c r="F55" s="81" t="s">
        <v>41</v>
      </c>
      <c r="G55" s="81" t="s">
        <v>42</v>
      </c>
      <c r="H55" s="81" t="s">
        <v>57</v>
      </c>
      <c r="I55" s="82" t="s">
        <v>45</v>
      </c>
      <c r="J55" s="81" t="s">
        <v>46</v>
      </c>
      <c r="K55" s="82" t="s">
        <v>53</v>
      </c>
      <c r="L55" s="81" t="s">
        <v>54</v>
      </c>
      <c r="M55" s="81" t="s">
        <v>55</v>
      </c>
      <c r="N55" s="82" t="s">
        <v>53</v>
      </c>
      <c r="O55" s="81" t="s">
        <v>54</v>
      </c>
      <c r="P55" s="81" t="s">
        <v>55</v>
      </c>
      <c r="Q55" s="82" t="s">
        <v>53</v>
      </c>
      <c r="R55" s="81" t="s">
        <v>54</v>
      </c>
      <c r="S55" s="81" t="s">
        <v>55</v>
      </c>
      <c r="T55" s="82" t="s">
        <v>53</v>
      </c>
      <c r="U55" s="81" t="s">
        <v>54</v>
      </c>
      <c r="V55" s="81" t="s">
        <v>55</v>
      </c>
      <c r="W55" s="82" t="s">
        <v>53</v>
      </c>
      <c r="X55" s="81" t="s">
        <v>54</v>
      </c>
      <c r="Y55" s="81" t="s">
        <v>55</v>
      </c>
      <c r="Z55" s="82" t="s">
        <v>53</v>
      </c>
      <c r="AA55" s="81" t="s">
        <v>54</v>
      </c>
      <c r="AB55" s="81" t="s">
        <v>55</v>
      </c>
      <c r="AC55" s="82" t="s">
        <v>53</v>
      </c>
      <c r="AD55" s="81" t="s">
        <v>54</v>
      </c>
      <c r="AE55" s="81" t="s">
        <v>55</v>
      </c>
      <c r="AF55" s="82" t="s">
        <v>53</v>
      </c>
      <c r="AG55" s="81" t="s">
        <v>54</v>
      </c>
      <c r="AH55" s="81" t="s">
        <v>55</v>
      </c>
      <c r="AI55" s="82" t="s">
        <v>53</v>
      </c>
      <c r="AJ55" s="81" t="s">
        <v>54</v>
      </c>
      <c r="AK55" s="81" t="s">
        <v>55</v>
      </c>
      <c r="AL55" s="82" t="s">
        <v>53</v>
      </c>
      <c r="AM55" s="81" t="s">
        <v>54</v>
      </c>
      <c r="AN55" s="81" t="s">
        <v>55</v>
      </c>
    </row>
    <row r="56" spans="1:54" s="83" customFormat="1">
      <c r="A56" s="81" t="s">
        <v>38</v>
      </c>
      <c r="B56" s="83" t="s">
        <v>86</v>
      </c>
      <c r="C56" s="84">
        <v>0</v>
      </c>
      <c r="D56" s="83">
        <v>0</v>
      </c>
      <c r="E56" s="85"/>
      <c r="F56" s="85"/>
      <c r="G56" s="85"/>
      <c r="H56" s="86">
        <f>G56/0.0075</f>
        <v>0</v>
      </c>
      <c r="I56" s="87"/>
      <c r="J56" s="88"/>
      <c r="K56" s="84"/>
      <c r="N56" s="84"/>
      <c r="Q56" s="84"/>
      <c r="S56" s="89">
        <f t="shared" ref="S56:S65" si="67">Q56+R56</f>
        <v>0</v>
      </c>
      <c r="T56" s="84"/>
      <c r="V56" s="89">
        <f t="shared" ref="V56:V57" si="68">T56+U56</f>
        <v>0</v>
      </c>
      <c r="W56" s="84"/>
      <c r="Y56" s="89">
        <f t="shared" ref="Y56" si="69">W56+X56</f>
        <v>0</v>
      </c>
      <c r="Z56" s="84"/>
      <c r="AB56" s="89">
        <f t="shared" ref="AB56" si="70">Z56+AA56</f>
        <v>0</v>
      </c>
      <c r="AC56" s="84">
        <v>0</v>
      </c>
      <c r="AD56" s="83">
        <v>0</v>
      </c>
      <c r="AE56" s="83">
        <v>0</v>
      </c>
      <c r="AF56" s="84"/>
      <c r="AI56" s="84"/>
      <c r="AK56" s="86">
        <f>AI56+AJ56</f>
        <v>0</v>
      </c>
      <c r="AL56" s="84"/>
      <c r="AN56" s="86">
        <f>AL56+AM56</f>
        <v>0</v>
      </c>
    </row>
    <row r="57" spans="1:54" s="83" customFormat="1">
      <c r="A57" s="81" t="s">
        <v>87</v>
      </c>
      <c r="B57" s="83" t="s">
        <v>89</v>
      </c>
      <c r="C57" s="84">
        <v>3.5259299999999998</v>
      </c>
      <c r="D57" s="83">
        <v>0.1</v>
      </c>
      <c r="E57" s="85"/>
      <c r="F57" s="85"/>
      <c r="G57" s="85"/>
      <c r="H57" s="86">
        <f t="shared" ref="H57" si="71">G57/0.0075</f>
        <v>0</v>
      </c>
      <c r="I57" s="87"/>
      <c r="J57" s="88"/>
      <c r="K57" s="91"/>
      <c r="L57" s="89"/>
      <c r="M57" s="89">
        <f>K57+L57</f>
        <v>0</v>
      </c>
      <c r="N57" s="91"/>
      <c r="O57" s="89"/>
      <c r="P57" s="89">
        <f>N57+O57</f>
        <v>0</v>
      </c>
      <c r="Q57" s="91"/>
      <c r="R57" s="89"/>
      <c r="S57" s="89">
        <f t="shared" si="67"/>
        <v>0</v>
      </c>
      <c r="T57" s="91"/>
      <c r="U57" s="89"/>
      <c r="V57" s="89">
        <f t="shared" si="68"/>
        <v>0</v>
      </c>
      <c r="W57" s="91"/>
      <c r="X57" s="89"/>
      <c r="Y57" s="89">
        <f>W57+X57</f>
        <v>0</v>
      </c>
      <c r="Z57" s="91"/>
      <c r="AA57" s="89"/>
      <c r="AB57" s="89">
        <f>Z57+AA57</f>
        <v>0</v>
      </c>
      <c r="AC57" s="90">
        <f>Q57+T57+W57+Z57</f>
        <v>0</v>
      </c>
      <c r="AD57" s="90">
        <f>R57+U57+X57+AA57</f>
        <v>0</v>
      </c>
      <c r="AE57" s="89">
        <f>AC57+AD57</f>
        <v>0</v>
      </c>
      <c r="AF57" s="92" t="e">
        <f>Q57/AC57</f>
        <v>#DIV/0!</v>
      </c>
      <c r="AG57" s="86" t="e">
        <f>R57/AD57</f>
        <v>#DIV/0!</v>
      </c>
      <c r="AH57" s="86" t="e">
        <f>S57/AE57</f>
        <v>#DIV/0!</v>
      </c>
      <c r="AI57" s="92"/>
      <c r="AJ57" s="86"/>
      <c r="AK57" s="86">
        <f>AI57+AJ57</f>
        <v>0</v>
      </c>
      <c r="AL57" s="92"/>
      <c r="AM57" s="86"/>
      <c r="AN57" s="86">
        <f>AL57+AM57</f>
        <v>0</v>
      </c>
    </row>
    <row r="58" spans="1:54" s="83" customFormat="1">
      <c r="A58" s="81" t="s">
        <v>101</v>
      </c>
      <c r="B58" s="93" t="s">
        <v>104</v>
      </c>
      <c r="C58" s="84">
        <v>35.256599999999999</v>
      </c>
      <c r="D58" s="83">
        <v>1</v>
      </c>
      <c r="E58" s="85"/>
      <c r="F58" s="85"/>
      <c r="G58" s="85"/>
      <c r="H58" s="86">
        <f>G58/0.0075</f>
        <v>0</v>
      </c>
      <c r="I58" s="87"/>
      <c r="J58" s="88"/>
      <c r="K58" s="91"/>
      <c r="L58" s="89"/>
      <c r="M58" s="89">
        <f t="shared" ref="M58:M65" si="72">K58+L58</f>
        <v>0</v>
      </c>
      <c r="N58" s="91"/>
      <c r="O58" s="89"/>
      <c r="P58" s="89">
        <f t="shared" ref="P58:P65" si="73">N58+O58</f>
        <v>0</v>
      </c>
      <c r="Q58" s="91"/>
      <c r="R58" s="89"/>
      <c r="S58" s="89">
        <f t="shared" si="67"/>
        <v>0</v>
      </c>
      <c r="T58" s="91"/>
      <c r="U58" s="89"/>
      <c r="V58" s="89">
        <f>T58+U58</f>
        <v>0</v>
      </c>
      <c r="W58" s="91"/>
      <c r="X58" s="89"/>
      <c r="Y58" s="89">
        <f t="shared" ref="Y58:Y65" si="74">W58+X58</f>
        <v>0</v>
      </c>
      <c r="Z58" s="91"/>
      <c r="AA58" s="89"/>
      <c r="AB58" s="89">
        <f t="shared" ref="AB58:AB65" si="75">Z58+AA58</f>
        <v>0</v>
      </c>
      <c r="AC58" s="90">
        <f t="shared" ref="AC58:AC65" si="76">Q58+T58+W58+Z58</f>
        <v>0</v>
      </c>
      <c r="AD58" s="90">
        <f t="shared" ref="AD58:AD65" si="77">R58+U58+X58+AA58</f>
        <v>0</v>
      </c>
      <c r="AE58" s="89">
        <f t="shared" ref="AE58:AE65" si="78">AC58+AD58</f>
        <v>0</v>
      </c>
      <c r="AF58" s="92" t="e">
        <f t="shared" ref="AF58:AF65" si="79">Q58/AC58</f>
        <v>#DIV/0!</v>
      </c>
      <c r="AG58" s="86" t="e">
        <f t="shared" ref="AG58:AG65" si="80">R58/AD58</f>
        <v>#DIV/0!</v>
      </c>
      <c r="AH58" s="86" t="e">
        <f t="shared" ref="AH58:AH65" si="81">S58/AE58</f>
        <v>#DIV/0!</v>
      </c>
      <c r="AI58" s="92"/>
      <c r="AJ58" s="86"/>
      <c r="AK58" s="86">
        <f t="shared" ref="AK58:AK65" si="82">AI58+AJ58</f>
        <v>0</v>
      </c>
      <c r="AL58" s="92"/>
      <c r="AM58" s="86"/>
      <c r="AN58" s="86">
        <f t="shared" ref="AN58:AN65" si="83">AL58+AM58</f>
        <v>0</v>
      </c>
    </row>
    <row r="59" spans="1:54" s="83" customFormat="1">
      <c r="A59" s="143" t="e" vm="2">
        <v>#VALUE!</v>
      </c>
      <c r="B59" s="144"/>
      <c r="C59" s="84">
        <v>141.02600000000001</v>
      </c>
      <c r="D59" s="83">
        <v>4</v>
      </c>
      <c r="E59" s="85"/>
      <c r="F59" s="85"/>
      <c r="G59" s="85"/>
      <c r="H59" s="86">
        <f t="shared" ref="H59:H65" si="84">G59/0.0075</f>
        <v>0</v>
      </c>
      <c r="I59" s="87"/>
      <c r="J59" s="88"/>
      <c r="K59" s="91"/>
      <c r="L59" s="89"/>
      <c r="M59" s="89">
        <f t="shared" si="72"/>
        <v>0</v>
      </c>
      <c r="N59" s="91"/>
      <c r="O59" s="89"/>
      <c r="P59" s="89">
        <f t="shared" si="73"/>
        <v>0</v>
      </c>
      <c r="Q59" s="91"/>
      <c r="R59" s="89"/>
      <c r="S59" s="89">
        <f t="shared" si="67"/>
        <v>0</v>
      </c>
      <c r="T59" s="91"/>
      <c r="U59" s="89"/>
      <c r="V59" s="89">
        <f>T59+U59</f>
        <v>0</v>
      </c>
      <c r="W59" s="91"/>
      <c r="X59" s="89"/>
      <c r="Y59" s="89">
        <f t="shared" si="74"/>
        <v>0</v>
      </c>
      <c r="Z59" s="91"/>
      <c r="AA59" s="89"/>
      <c r="AB59" s="89">
        <f t="shared" si="75"/>
        <v>0</v>
      </c>
      <c r="AC59" s="90">
        <f t="shared" si="76"/>
        <v>0</v>
      </c>
      <c r="AD59" s="90">
        <f t="shared" si="77"/>
        <v>0</v>
      </c>
      <c r="AE59" s="89">
        <f t="shared" si="78"/>
        <v>0</v>
      </c>
      <c r="AF59" s="92" t="e">
        <f t="shared" si="79"/>
        <v>#DIV/0!</v>
      </c>
      <c r="AG59" s="86" t="e">
        <f t="shared" si="80"/>
        <v>#DIV/0!</v>
      </c>
      <c r="AH59" s="86" t="e">
        <f t="shared" si="81"/>
        <v>#DIV/0!</v>
      </c>
      <c r="AI59" s="92"/>
      <c r="AJ59" s="86"/>
      <c r="AK59" s="86">
        <f t="shared" si="82"/>
        <v>0</v>
      </c>
      <c r="AL59" s="92"/>
      <c r="AM59" s="86"/>
      <c r="AN59" s="86">
        <f t="shared" si="83"/>
        <v>0</v>
      </c>
    </row>
    <row r="60" spans="1:54" s="83" customFormat="1">
      <c r="A60" s="143"/>
      <c r="B60" s="144"/>
      <c r="C60" s="84">
        <v>246.79599999999999</v>
      </c>
      <c r="D60" s="83">
        <v>7</v>
      </c>
      <c r="E60" s="85"/>
      <c r="F60" s="85"/>
      <c r="G60" s="85"/>
      <c r="H60" s="86">
        <f t="shared" si="84"/>
        <v>0</v>
      </c>
      <c r="I60" s="87"/>
      <c r="J60" s="88"/>
      <c r="K60" s="91"/>
      <c r="L60" s="89"/>
      <c r="M60" s="89">
        <f t="shared" si="72"/>
        <v>0</v>
      </c>
      <c r="N60" s="91"/>
      <c r="O60" s="89"/>
      <c r="P60" s="89">
        <f t="shared" si="73"/>
        <v>0</v>
      </c>
      <c r="Q60" s="91"/>
      <c r="R60" s="89"/>
      <c r="S60" s="89">
        <f t="shared" si="67"/>
        <v>0</v>
      </c>
      <c r="T60" s="91"/>
      <c r="U60" s="89"/>
      <c r="V60" s="89">
        <f>T60+U60</f>
        <v>0</v>
      </c>
      <c r="W60" s="91"/>
      <c r="X60" s="89"/>
      <c r="Y60" s="89">
        <f t="shared" si="74"/>
        <v>0</v>
      </c>
      <c r="Z60" s="91"/>
      <c r="AA60" s="89"/>
      <c r="AB60" s="89">
        <f t="shared" si="75"/>
        <v>0</v>
      </c>
      <c r="AC60" s="90">
        <f t="shared" si="76"/>
        <v>0</v>
      </c>
      <c r="AD60" s="90">
        <f t="shared" si="77"/>
        <v>0</v>
      </c>
      <c r="AE60" s="89">
        <f t="shared" si="78"/>
        <v>0</v>
      </c>
      <c r="AF60" s="92" t="e">
        <f t="shared" si="79"/>
        <v>#DIV/0!</v>
      </c>
      <c r="AG60" s="86" t="e">
        <f t="shared" si="80"/>
        <v>#DIV/0!</v>
      </c>
      <c r="AH60" s="86" t="e">
        <f t="shared" si="81"/>
        <v>#DIV/0!</v>
      </c>
      <c r="AI60" s="92"/>
      <c r="AJ60" s="86"/>
      <c r="AK60" s="86">
        <f t="shared" si="82"/>
        <v>0</v>
      </c>
      <c r="AL60" s="92"/>
      <c r="AM60" s="86"/>
      <c r="AN60" s="86">
        <f t="shared" si="83"/>
        <v>0</v>
      </c>
      <c r="BB60" s="83" t="s">
        <v>59</v>
      </c>
    </row>
    <row r="61" spans="1:54" s="83" customFormat="1">
      <c r="A61" s="143"/>
      <c r="B61" s="144"/>
      <c r="C61" s="84">
        <v>352.59300000000002</v>
      </c>
      <c r="D61" s="83">
        <v>10</v>
      </c>
      <c r="E61" s="85"/>
      <c r="F61" s="85"/>
      <c r="G61" s="85"/>
      <c r="H61" s="86">
        <f t="shared" si="84"/>
        <v>0</v>
      </c>
      <c r="I61" s="87"/>
      <c r="J61" s="88"/>
      <c r="K61" s="91"/>
      <c r="L61" s="89"/>
      <c r="M61" s="89">
        <f t="shared" si="72"/>
        <v>0</v>
      </c>
      <c r="N61" s="91"/>
      <c r="O61" s="89"/>
      <c r="P61" s="89">
        <f t="shared" si="73"/>
        <v>0</v>
      </c>
      <c r="Q61" s="91"/>
      <c r="R61" s="89"/>
      <c r="S61" s="89">
        <f t="shared" si="67"/>
        <v>0</v>
      </c>
      <c r="T61" s="91"/>
      <c r="U61" s="89"/>
      <c r="V61" s="89">
        <f t="shared" ref="V61:V65" si="85">T61+U61</f>
        <v>0</v>
      </c>
      <c r="W61" s="91"/>
      <c r="X61" s="89"/>
      <c r="Y61" s="89">
        <f t="shared" si="74"/>
        <v>0</v>
      </c>
      <c r="Z61" s="91"/>
      <c r="AA61" s="89"/>
      <c r="AB61" s="89">
        <f t="shared" si="75"/>
        <v>0</v>
      </c>
      <c r="AC61" s="90">
        <f t="shared" si="76"/>
        <v>0</v>
      </c>
      <c r="AD61" s="90">
        <f t="shared" si="77"/>
        <v>0</v>
      </c>
      <c r="AE61" s="89">
        <f t="shared" si="78"/>
        <v>0</v>
      </c>
      <c r="AF61" s="92" t="e">
        <f t="shared" si="79"/>
        <v>#DIV/0!</v>
      </c>
      <c r="AG61" s="86" t="e">
        <f t="shared" si="80"/>
        <v>#DIV/0!</v>
      </c>
      <c r="AH61" s="86" t="e">
        <f t="shared" si="81"/>
        <v>#DIV/0!</v>
      </c>
      <c r="AI61" s="92"/>
      <c r="AJ61" s="86"/>
      <c r="AK61" s="86">
        <f t="shared" si="82"/>
        <v>0</v>
      </c>
      <c r="AL61" s="92"/>
      <c r="AM61" s="86"/>
      <c r="AN61" s="86">
        <f t="shared" si="83"/>
        <v>0</v>
      </c>
    </row>
    <row r="62" spans="1:54" s="83" customFormat="1">
      <c r="A62" s="143"/>
      <c r="B62" s="144"/>
      <c r="C62" s="84">
        <v>705.18499999999995</v>
      </c>
      <c r="D62" s="83">
        <v>20</v>
      </c>
      <c r="E62" s="85"/>
      <c r="F62" s="85"/>
      <c r="G62" s="85"/>
      <c r="H62" s="86">
        <f t="shared" si="84"/>
        <v>0</v>
      </c>
      <c r="I62" s="87"/>
      <c r="J62" s="88"/>
      <c r="K62" s="91"/>
      <c r="L62" s="89"/>
      <c r="M62" s="89">
        <f t="shared" si="72"/>
        <v>0</v>
      </c>
      <c r="N62" s="91"/>
      <c r="O62" s="89"/>
      <c r="P62" s="89">
        <f t="shared" si="73"/>
        <v>0</v>
      </c>
      <c r="Q62" s="91"/>
      <c r="R62" s="89"/>
      <c r="S62" s="89">
        <f t="shared" si="67"/>
        <v>0</v>
      </c>
      <c r="T62" s="91"/>
      <c r="U62" s="89"/>
      <c r="V62" s="89">
        <f t="shared" si="85"/>
        <v>0</v>
      </c>
      <c r="W62" s="91"/>
      <c r="X62" s="89"/>
      <c r="Y62" s="89">
        <f t="shared" si="74"/>
        <v>0</v>
      </c>
      <c r="Z62" s="91"/>
      <c r="AA62" s="89"/>
      <c r="AB62" s="89">
        <f t="shared" si="75"/>
        <v>0</v>
      </c>
      <c r="AC62" s="90">
        <f t="shared" si="76"/>
        <v>0</v>
      </c>
      <c r="AD62" s="90">
        <f t="shared" si="77"/>
        <v>0</v>
      </c>
      <c r="AE62" s="89">
        <f t="shared" si="78"/>
        <v>0</v>
      </c>
      <c r="AF62" s="92" t="e">
        <f t="shared" si="79"/>
        <v>#DIV/0!</v>
      </c>
      <c r="AG62" s="86" t="e">
        <f t="shared" si="80"/>
        <v>#DIV/0!</v>
      </c>
      <c r="AH62" s="86" t="e">
        <f t="shared" si="81"/>
        <v>#DIV/0!</v>
      </c>
      <c r="AI62" s="92"/>
      <c r="AJ62" s="86"/>
      <c r="AK62" s="86">
        <f t="shared" si="82"/>
        <v>0</v>
      </c>
      <c r="AL62" s="92"/>
      <c r="AM62" s="86"/>
      <c r="AN62" s="86">
        <f t="shared" si="83"/>
        <v>0</v>
      </c>
    </row>
    <row r="63" spans="1:54" s="83" customFormat="1">
      <c r="A63" s="143"/>
      <c r="B63" s="144"/>
      <c r="C63" s="84">
        <v>1057.78</v>
      </c>
      <c r="D63" s="83">
        <v>30</v>
      </c>
      <c r="E63" s="85"/>
      <c r="F63" s="85"/>
      <c r="G63" s="85"/>
      <c r="H63" s="86">
        <f t="shared" si="84"/>
        <v>0</v>
      </c>
      <c r="I63" s="87"/>
      <c r="J63" s="88"/>
      <c r="K63" s="91"/>
      <c r="L63" s="89"/>
      <c r="M63" s="89">
        <f t="shared" si="72"/>
        <v>0</v>
      </c>
      <c r="N63" s="91"/>
      <c r="O63" s="89"/>
      <c r="P63" s="89">
        <f t="shared" si="73"/>
        <v>0</v>
      </c>
      <c r="Q63" s="91"/>
      <c r="R63" s="89"/>
      <c r="S63" s="89">
        <f t="shared" si="67"/>
        <v>0</v>
      </c>
      <c r="T63" s="91"/>
      <c r="U63" s="89"/>
      <c r="V63" s="89">
        <f t="shared" si="85"/>
        <v>0</v>
      </c>
      <c r="W63" s="91"/>
      <c r="X63" s="89"/>
      <c r="Y63" s="89">
        <f t="shared" si="74"/>
        <v>0</v>
      </c>
      <c r="Z63" s="91"/>
      <c r="AA63" s="89"/>
      <c r="AB63" s="89">
        <f t="shared" si="75"/>
        <v>0</v>
      </c>
      <c r="AC63" s="90">
        <f t="shared" si="76"/>
        <v>0</v>
      </c>
      <c r="AD63" s="90">
        <f t="shared" si="77"/>
        <v>0</v>
      </c>
      <c r="AE63" s="89">
        <f t="shared" si="78"/>
        <v>0</v>
      </c>
      <c r="AF63" s="92" t="e">
        <f t="shared" si="79"/>
        <v>#DIV/0!</v>
      </c>
      <c r="AG63" s="86" t="e">
        <f t="shared" si="80"/>
        <v>#DIV/0!</v>
      </c>
      <c r="AH63" s="86" t="e">
        <f t="shared" si="81"/>
        <v>#DIV/0!</v>
      </c>
      <c r="AI63" s="92"/>
      <c r="AJ63" s="86"/>
      <c r="AK63" s="86">
        <f t="shared" si="82"/>
        <v>0</v>
      </c>
      <c r="AL63" s="92"/>
      <c r="AM63" s="86"/>
      <c r="AN63" s="86">
        <f t="shared" si="83"/>
        <v>0</v>
      </c>
    </row>
    <row r="64" spans="1:54" s="83" customFormat="1">
      <c r="A64" s="143"/>
      <c r="B64" s="144"/>
      <c r="C64" s="84">
        <v>1410.37</v>
      </c>
      <c r="D64" s="83">
        <v>40</v>
      </c>
      <c r="E64" s="85"/>
      <c r="F64" s="85"/>
      <c r="G64" s="85"/>
      <c r="H64" s="86">
        <f t="shared" si="84"/>
        <v>0</v>
      </c>
      <c r="I64" s="87"/>
      <c r="J64" s="88"/>
      <c r="K64" s="91"/>
      <c r="L64" s="89"/>
      <c r="M64" s="89">
        <f t="shared" si="72"/>
        <v>0</v>
      </c>
      <c r="N64" s="91"/>
      <c r="O64" s="89"/>
      <c r="P64" s="89">
        <f t="shared" si="73"/>
        <v>0</v>
      </c>
      <c r="Q64" s="91"/>
      <c r="R64" s="89"/>
      <c r="S64" s="89">
        <f t="shared" si="67"/>
        <v>0</v>
      </c>
      <c r="T64" s="91"/>
      <c r="U64" s="89"/>
      <c r="V64" s="89">
        <f t="shared" si="85"/>
        <v>0</v>
      </c>
      <c r="W64" s="91"/>
      <c r="X64" s="89"/>
      <c r="Y64" s="89">
        <f t="shared" si="74"/>
        <v>0</v>
      </c>
      <c r="Z64" s="91"/>
      <c r="AA64" s="89"/>
      <c r="AB64" s="89">
        <f t="shared" si="75"/>
        <v>0</v>
      </c>
      <c r="AC64" s="90">
        <f t="shared" si="76"/>
        <v>0</v>
      </c>
      <c r="AD64" s="90">
        <f t="shared" si="77"/>
        <v>0</v>
      </c>
      <c r="AE64" s="89">
        <f t="shared" si="78"/>
        <v>0</v>
      </c>
      <c r="AF64" s="92" t="e">
        <f t="shared" si="79"/>
        <v>#DIV/0!</v>
      </c>
      <c r="AG64" s="86" t="e">
        <f t="shared" si="80"/>
        <v>#DIV/0!</v>
      </c>
      <c r="AH64" s="86" t="e">
        <f t="shared" si="81"/>
        <v>#DIV/0!</v>
      </c>
      <c r="AI64" s="92"/>
      <c r="AJ64" s="86"/>
      <c r="AK64" s="86">
        <f t="shared" si="82"/>
        <v>0</v>
      </c>
      <c r="AL64" s="92"/>
      <c r="AM64" s="86"/>
      <c r="AN64" s="86">
        <f t="shared" si="83"/>
        <v>0</v>
      </c>
    </row>
    <row r="65" spans="1:40" s="95" customFormat="1">
      <c r="A65" s="145"/>
      <c r="B65" s="146"/>
      <c r="C65" s="94">
        <v>1762.96</v>
      </c>
      <c r="D65" s="95">
        <v>50</v>
      </c>
      <c r="E65" s="96"/>
      <c r="F65" s="96"/>
      <c r="G65" s="96"/>
      <c r="H65" s="97">
        <f t="shared" si="84"/>
        <v>0</v>
      </c>
      <c r="I65" s="98"/>
      <c r="J65" s="99"/>
      <c r="K65" s="100"/>
      <c r="L65" s="101"/>
      <c r="M65" s="101">
        <f t="shared" si="72"/>
        <v>0</v>
      </c>
      <c r="N65" s="100"/>
      <c r="O65" s="101"/>
      <c r="P65" s="101">
        <f t="shared" si="73"/>
        <v>0</v>
      </c>
      <c r="Q65" s="100"/>
      <c r="R65" s="101"/>
      <c r="S65" s="101">
        <f t="shared" si="67"/>
        <v>0</v>
      </c>
      <c r="T65" s="100"/>
      <c r="U65" s="101"/>
      <c r="V65" s="101">
        <f t="shared" si="85"/>
        <v>0</v>
      </c>
      <c r="W65" s="100"/>
      <c r="X65" s="101"/>
      <c r="Y65" s="101">
        <f t="shared" si="74"/>
        <v>0</v>
      </c>
      <c r="Z65" s="100"/>
      <c r="AA65" s="101"/>
      <c r="AB65" s="101">
        <f t="shared" si="75"/>
        <v>0</v>
      </c>
      <c r="AC65" s="102">
        <f t="shared" si="76"/>
        <v>0</v>
      </c>
      <c r="AD65" s="102">
        <f t="shared" si="77"/>
        <v>0</v>
      </c>
      <c r="AE65" s="101">
        <f t="shared" si="78"/>
        <v>0</v>
      </c>
      <c r="AF65" s="103" t="e">
        <f t="shared" si="79"/>
        <v>#DIV/0!</v>
      </c>
      <c r="AG65" s="97" t="e">
        <f t="shared" si="80"/>
        <v>#DIV/0!</v>
      </c>
      <c r="AH65" s="97" t="e">
        <f t="shared" si="81"/>
        <v>#DIV/0!</v>
      </c>
      <c r="AI65" s="103"/>
      <c r="AJ65" s="97"/>
      <c r="AK65" s="86">
        <f t="shared" si="82"/>
        <v>0</v>
      </c>
      <c r="AL65" s="103"/>
      <c r="AM65" s="97"/>
      <c r="AN65" s="86">
        <f t="shared" si="83"/>
        <v>0</v>
      </c>
    </row>
    <row r="66" spans="1:40" s="83" customFormat="1">
      <c r="C66" s="84"/>
      <c r="I66" s="84"/>
      <c r="K66" s="84"/>
      <c r="N66" s="84"/>
      <c r="Q66" s="84"/>
      <c r="T66" s="84"/>
      <c r="W66" s="84"/>
      <c r="Z66" s="84"/>
      <c r="AC66" s="84"/>
      <c r="AF66" s="84"/>
    </row>
    <row r="67" spans="1:40" s="78" customFormat="1">
      <c r="A67" s="77" t="s">
        <v>1</v>
      </c>
      <c r="B67" s="78" t="s">
        <v>105</v>
      </c>
      <c r="C67" s="79"/>
      <c r="I67" s="80" t="s">
        <v>44</v>
      </c>
      <c r="K67" s="80" t="s">
        <v>47</v>
      </c>
      <c r="N67" s="80" t="s">
        <v>48</v>
      </c>
      <c r="O67" s="77"/>
      <c r="P67" s="77"/>
      <c r="Q67" s="80" t="s">
        <v>49</v>
      </c>
      <c r="T67" s="80" t="s">
        <v>50</v>
      </c>
      <c r="U67" s="77"/>
      <c r="V67" s="77"/>
      <c r="W67" s="80" t="s">
        <v>51</v>
      </c>
      <c r="Z67" s="80" t="s">
        <v>84</v>
      </c>
      <c r="AC67" s="80" t="s">
        <v>110</v>
      </c>
      <c r="AF67" s="80" t="s">
        <v>56</v>
      </c>
      <c r="AI67" s="80" t="s">
        <v>106</v>
      </c>
      <c r="AL67" s="80" t="s">
        <v>107</v>
      </c>
    </row>
    <row r="68" spans="1:40" s="83" customFormat="1">
      <c r="A68" s="81" t="s">
        <v>36</v>
      </c>
      <c r="B68" s="83" t="s">
        <v>85</v>
      </c>
      <c r="C68" s="82" t="s">
        <v>43</v>
      </c>
      <c r="D68" s="81" t="s">
        <v>39</v>
      </c>
      <c r="E68" s="81" t="s">
        <v>40</v>
      </c>
      <c r="F68" s="81" t="s">
        <v>41</v>
      </c>
      <c r="G68" s="81" t="s">
        <v>42</v>
      </c>
      <c r="H68" s="81" t="s">
        <v>57</v>
      </c>
      <c r="I68" s="82" t="s">
        <v>45</v>
      </c>
      <c r="J68" s="81" t="s">
        <v>46</v>
      </c>
      <c r="K68" s="82" t="s">
        <v>53</v>
      </c>
      <c r="L68" s="81" t="s">
        <v>54</v>
      </c>
      <c r="M68" s="81" t="s">
        <v>55</v>
      </c>
      <c r="N68" s="82" t="s">
        <v>53</v>
      </c>
      <c r="O68" s="81" t="s">
        <v>54</v>
      </c>
      <c r="P68" s="81" t="s">
        <v>55</v>
      </c>
      <c r="Q68" s="82" t="s">
        <v>53</v>
      </c>
      <c r="R68" s="81" t="s">
        <v>54</v>
      </c>
      <c r="S68" s="81" t="s">
        <v>55</v>
      </c>
      <c r="T68" s="82" t="s">
        <v>53</v>
      </c>
      <c r="U68" s="81" t="s">
        <v>54</v>
      </c>
      <c r="V68" s="81" t="s">
        <v>55</v>
      </c>
      <c r="W68" s="82" t="s">
        <v>53</v>
      </c>
      <c r="X68" s="81" t="s">
        <v>54</v>
      </c>
      <c r="Y68" s="81" t="s">
        <v>55</v>
      </c>
      <c r="Z68" s="82" t="s">
        <v>53</v>
      </c>
      <c r="AA68" s="81" t="s">
        <v>54</v>
      </c>
      <c r="AB68" s="81" t="s">
        <v>55</v>
      </c>
      <c r="AC68" s="82" t="s">
        <v>53</v>
      </c>
      <c r="AD68" s="81" t="s">
        <v>54</v>
      </c>
      <c r="AE68" s="81" t="s">
        <v>55</v>
      </c>
      <c r="AF68" s="82" t="s">
        <v>53</v>
      </c>
      <c r="AG68" s="81" t="s">
        <v>54</v>
      </c>
      <c r="AH68" s="81" t="s">
        <v>55</v>
      </c>
      <c r="AI68" s="82" t="s">
        <v>53</v>
      </c>
      <c r="AJ68" s="81" t="s">
        <v>54</v>
      </c>
      <c r="AK68" s="81" t="s">
        <v>55</v>
      </c>
      <c r="AL68" s="82" t="s">
        <v>53</v>
      </c>
      <c r="AM68" s="81" t="s">
        <v>54</v>
      </c>
      <c r="AN68" s="81" t="s">
        <v>55</v>
      </c>
    </row>
    <row r="69" spans="1:40" s="83" customFormat="1">
      <c r="A69" s="81" t="s">
        <v>38</v>
      </c>
      <c r="B69" s="83" t="s">
        <v>86</v>
      </c>
      <c r="C69" s="84">
        <v>0</v>
      </c>
      <c r="D69" s="83">
        <v>0</v>
      </c>
      <c r="E69" s="85">
        <v>1.1368400000000001</v>
      </c>
      <c r="F69" s="85">
        <v>2.9E-4</v>
      </c>
      <c r="G69" s="85">
        <v>0.120369</v>
      </c>
      <c r="H69" s="86">
        <f>G69/0.0075</f>
        <v>16.049200000000003</v>
      </c>
      <c r="I69" s="87">
        <v>0.92209700000000006</v>
      </c>
      <c r="J69" s="88">
        <v>7.7903200000000006E-2</v>
      </c>
      <c r="K69" s="84"/>
      <c r="N69" s="84"/>
      <c r="Q69" s="84"/>
      <c r="S69" s="89">
        <f t="shared" ref="S69:S78" si="86">Q69+R69</f>
        <v>0</v>
      </c>
      <c r="T69" s="84"/>
      <c r="V69" s="89">
        <f t="shared" ref="V69:V70" si="87">T69+U69</f>
        <v>0</v>
      </c>
      <c r="W69" s="84"/>
      <c r="Y69" s="89">
        <f t="shared" ref="Y69" si="88">W69+X69</f>
        <v>0</v>
      </c>
      <c r="Z69" s="84"/>
      <c r="AB69" s="89">
        <f t="shared" ref="AB69" si="89">Z69+AA69</f>
        <v>0</v>
      </c>
      <c r="AC69" s="84">
        <v>0</v>
      </c>
      <c r="AD69" s="83">
        <v>0</v>
      </c>
      <c r="AE69" s="83">
        <v>0</v>
      </c>
      <c r="AF69" s="84"/>
      <c r="AI69" s="90">
        <v>1.7566400000000001E-3</v>
      </c>
      <c r="AJ69" s="89">
        <v>7.4335600000000003E-4</v>
      </c>
      <c r="AK69" s="89">
        <f>AI69+AJ69</f>
        <v>2.499996E-3</v>
      </c>
      <c r="AL69" s="90">
        <f>AI69*(7710000000000000000)*23.1662*3.016/(6.022E+23)*(C69*24*60*60)</f>
        <v>0</v>
      </c>
      <c r="AM69" s="90">
        <f>AJ69*(7710000000000000000)*23.1662*3.016/(6.022E+23)*(D69*24*60*60)</f>
        <v>0</v>
      </c>
      <c r="AN69" s="86">
        <f>AL69+AM69</f>
        <v>0</v>
      </c>
    </row>
    <row r="70" spans="1:40" s="83" customFormat="1">
      <c r="A70" s="81" t="s">
        <v>87</v>
      </c>
      <c r="B70" s="83" t="s">
        <v>89</v>
      </c>
      <c r="C70" s="84">
        <v>3.5259299999999998</v>
      </c>
      <c r="D70" s="83">
        <v>0.1</v>
      </c>
      <c r="E70" s="85">
        <v>1.1039000000000001</v>
      </c>
      <c r="F70" s="85">
        <v>2.7999999999999998E-4</v>
      </c>
      <c r="G70" s="85">
        <v>9.4120999999999996E-2</v>
      </c>
      <c r="H70" s="86">
        <f t="shared" ref="H70" si="90">G70/0.0075</f>
        <v>12.549466666666667</v>
      </c>
      <c r="I70" s="87">
        <v>0.92140100000000003</v>
      </c>
      <c r="J70" s="88">
        <v>7.8598600000000005E-2</v>
      </c>
      <c r="K70" s="91">
        <v>103000</v>
      </c>
      <c r="L70" s="89">
        <v>19700</v>
      </c>
      <c r="M70" s="89">
        <f>K70+L70</f>
        <v>122700</v>
      </c>
      <c r="N70" s="91">
        <v>2513000</v>
      </c>
      <c r="O70" s="89">
        <v>888000</v>
      </c>
      <c r="P70" s="89">
        <f>N70+O70</f>
        <v>3401000</v>
      </c>
      <c r="Q70" s="91">
        <v>57.81</v>
      </c>
      <c r="R70" s="89">
        <v>7.2770000000000001</v>
      </c>
      <c r="S70" s="89">
        <f t="shared" si="86"/>
        <v>65.087000000000003</v>
      </c>
      <c r="T70" s="91">
        <v>0.20830000000000001</v>
      </c>
      <c r="U70" s="89">
        <v>9.9970000000000007E-3</v>
      </c>
      <c r="V70" s="89">
        <f t="shared" si="87"/>
        <v>0.21829700000000002</v>
      </c>
      <c r="W70" s="91">
        <v>1.0319999999999999E-3</v>
      </c>
      <c r="X70" s="89">
        <v>0</v>
      </c>
      <c r="Y70" s="89">
        <f>W70+X70</f>
        <v>1.0319999999999999E-3</v>
      </c>
      <c r="Z70" s="91">
        <v>0</v>
      </c>
      <c r="AA70" s="89">
        <v>0</v>
      </c>
      <c r="AB70" s="89">
        <f>Z70+AA70</f>
        <v>0</v>
      </c>
      <c r="AC70" s="90">
        <f>(Q70+T70+W70+Z70)/1000</f>
        <v>5.8019332000000007E-2</v>
      </c>
      <c r="AD70" s="90">
        <f>(R70+U70+X70+AA70)/1000</f>
        <v>7.2869970000000008E-3</v>
      </c>
      <c r="AE70" s="89">
        <f>AC70+AD70</f>
        <v>6.530632900000001E-2</v>
      </c>
      <c r="AF70" s="92">
        <f>Q70/AC70/1000</f>
        <v>0.99639203015987832</v>
      </c>
      <c r="AG70" s="92">
        <f>R70/AD70/1000</f>
        <v>0.99862810427944448</v>
      </c>
      <c r="AH70" s="86">
        <f>S70/AE70</f>
        <v>996.64153530969395</v>
      </c>
      <c r="AI70" s="90">
        <v>1.7063600000000001E-3</v>
      </c>
      <c r="AJ70" s="89">
        <v>7.2674100000000004E-4</v>
      </c>
      <c r="AK70" s="89">
        <f>AI70+AJ70</f>
        <v>2.433101E-3</v>
      </c>
      <c r="AL70" s="90">
        <f t="shared" ref="AL70:AL78" si="91">AI70*(7710000000000000000)*23.1662*3.016/(6.022E+23)*(C70*24*60*60)</f>
        <v>0.46500524974148405</v>
      </c>
      <c r="AM70" s="90">
        <f t="shared" ref="AM70:AM76" si="92">AJ70*(7710000000000000000)*23.1662*3.016/(6.022E+23)*(D70*24*60*60)</f>
        <v>5.6168544498739949E-3</v>
      </c>
      <c r="AN70" s="86">
        <f>AL70+AM70</f>
        <v>0.47062210419135803</v>
      </c>
    </row>
    <row r="71" spans="1:40" s="83" customFormat="1">
      <c r="A71" s="81" t="s">
        <v>101</v>
      </c>
      <c r="B71" s="93" t="s">
        <v>108</v>
      </c>
      <c r="C71" s="84">
        <v>35.256599999999999</v>
      </c>
      <c r="D71" s="83">
        <v>1</v>
      </c>
      <c r="E71" s="85">
        <v>1.09118</v>
      </c>
      <c r="F71" s="85">
        <v>2.7E-4</v>
      </c>
      <c r="G71" s="85">
        <v>8.3560999999999996E-2</v>
      </c>
      <c r="H71" s="86">
        <f>G71/0.0075</f>
        <v>11.141466666666666</v>
      </c>
      <c r="I71" s="87">
        <v>0.92060399999999998</v>
      </c>
      <c r="J71" s="88">
        <v>7.9395900000000005E-2</v>
      </c>
      <c r="K71" s="91">
        <v>99550</v>
      </c>
      <c r="L71" s="89">
        <v>19410</v>
      </c>
      <c r="M71" s="89">
        <f t="shared" ref="M71:M78" si="93">K71+L71</f>
        <v>118960</v>
      </c>
      <c r="N71" s="91">
        <v>2512000</v>
      </c>
      <c r="O71" s="89">
        <v>887300</v>
      </c>
      <c r="P71" s="89">
        <f t="shared" ref="P71:P78" si="94">N71+O71</f>
        <v>3399300</v>
      </c>
      <c r="Q71" s="91">
        <v>1340</v>
      </c>
      <c r="R71" s="89">
        <v>174.6</v>
      </c>
      <c r="S71" s="89">
        <f t="shared" si="86"/>
        <v>1514.6</v>
      </c>
      <c r="T71" s="91">
        <v>30.73</v>
      </c>
      <c r="U71" s="89">
        <v>1.665</v>
      </c>
      <c r="V71" s="89">
        <f>T71+U71</f>
        <v>32.395000000000003</v>
      </c>
      <c r="W71" s="91">
        <v>1.607</v>
      </c>
      <c r="X71" s="89">
        <v>3.0689999999999999E-2</v>
      </c>
      <c r="Y71" s="89">
        <f t="shared" ref="Y71:Y78" si="95">W71+X71</f>
        <v>1.6376900000000001</v>
      </c>
      <c r="Z71" s="91">
        <v>1.2E-2</v>
      </c>
      <c r="AA71" s="89">
        <v>9.6529999999999999E-5</v>
      </c>
      <c r="AB71" s="89">
        <f t="shared" ref="AB71:AB78" si="96">Z71+AA71</f>
        <v>1.2096529999999999E-2</v>
      </c>
      <c r="AC71" s="90">
        <f t="shared" ref="AC71:AD78" si="97">(Q71+T71+W71+Z71)/1000</f>
        <v>1.372349</v>
      </c>
      <c r="AD71" s="90">
        <f t="shared" si="97"/>
        <v>0.17629578653</v>
      </c>
      <c r="AE71" s="89">
        <f t="shared" ref="AE71:AE78" si="98">AC71+AD71</f>
        <v>1.5486447865300002</v>
      </c>
      <c r="AF71" s="92">
        <f t="shared" ref="AF71:AG78" si="99">Q71/AC71/1000</f>
        <v>0.97642800774438565</v>
      </c>
      <c r="AG71" s="92">
        <f t="shared" si="99"/>
        <v>0.99038101497841846</v>
      </c>
      <c r="AH71" s="86">
        <f t="shared" ref="AH71:AH78" si="100">S71/AE71</f>
        <v>978.01640064518392</v>
      </c>
      <c r="AI71" s="90">
        <v>1.67475E-3</v>
      </c>
      <c r="AJ71" s="89">
        <v>7.1622899999999998E-4</v>
      </c>
      <c r="AK71" s="89">
        <f t="shared" ref="AK71:AK78" si="101">AI71+AJ71</f>
        <v>2.3909790000000001E-3</v>
      </c>
      <c r="AL71" s="90">
        <f t="shared" si="91"/>
        <v>4.5635616602481708</v>
      </c>
      <c r="AM71" s="90">
        <f t="shared" si="92"/>
        <v>5.53560903510164E-2</v>
      </c>
      <c r="AN71" s="86">
        <f t="shared" ref="AN71:AN78" si="102">AL71+AM71</f>
        <v>4.618917750599187</v>
      </c>
    </row>
    <row r="72" spans="1:40" s="83" customFormat="1">
      <c r="A72" s="143" t="e" vm="2">
        <v>#VALUE!</v>
      </c>
      <c r="B72" s="144"/>
      <c r="C72" s="84">
        <v>141.02600000000001</v>
      </c>
      <c r="D72" s="83">
        <v>4</v>
      </c>
      <c r="E72" s="85">
        <v>1.06359</v>
      </c>
      <c r="F72" s="85">
        <v>2.9E-4</v>
      </c>
      <c r="G72" s="85">
        <v>5.9788000000000001E-2</v>
      </c>
      <c r="H72" s="86">
        <f t="shared" ref="H72:H78" si="103">G72/0.0075</f>
        <v>7.9717333333333338</v>
      </c>
      <c r="I72" s="87">
        <v>0.91811399999999999</v>
      </c>
      <c r="J72" s="88">
        <v>8.1886E-2</v>
      </c>
      <c r="K72" s="91">
        <v>88810</v>
      </c>
      <c r="L72" s="89">
        <v>18480</v>
      </c>
      <c r="M72" s="89">
        <f t="shared" si="93"/>
        <v>107290</v>
      </c>
      <c r="N72" s="91">
        <v>2506000</v>
      </c>
      <c r="O72" s="89">
        <v>886700</v>
      </c>
      <c r="P72" s="89">
        <f t="shared" si="94"/>
        <v>3392700</v>
      </c>
      <c r="Q72" s="91">
        <v>4878</v>
      </c>
      <c r="R72" s="89">
        <v>700.3</v>
      </c>
      <c r="S72" s="89">
        <f t="shared" si="86"/>
        <v>5578.3</v>
      </c>
      <c r="T72" s="91">
        <v>400.5</v>
      </c>
      <c r="U72" s="89">
        <v>25.84</v>
      </c>
      <c r="V72" s="89">
        <f>T72+U72</f>
        <v>426.34</v>
      </c>
      <c r="W72" s="91">
        <v>84.95</v>
      </c>
      <c r="X72" s="89">
        <v>1.952</v>
      </c>
      <c r="Y72" s="89">
        <f t="shared" si="95"/>
        <v>86.902000000000001</v>
      </c>
      <c r="Z72" s="91">
        <v>2.7210000000000001</v>
      </c>
      <c r="AA72" s="89">
        <v>2.563E-2</v>
      </c>
      <c r="AB72" s="89">
        <f t="shared" si="96"/>
        <v>2.7466300000000001</v>
      </c>
      <c r="AC72" s="90">
        <f>(Q72+T72+W72+Z72)/1000</f>
        <v>5.3661709999999996</v>
      </c>
      <c r="AD72" s="90">
        <f t="shared" si="97"/>
        <v>0.72811762999999996</v>
      </c>
      <c r="AE72" s="89">
        <f t="shared" si="98"/>
        <v>6.0942886299999994</v>
      </c>
      <c r="AF72" s="92">
        <f t="shared" si="99"/>
        <v>0.90902805743611237</v>
      </c>
      <c r="AG72" s="92">
        <f t="shared" si="99"/>
        <v>0.9617951429084336</v>
      </c>
      <c r="AH72" s="86">
        <f t="shared" si="100"/>
        <v>915.3324265838063</v>
      </c>
      <c r="AI72" s="90">
        <v>1.61725E-3</v>
      </c>
      <c r="AJ72" s="89">
        <v>6.9389500000000004E-4</v>
      </c>
      <c r="AK72" s="89">
        <f t="shared" si="101"/>
        <v>2.3111450000000001E-3</v>
      </c>
      <c r="AL72" s="90">
        <f t="shared" si="91"/>
        <v>17.627464783624628</v>
      </c>
      <c r="AM72" s="90">
        <f t="shared" si="92"/>
        <v>0.21451973776051247</v>
      </c>
      <c r="AN72" s="86">
        <f t="shared" si="102"/>
        <v>17.84198452138514</v>
      </c>
    </row>
    <row r="73" spans="1:40" s="83" customFormat="1">
      <c r="A73" s="143"/>
      <c r="B73" s="144"/>
      <c r="C73" s="84">
        <v>246.79599999999999</v>
      </c>
      <c r="D73" s="83">
        <v>7</v>
      </c>
      <c r="E73" s="85">
        <v>1.03552</v>
      </c>
      <c r="F73" s="85">
        <v>2.9E-4</v>
      </c>
      <c r="G73" s="85">
        <v>3.4301999999999999E-2</v>
      </c>
      <c r="H73" s="86">
        <f t="shared" si="103"/>
        <v>4.5735999999999999</v>
      </c>
      <c r="I73" s="87">
        <v>0.91530999999999996</v>
      </c>
      <c r="J73" s="88">
        <v>8.4690100000000004E-2</v>
      </c>
      <c r="K73" s="91">
        <v>79080</v>
      </c>
      <c r="L73" s="89">
        <v>17580</v>
      </c>
      <c r="M73" s="89">
        <f t="shared" si="93"/>
        <v>96660</v>
      </c>
      <c r="N73" s="91">
        <v>2501000</v>
      </c>
      <c r="O73" s="89">
        <v>885900</v>
      </c>
      <c r="P73" s="89">
        <f t="shared" si="94"/>
        <v>3386900</v>
      </c>
      <c r="Q73" s="91">
        <v>7455</v>
      </c>
      <c r="R73" s="89">
        <v>1166</v>
      </c>
      <c r="S73" s="89">
        <f t="shared" si="86"/>
        <v>8621</v>
      </c>
      <c r="T73" s="91">
        <v>962.2</v>
      </c>
      <c r="U73" s="89">
        <v>72.349999999999994</v>
      </c>
      <c r="V73" s="89">
        <f>T73+U73</f>
        <v>1034.55</v>
      </c>
      <c r="W73" s="91">
        <v>331.5</v>
      </c>
      <c r="X73" s="89">
        <v>9.4710000000000001</v>
      </c>
      <c r="Y73" s="89">
        <f t="shared" si="95"/>
        <v>340.971</v>
      </c>
      <c r="Z73" s="91">
        <v>19.760000000000002</v>
      </c>
      <c r="AA73" s="89">
        <v>0.22389999999999999</v>
      </c>
      <c r="AB73" s="89">
        <f t="shared" si="96"/>
        <v>19.983900000000002</v>
      </c>
      <c r="AC73" s="90">
        <f t="shared" si="97"/>
        <v>8.768460000000001</v>
      </c>
      <c r="AD73" s="90">
        <f t="shared" si="97"/>
        <v>1.2480448999999998</v>
      </c>
      <c r="AE73" s="89">
        <f t="shared" si="98"/>
        <v>10.016504900000001</v>
      </c>
      <c r="AF73" s="92">
        <f t="shared" si="99"/>
        <v>0.85020630760703697</v>
      </c>
      <c r="AG73" s="92">
        <f t="shared" si="99"/>
        <v>0.93426125935052518</v>
      </c>
      <c r="AH73" s="86">
        <f t="shared" si="100"/>
        <v>860.67945716274733</v>
      </c>
      <c r="AI73" s="90">
        <v>1.58209E-3</v>
      </c>
      <c r="AJ73" s="89">
        <v>6.7905999999999999E-4</v>
      </c>
      <c r="AK73" s="89">
        <f t="shared" si="101"/>
        <v>2.26115E-3</v>
      </c>
      <c r="AL73" s="90">
        <f t="shared" si="91"/>
        <v>30.177468823860725</v>
      </c>
      <c r="AM73" s="90">
        <f t="shared" si="92"/>
        <v>0.36738354213014046</v>
      </c>
      <c r="AN73" s="86">
        <f t="shared" si="102"/>
        <v>30.544852365990867</v>
      </c>
    </row>
    <row r="74" spans="1:40" s="83" customFormat="1">
      <c r="A74" s="143"/>
      <c r="B74" s="144"/>
      <c r="C74" s="84">
        <v>352.59300000000002</v>
      </c>
      <c r="D74" s="83">
        <v>10</v>
      </c>
      <c r="E74" s="85">
        <v>1.0078100000000001</v>
      </c>
      <c r="F74" s="85">
        <v>2.5999999999999998E-4</v>
      </c>
      <c r="G74" s="85">
        <v>7.7489999999999998E-3</v>
      </c>
      <c r="H74" s="86">
        <f t="shared" si="103"/>
        <v>1.0332000000000001</v>
      </c>
      <c r="I74" s="87">
        <v>0.91268899999999997</v>
      </c>
      <c r="J74" s="88">
        <v>8.7310700000000005E-2</v>
      </c>
      <c r="K74" s="91">
        <v>70220</v>
      </c>
      <c r="L74" s="89">
        <v>16710</v>
      </c>
      <c r="M74" s="89">
        <f t="shared" si="93"/>
        <v>86930</v>
      </c>
      <c r="N74" s="91">
        <v>2495000</v>
      </c>
      <c r="O74" s="89">
        <v>883500</v>
      </c>
      <c r="P74" s="89">
        <f t="shared" si="94"/>
        <v>3378500</v>
      </c>
      <c r="Q74" s="91">
        <v>9358</v>
      </c>
      <c r="R74" s="89">
        <v>1583</v>
      </c>
      <c r="S74" s="89">
        <f t="shared" si="86"/>
        <v>10941</v>
      </c>
      <c r="T74" s="91">
        <v>1597</v>
      </c>
      <c r="U74" s="89">
        <v>135.4</v>
      </c>
      <c r="V74" s="89">
        <f t="shared" ref="V74:V78" si="104">T74+U74</f>
        <v>1732.4</v>
      </c>
      <c r="W74" s="91">
        <v>701.1</v>
      </c>
      <c r="X74" s="89">
        <v>24.64</v>
      </c>
      <c r="Y74" s="89">
        <f t="shared" si="95"/>
        <v>725.74</v>
      </c>
      <c r="Z74" s="91">
        <v>63.68</v>
      </c>
      <c r="AA74" s="89">
        <v>0.8609</v>
      </c>
      <c r="AB74" s="89">
        <f t="shared" si="96"/>
        <v>64.540899999999993</v>
      </c>
      <c r="AC74" s="90">
        <f t="shared" si="97"/>
        <v>11.71978</v>
      </c>
      <c r="AD74" s="90">
        <f t="shared" si="97"/>
        <v>1.7439009000000001</v>
      </c>
      <c r="AE74" s="89">
        <f t="shared" si="98"/>
        <v>13.4636809</v>
      </c>
      <c r="AF74" s="92">
        <f t="shared" si="99"/>
        <v>0.7984791523390371</v>
      </c>
      <c r="AG74" s="92">
        <f t="shared" si="99"/>
        <v>0.90773506682633165</v>
      </c>
      <c r="AH74" s="86">
        <f t="shared" si="100"/>
        <v>812.63066773960747</v>
      </c>
      <c r="AI74" s="90">
        <v>1.56123E-3</v>
      </c>
      <c r="AJ74" s="89">
        <v>6.6633999999999997E-4</v>
      </c>
      <c r="AK74" s="89">
        <f t="shared" si="101"/>
        <v>2.2275699999999999E-3</v>
      </c>
      <c r="AL74" s="90">
        <f t="shared" si="91"/>
        <v>42.545544085298367</v>
      </c>
      <c r="AM74" s="90">
        <f t="shared" si="92"/>
        <v>0.51500256544340239</v>
      </c>
      <c r="AN74" s="86">
        <f t="shared" si="102"/>
        <v>43.06054665074177</v>
      </c>
    </row>
    <row r="75" spans="1:40" s="83" customFormat="1">
      <c r="A75" s="143"/>
      <c r="B75" s="144"/>
      <c r="C75" s="84">
        <v>705.18499999999995</v>
      </c>
      <c r="D75" s="83">
        <v>20</v>
      </c>
      <c r="E75" s="85">
        <v>0.92989999999999995</v>
      </c>
      <c r="F75" s="85">
        <v>2.7999999999999998E-4</v>
      </c>
      <c r="G75" s="85">
        <v>-7.5384000000000007E-2</v>
      </c>
      <c r="H75" s="86">
        <f t="shared" si="103"/>
        <v>-10.051200000000001</v>
      </c>
      <c r="I75" s="87">
        <v>0.90325500000000003</v>
      </c>
      <c r="J75" s="88">
        <v>9.6744999999999998E-2</v>
      </c>
      <c r="K75" s="91">
        <v>45840</v>
      </c>
      <c r="L75" s="89">
        <v>14060</v>
      </c>
      <c r="M75" s="89">
        <f t="shared" si="93"/>
        <v>59900</v>
      </c>
      <c r="N75" s="91">
        <v>2474000</v>
      </c>
      <c r="O75" s="89">
        <v>880700</v>
      </c>
      <c r="P75" s="89">
        <f t="shared" si="94"/>
        <v>3354700</v>
      </c>
      <c r="Q75" s="91">
        <v>12570</v>
      </c>
      <c r="R75" s="89">
        <v>2610</v>
      </c>
      <c r="S75" s="89">
        <f t="shared" si="86"/>
        <v>15180</v>
      </c>
      <c r="T75" s="91">
        <v>3509</v>
      </c>
      <c r="U75" s="89">
        <v>405.1</v>
      </c>
      <c r="V75" s="89">
        <f t="shared" si="104"/>
        <v>3914.1</v>
      </c>
      <c r="W75" s="91">
        <v>2421</v>
      </c>
      <c r="X75" s="89">
        <v>136.19999999999999</v>
      </c>
      <c r="Y75" s="89">
        <f t="shared" si="95"/>
        <v>2557.1999999999998</v>
      </c>
      <c r="Z75" s="91">
        <v>505.2</v>
      </c>
      <c r="AA75" s="89">
        <v>10.26</v>
      </c>
      <c r="AB75" s="89">
        <f t="shared" si="96"/>
        <v>515.46</v>
      </c>
      <c r="AC75" s="90">
        <f t="shared" si="97"/>
        <v>19.005200000000002</v>
      </c>
      <c r="AD75" s="90">
        <f t="shared" si="97"/>
        <v>3.1615600000000001</v>
      </c>
      <c r="AE75" s="89">
        <f t="shared" si="98"/>
        <v>22.166760000000004</v>
      </c>
      <c r="AF75" s="92">
        <f t="shared" si="99"/>
        <v>0.66139793319723017</v>
      </c>
      <c r="AG75" s="92">
        <f t="shared" si="99"/>
        <v>0.82554182112627938</v>
      </c>
      <c r="AH75" s="86">
        <f t="shared" si="100"/>
        <v>684.80914666825447</v>
      </c>
      <c r="AI75" s="90">
        <v>1.55835E-3</v>
      </c>
      <c r="AJ75" s="89">
        <v>6.5165600000000002E-4</v>
      </c>
      <c r="AK75" s="89">
        <f t="shared" si="101"/>
        <v>2.210006E-3</v>
      </c>
      <c r="AL75" s="90">
        <f t="shared" si="91"/>
        <v>84.934000251561628</v>
      </c>
      <c r="AM75" s="90">
        <f t="shared" si="92"/>
        <v>1.0073071158465223</v>
      </c>
      <c r="AN75" s="86">
        <f t="shared" si="102"/>
        <v>85.941307367408143</v>
      </c>
    </row>
    <row r="76" spans="1:40" s="83" customFormat="1">
      <c r="A76" s="143"/>
      <c r="B76" s="144"/>
      <c r="C76" s="84">
        <v>1057.78</v>
      </c>
      <c r="D76" s="83">
        <v>30</v>
      </c>
      <c r="E76" s="85">
        <v>0.85782999999999998</v>
      </c>
      <c r="F76" s="85">
        <v>2.7E-4</v>
      </c>
      <c r="G76" s="85">
        <v>-0.16573199999999999</v>
      </c>
      <c r="H76" s="86">
        <f t="shared" si="103"/>
        <v>-22.0976</v>
      </c>
      <c r="I76" s="87">
        <v>0.893818</v>
      </c>
      <c r="J76" s="88">
        <v>0.106182</v>
      </c>
      <c r="K76" s="91">
        <v>28120</v>
      </c>
      <c r="L76" s="89">
        <v>11600</v>
      </c>
      <c r="M76" s="89">
        <f t="shared" si="93"/>
        <v>39720</v>
      </c>
      <c r="N76" s="91">
        <v>2451000</v>
      </c>
      <c r="O76" s="89"/>
      <c r="P76" s="89">
        <f t="shared" si="94"/>
        <v>2451000</v>
      </c>
      <c r="Q76" s="91">
        <v>13680</v>
      </c>
      <c r="R76" s="89">
        <v>3317</v>
      </c>
      <c r="S76" s="89">
        <f t="shared" si="86"/>
        <v>16997</v>
      </c>
      <c r="T76" s="91">
        <v>5214</v>
      </c>
      <c r="U76" s="89">
        <v>734.5</v>
      </c>
      <c r="V76" s="89">
        <f t="shared" si="104"/>
        <v>5948.5</v>
      </c>
      <c r="W76" s="91">
        <v>3619</v>
      </c>
      <c r="X76" s="89">
        <v>312.5</v>
      </c>
      <c r="Y76" s="89">
        <f t="shared" si="95"/>
        <v>3931.5</v>
      </c>
      <c r="Z76" s="91">
        <v>1362</v>
      </c>
      <c r="AA76" s="89">
        <v>40.409999999999997</v>
      </c>
      <c r="AB76" s="89">
        <f t="shared" si="96"/>
        <v>1402.41</v>
      </c>
      <c r="AC76" s="90">
        <f t="shared" si="97"/>
        <v>23.875</v>
      </c>
      <c r="AD76" s="90">
        <f t="shared" si="97"/>
        <v>4.4044099999999995</v>
      </c>
      <c r="AE76" s="89">
        <f t="shared" si="98"/>
        <v>28.279409999999999</v>
      </c>
      <c r="AF76" s="92">
        <f t="shared" si="99"/>
        <v>0.57298429319371724</v>
      </c>
      <c r="AG76" s="92">
        <f t="shared" si="99"/>
        <v>0.75310881593675438</v>
      </c>
      <c r="AH76" s="86">
        <f t="shared" si="100"/>
        <v>601.03799902473213</v>
      </c>
      <c r="AI76" s="90">
        <v>1.5925799999999999E-3</v>
      </c>
      <c r="AJ76" s="89">
        <v>6.4775599999999998E-4</v>
      </c>
      <c r="AK76" s="89">
        <f t="shared" si="101"/>
        <v>2.2403359999999999E-3</v>
      </c>
      <c r="AL76" s="90">
        <f t="shared" si="91"/>
        <v>130.19973992707767</v>
      </c>
      <c r="AM76" s="90">
        <f t="shared" si="92"/>
        <v>1.5019179478105318</v>
      </c>
      <c r="AN76" s="86">
        <f t="shared" si="102"/>
        <v>131.70165787488821</v>
      </c>
    </row>
    <row r="77" spans="1:40" s="83" customFormat="1">
      <c r="A77" s="143"/>
      <c r="B77" s="144"/>
      <c r="C77" s="84">
        <v>1410.37</v>
      </c>
      <c r="D77" s="83">
        <v>40</v>
      </c>
      <c r="E77" s="85"/>
      <c r="F77" s="85"/>
      <c r="G77" s="85"/>
      <c r="H77" s="86">
        <f t="shared" si="103"/>
        <v>0</v>
      </c>
      <c r="I77" s="87"/>
      <c r="J77" s="88"/>
      <c r="K77" s="91"/>
      <c r="L77" s="89"/>
      <c r="M77" s="89">
        <f t="shared" si="93"/>
        <v>0</v>
      </c>
      <c r="N77" s="91"/>
      <c r="O77" s="89"/>
      <c r="P77" s="89">
        <f t="shared" si="94"/>
        <v>0</v>
      </c>
      <c r="Q77" s="91"/>
      <c r="R77" s="89"/>
      <c r="S77" s="89">
        <f t="shared" si="86"/>
        <v>0</v>
      </c>
      <c r="T77" s="91"/>
      <c r="U77" s="89"/>
      <c r="V77" s="89">
        <f t="shared" si="104"/>
        <v>0</v>
      </c>
      <c r="W77" s="91"/>
      <c r="X77" s="89"/>
      <c r="Y77" s="89">
        <f t="shared" si="95"/>
        <v>0</v>
      </c>
      <c r="Z77" s="91"/>
      <c r="AA77" s="89"/>
      <c r="AB77" s="89">
        <f t="shared" si="96"/>
        <v>0</v>
      </c>
      <c r="AC77" s="90">
        <f t="shared" si="97"/>
        <v>0</v>
      </c>
      <c r="AD77" s="90">
        <f t="shared" si="97"/>
        <v>0</v>
      </c>
      <c r="AE77" s="89">
        <f t="shared" si="98"/>
        <v>0</v>
      </c>
      <c r="AF77" s="92" t="e">
        <f t="shared" si="99"/>
        <v>#DIV/0!</v>
      </c>
      <c r="AG77" s="92" t="e">
        <f t="shared" si="99"/>
        <v>#DIV/0!</v>
      </c>
      <c r="AH77" s="86" t="e">
        <f t="shared" si="100"/>
        <v>#DIV/0!</v>
      </c>
      <c r="AI77" s="90"/>
      <c r="AJ77" s="89"/>
      <c r="AK77" s="89">
        <f t="shared" si="101"/>
        <v>0</v>
      </c>
      <c r="AL77" s="90">
        <f t="shared" si="91"/>
        <v>0</v>
      </c>
      <c r="AM77" s="90">
        <f>AJ77*(7710000000000000000)*23.1662*3.016/(6.022E+23)*(D77*24*60*60)</f>
        <v>0</v>
      </c>
      <c r="AN77" s="86">
        <f t="shared" si="102"/>
        <v>0</v>
      </c>
    </row>
    <row r="78" spans="1:40" s="95" customFormat="1">
      <c r="A78" s="145"/>
      <c r="B78" s="146"/>
      <c r="C78" s="94">
        <v>1762.96</v>
      </c>
      <c r="D78" s="95">
        <v>50</v>
      </c>
      <c r="E78" s="96"/>
      <c r="F78" s="96"/>
      <c r="G78" s="96"/>
      <c r="H78" s="97">
        <f t="shared" si="103"/>
        <v>0</v>
      </c>
      <c r="I78" s="98"/>
      <c r="J78" s="99"/>
      <c r="K78" s="100"/>
      <c r="L78" s="101"/>
      <c r="M78" s="101">
        <f t="shared" si="93"/>
        <v>0</v>
      </c>
      <c r="N78" s="100"/>
      <c r="O78" s="101"/>
      <c r="P78" s="101">
        <f t="shared" si="94"/>
        <v>0</v>
      </c>
      <c r="Q78" s="100"/>
      <c r="R78" s="101"/>
      <c r="S78" s="101">
        <f t="shared" si="86"/>
        <v>0</v>
      </c>
      <c r="T78" s="100"/>
      <c r="U78" s="101"/>
      <c r="V78" s="101">
        <f t="shared" si="104"/>
        <v>0</v>
      </c>
      <c r="W78" s="100"/>
      <c r="X78" s="101"/>
      <c r="Y78" s="101">
        <f t="shared" si="95"/>
        <v>0</v>
      </c>
      <c r="Z78" s="100"/>
      <c r="AA78" s="101"/>
      <c r="AB78" s="101">
        <f t="shared" si="96"/>
        <v>0</v>
      </c>
      <c r="AC78" s="90">
        <f t="shared" si="97"/>
        <v>0</v>
      </c>
      <c r="AD78" s="90">
        <f t="shared" si="97"/>
        <v>0</v>
      </c>
      <c r="AE78" s="101">
        <f t="shared" si="98"/>
        <v>0</v>
      </c>
      <c r="AF78" s="92" t="e">
        <f t="shared" si="99"/>
        <v>#DIV/0!</v>
      </c>
      <c r="AG78" s="92" t="e">
        <f t="shared" si="99"/>
        <v>#DIV/0!</v>
      </c>
      <c r="AH78" s="97" t="e">
        <f t="shared" si="100"/>
        <v>#DIV/0!</v>
      </c>
      <c r="AI78" s="102"/>
      <c r="AJ78" s="101"/>
      <c r="AK78" s="89">
        <f t="shared" si="101"/>
        <v>0</v>
      </c>
      <c r="AL78" s="90">
        <f t="shared" si="91"/>
        <v>0</v>
      </c>
      <c r="AM78" s="90">
        <f t="shared" ref="AM78" si="105">AJ78*(7710000000000000000)*23.1662*3.016/(6.022E+23)*(D78*24*60*60)</f>
        <v>0</v>
      </c>
      <c r="AN78" s="86">
        <f t="shared" si="102"/>
        <v>0</v>
      </c>
    </row>
  </sheetData>
  <mergeCells count="6">
    <mergeCell ref="A6:B13"/>
    <mergeCell ref="A33:B39"/>
    <mergeCell ref="A46:B52"/>
    <mergeCell ref="A59:B65"/>
    <mergeCell ref="A72:B78"/>
    <mergeCell ref="A20:B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MCODE 3</vt:lpstr>
      <vt:lpstr>Results 3</vt:lpstr>
      <vt:lpstr>MCODE (2)</vt:lpstr>
      <vt:lpstr>MCODE</vt:lpstr>
      <vt:lpstr>Sheet1</vt:lpstr>
      <vt:lpstr>Core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2024-08-03T06:06:54Z</dcterms:modified>
</cp:coreProperties>
</file>