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rourke/Desktop/H2A_update-processing/input/"/>
    </mc:Choice>
  </mc:AlternateContent>
  <xr:revisionPtr revIDLastSave="0" documentId="13_ncr:1_{A03D672B-0F2B-B645-8B92-E2FA50DE27BC}" xr6:coauthVersionLast="47" xr6:coauthVersionMax="47" xr10:uidLastSave="{00000000-0000-0000-0000-000000000000}"/>
  <bookViews>
    <workbookView xWindow="3300" yWindow="720" windowWidth="25000" windowHeight="15380" xr2:uid="{082A4A56-5337-7742-86D8-0BE47E3BE494}"/>
  </bookViews>
  <sheets>
    <sheet name="NE_cost" sheetId="1" r:id="rId1"/>
    <sheet name="coef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4" i="1" l="1" a="1"/>
  <c r="G14" i="1" s="1"/>
  <c r="F22" i="2"/>
  <c r="F14" i="1" a="1"/>
  <c r="F14" i="1" s="1"/>
  <c r="G16" i="1" l="1" a="1"/>
  <c r="G16" i="1" s="1"/>
  <c r="G23" i="2" l="1"/>
  <c r="F23" i="2" l="1"/>
  <c r="F25" i="2" l="1" a="1"/>
  <c r="F25" i="2" s="1"/>
  <c r="F24" i="2" a="1"/>
  <c r="F24" i="2" s="1"/>
  <c r="G25" i="2" l="1" a="1"/>
  <c r="G25" i="2" s="1"/>
  <c r="H14" i="1" l="1"/>
  <c r="G24" i="2" a="1"/>
  <c r="G24" i="2" s="1"/>
  <c r="F16" i="1" l="1" a="1"/>
  <c r="F16" i="1" s="1"/>
  <c r="H16" i="1" s="1"/>
  <c r="I16" i="1" s="1"/>
  <c r="F15" i="1" l="1" a="1"/>
  <c r="F15" i="1" s="1"/>
  <c r="G15" i="1" l="1" a="1"/>
  <c r="G15" i="1" s="1"/>
  <c r="H15" i="1" s="1"/>
  <c r="I15" i="1" s="1"/>
  <c r="G10" i="1" l="1" a="1"/>
  <c r="G10" i="1" s="1"/>
  <c r="F10" i="1" l="1" a="1"/>
  <c r="F10" i="1" s="1"/>
  <c r="H10" i="1" s="1"/>
  <c r="I10" i="1" s="1"/>
  <c r="G11" i="1" l="1" a="1"/>
  <c r="G11" i="1" s="1"/>
  <c r="G20" i="2" l="1"/>
  <c r="G21" i="2" l="1"/>
  <c r="G13" i="1" l="1" a="1"/>
  <c r="G13" i="1" s="1"/>
  <c r="F20" i="2" l="1"/>
  <c r="F21" i="2" l="1"/>
  <c r="F13" i="1" l="1" a="1"/>
  <c r="F13" i="1" s="1"/>
  <c r="H13" i="1" s="1"/>
  <c r="I13" i="1" s="1"/>
  <c r="G19" i="2" l="1"/>
  <c r="F19" i="2" l="1"/>
  <c r="F9" i="1" l="1" a="1"/>
  <c r="F9" i="1" s="1"/>
  <c r="F14" i="2" l="1"/>
  <c r="F13" i="2" l="1"/>
  <c r="G7" i="2" l="1"/>
  <c r="G6" i="2"/>
  <c r="F6" i="2" l="1"/>
  <c r="F7" i="2" l="1"/>
  <c r="G22" i="2" l="1"/>
  <c r="G18" i="2"/>
  <c r="G12" i="1"/>
  <c r="F18" i="2"/>
  <c r="F12" i="1"/>
  <c r="F11" i="1"/>
  <c r="H11" i="1" s="1"/>
  <c r="I11" i="1" s="1"/>
  <c r="G15" i="2"/>
  <c r="G17" i="2" s="1"/>
  <c r="G9" i="1"/>
  <c r="H9" i="1" s="1"/>
  <c r="I9" i="1" s="1"/>
  <c r="F15" i="2"/>
  <c r="F17" i="2" s="1"/>
  <c r="F8" i="1"/>
  <c r="G5" i="2"/>
  <c r="G5" i="1"/>
  <c r="H5" i="1" s="1"/>
  <c r="I5" i="1" s="1"/>
  <c r="F5" i="2"/>
  <c r="F5" i="1"/>
  <c r="H12" i="1" l="1"/>
  <c r="I12" i="1" s="1"/>
  <c r="G16" i="2"/>
  <c r="F1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<sst xmlns="http://schemas.openxmlformats.org/spreadsheetml/2006/main" count="204" uniqueCount="55">
  <si>
    <t>sector.name</t>
  </si>
  <si>
    <t>subsector.name</t>
  </si>
  <si>
    <t>technology</t>
  </si>
  <si>
    <t>minicam.non.energy.input</t>
  </si>
  <si>
    <t>biomass</t>
  </si>
  <si>
    <t>biomass to H2</t>
  </si>
  <si>
    <t>biomass to H2 CCS</t>
  </si>
  <si>
    <t>coal</t>
  </si>
  <si>
    <t>coal chemical</t>
  </si>
  <si>
    <t>coal chemical CCS</t>
  </si>
  <si>
    <t>electricity</t>
  </si>
  <si>
    <t>electrolysis</t>
  </si>
  <si>
    <t>gas</t>
  </si>
  <si>
    <t>natural gas steam reforming</t>
  </si>
  <si>
    <t>natural gas steam reforming CCS</t>
  </si>
  <si>
    <t>nuclear</t>
  </si>
  <si>
    <t>thermal splitting</t>
  </si>
  <si>
    <t>solar</t>
  </si>
  <si>
    <t>wind</t>
  </si>
  <si>
    <t>notes</t>
  </si>
  <si>
    <t>units</t>
  </si>
  <si>
    <t>$2016/kg H2</t>
  </si>
  <si>
    <t>H2 central production</t>
  </si>
  <si>
    <t>H2 forecourt production</t>
  </si>
  <si>
    <t>non-energy</t>
  </si>
  <si>
    <t>$2005/kg H2</t>
  </si>
  <si>
    <t># Source: NREL H2A 2018 (generally), "Results tab"</t>
  </si>
  <si>
    <t>H2A 2018 did not report Biomass + CCS assumptions.</t>
  </si>
  <si>
    <t>H2A 2018 did not report Coal without CCS assumptions.</t>
  </si>
  <si>
    <t>H2A  2018 did not report future Coal + CCS assumptions.</t>
  </si>
  <si>
    <t>Method of electrolysis utilized: PEM Electrolysis.</t>
  </si>
  <si>
    <t>Method of electrolysis utilized: PEM Electrolysis powered by solar PV created electricity. Non-energy cost = required selling price (feedstocks include solar panel costs). Prices are based on ATB 2019 overnight capital costs for solar panels and GCAM's global capacity factor.</t>
  </si>
  <si>
    <r>
      <t>Method of electrolysis utilized: PEM Electrolysis powered by solar wind created electricity. Non-energy cost = required selling price (feedstocks include turbine costs). Prices are based on ATB 2019 overnight capital costs for turbines (Wind TRG1) and GCAM's global CF for wind</t>
    </r>
    <r>
      <rPr>
        <b/>
        <sz val="10"/>
        <rFont val="Arial"/>
        <family val="2"/>
      </rPr>
      <t>.</t>
    </r>
  </si>
  <si>
    <t>Method of electrolysis utilized: PEM Electrolysis - Forecourt model for larger (1500kG/H2/day) plant.</t>
  </si>
  <si>
    <t>Forecourt model for larger (1500kG/H2/day) plant.</t>
  </si>
  <si>
    <t>regional biomass</t>
  </si>
  <si>
    <t>elect_td_ind</t>
  </si>
  <si>
    <t>regional natural gas</t>
  </si>
  <si>
    <t>delivered gas</t>
  </si>
  <si>
    <t>regional coal</t>
  </si>
  <si>
    <t>global solar resource</t>
  </si>
  <si>
    <t>onshore wind resource</t>
  </si>
  <si>
    <t>nuclearFuelGenIII</t>
  </si>
  <si>
    <t>elect_td_trn</t>
  </si>
  <si>
    <t>GJ in /kg H2 out</t>
  </si>
  <si>
    <t>improvement_to_2040</t>
  </si>
  <si>
    <t>max_improvement</t>
  </si>
  <si>
    <t># Comments: Non-energy cost = required selling price - feedstock costs. Max improvement = improvement_to_2040 + 10%, unless otherwise stated</t>
  </si>
  <si>
    <t># Source: NREL H2A 2018 (generally), "Results tab" (2008 for nuclear thermal splitting)</t>
  </si>
  <si>
    <t>Method of electrolysis utilized: PEM Electrolysis powered by solar PV created electricity. Efficiency is equivalent to central electrolysis.</t>
  </si>
  <si>
    <t>Method of electrolysis utilized: PEM Electrolysis powered by solar wind created electricity.Efficiency is equivalent to central electrolysis.</t>
  </si>
  <si>
    <t>2040 efficiency assumed to be the same as 2015. Equals the sum of electricity and thermal energy requirements (GJ). Source: H2A 2008.</t>
  </si>
  <si>
    <t>GJ hydrogen output / GJ input</t>
  </si>
  <si>
    <t>Non-energy cost = required selling price. Source: H2A 2008.</t>
  </si>
  <si>
    <t># Comments: Assumptions are generally coef ( = input / output ), some are efficiencies ( = output / input). Max improvement = improvement_to_2040 + 10%, unless otherwise stated. CCS technology electricity coef includes general electricity use and electricity used for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</si>
</sst>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0.0000"/>
    <numFmt numFmtId="165" formatCode="0.00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Fill="1"/>
    <xf numFmtId="0" fontId="2" fillId="0" borderId="0" xfId="0" applyFont="1" applyFill="1"/>
    <xf numFmtId="0" fontId="0" fillId="0" borderId="0" xfId="0" applyFill="1"/>
    <xf numFmtId="6" fontId="0" fillId="0" borderId="0" xfId="0" applyNumberFormat="1" applyFill="1"/>
    <xf numFmtId="164" fontId="0" fillId="0" borderId="0" xfId="0" applyNumberFormat="1" applyFill="1"/>
    <xf numFmtId="2" fontId="0" fillId="0" borderId="0" xfId="0" applyNumberFormat="1" applyFill="1"/>
    <xf numFmtId="0" fontId="1" fillId="0" borderId="0" xfId="0" applyFont="1" applyFill="1"/>
    <xf numFmtId="165" fontId="0" fillId="0" borderId="0" xfId="0" applyNumberFormat="1" applyFill="1"/>
    <xf numFmtId="165" fontId="2" fillId="0" borderId="0" xfId="0" applyNumberFormat="1" applyFont="1" applyFill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REL_H2A_2018-raw_data/Current/current-central-biomass-gasification-v3-2018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NREL_H2A_2018-raw_data/Future/future-central-biomass-gasification-v3-2018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NREL_H2A_2018-raw_data/Current/current-central-coal-with-co2-sequestration-v3-2018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NREL_H2A_2018-raw_data/Current/current-central-pem-electrolysis-v3-201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REL_H2A_2018-raw_data/Future/future-central-pem-electrolysis-v3-2018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NREL_H2A_2018-raw_data/Current/current-central-pem-electrolysis-v3-2018%20-%20solar_v3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NREL_H2A_2018-raw_data/Future/future-central-pem-electrolysis-v3-2018%20-%20solar_v3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NREL_H2A_2018-raw_data/Current/current-central-pem-electrolysis-v3-2018%20-%20wind_v3.xlsm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NREL_H2A_2018-raw_data/Future/future-central-pem-electrolysis-v3-2018%20-%20wind_v3.xlsm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NREL_H2A_2018-raw_data/Current/current-central-natural-gas-without-co2-sequestration-v3-2018.xlsm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NREL_H2A_2018-raw_data/Future/future-central-natural-gas-without-co2-sequestration-v3-2018.xlsm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NREL_H2A_2018-raw_data/Current/current-central-natural-gas-with-co2-sequestration-v3-2018.xlsm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NREL_H2A_2018-raw_data/Future/future-central-natural-gas-with-co2-sequestration-v3-2018.xlsm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NREL_H2A_2018-raw_data/Current/current-distributed-pem-electrolysis-v3-2018.xlsm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NREL_H2A_2018-raw_data/Future/future-distributed-pem-electrolysis-v3-2018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NREL_H2A_2018-raw_data/Current/current-distributed-natural-gas-v3-2018.xlsm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NREL_H2A_2018-raw_data/Future/future-distributed-natural-gas-v3-2018.xlsm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NREL_H2A_2018-raw_data/Current/future-central-nuclear-energy-high-temp-electrolysis-v2-1-1%20-%20current_v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NREL_H2A_2018-raw_data/Future/future-central-nuclear-energy-high-temp-electrolysis-v2-1-1%20-%20future_v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Tornado Charts &amp; Risk Analysis"/>
      <sheetName val="Cash Flow 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  <sheetName val="current-central-biomass-gasific"/>
    </sheetNames>
    <definedNames>
      <definedName name="result_feed_contr" refersTo="='Results'!$C$22"/>
      <definedName name="Result_price" refersTo="='Results'!$C$2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C22">
            <v>1.371638599541559</v>
          </cell>
        </row>
        <row r="26">
          <cell r="C26">
            <v>2.4111382454761534</v>
          </cell>
        </row>
        <row r="32">
          <cell r="C32">
            <v>0.26374392401276892</v>
          </cell>
        </row>
        <row r="37">
          <cell r="C37">
            <v>6.2244999999999991E-3</v>
          </cell>
        </row>
        <row r="38">
          <cell r="C38">
            <v>3.5279999999999995E-3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Tornado Charts &amp; Risk Analysis"/>
      <sheetName val="Cash Flow 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  <sheetName val="future-central-biomass-gasifica"/>
    </sheetNames>
    <definedNames>
      <definedName name="result_feed_contr" refersTo="='Results'!$C$22"/>
      <definedName name="Result_price" refersTo="='Results'!$C$2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C22">
            <v>1.3438636580768009</v>
          </cell>
        </row>
        <row r="26">
          <cell r="C26">
            <v>2.2167386276561158</v>
          </cell>
        </row>
        <row r="32">
          <cell r="C32">
            <v>0.25472462475216323</v>
          </cell>
        </row>
        <row r="37">
          <cell r="C37">
            <v>3.4019999999999992E-3</v>
          </cell>
        </row>
        <row r="38">
          <cell r="C38">
            <v>3.1133049999999998E-3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Tornado Charts &amp; Risk Analysis"/>
      <sheetName val="Cash Flow 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  <sheetName val="current-central-coal-with-co2-s"/>
    </sheetNames>
    <definedNames>
      <definedName name="result_feed_contr" refersTo="='Results'!$C$22"/>
      <definedName name="Result_price" refersTo="='Results'!$C$2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C22">
            <v>0.4809225430311509</v>
          </cell>
        </row>
        <row r="26">
          <cell r="C26">
            <v>2.0962724885349133</v>
          </cell>
        </row>
        <row r="32">
          <cell r="C32">
            <v>0.22046482848084617</v>
          </cell>
        </row>
        <row r="37">
          <cell r="C37">
            <v>4.9039512970646395E-3</v>
          </cell>
        </row>
        <row r="42">
          <cell r="C42">
            <v>4.2292584156420216E-4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Tornado Charts &amp; Risk Analysis"/>
      <sheetName val="Cash Flow 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  <sheetName val="current-central-pem-electrolysi"/>
    </sheetNames>
    <definedNames>
      <definedName name="result_feed_contr" refersTo="='Results'!$C$22"/>
      <definedName name="Result_price" refersTo="='Results'!$C$2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C22">
            <v>3.9953308062466255</v>
          </cell>
        </row>
        <row r="26">
          <cell r="C26">
            <v>5.1754277256570624</v>
          </cell>
        </row>
        <row r="52">
          <cell r="D52">
            <v>0.61495620163270392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Tornado Charts &amp; Risk Analysis"/>
      <sheetName val="Cash Flow 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  <sheetName val="future-central-pem-electrolysis"/>
    </sheetNames>
    <definedNames>
      <definedName name="result_feed_contr" refersTo="='Results'!$C$22"/>
      <definedName name="Result_price" refersTo="='Results'!$C$2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C22">
            <v>3.966007001977689</v>
          </cell>
        </row>
        <row r="26">
          <cell r="C26">
            <v>4.4824477404691638</v>
          </cell>
        </row>
        <row r="52">
          <cell r="D52">
            <v>0.66518170814055411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Tornado Charts &amp; Risk Analysis"/>
      <sheetName val="Cash Flow 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  <sheetName val="current-central-pem-electrolysi"/>
    </sheetNames>
    <definedNames>
      <definedName name="Result_price" refersTo="='Results'!$C$2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6">
          <cell r="C26">
            <v>5.4231850217299877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Tornado Charts &amp; Risk Analysis"/>
      <sheetName val="Cash Flow 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  <sheetName val="future-central-pem-electrolysis"/>
    </sheetNames>
    <definedNames>
      <definedName name="Result_price" refersTo="='Results'!$C$2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6">
          <cell r="C26">
            <v>3.7329159548445796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Tornado Charts &amp; Risk Analysis"/>
      <sheetName val="Cash Flow 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  <sheetName val="current-central-pem-electrolysi"/>
    </sheetNames>
    <definedNames>
      <definedName name="Result_price" refersTo="='Results'!$C$2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6">
          <cell r="C26">
            <v>4.721962702789023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Tornado Charts &amp; Risk Analysis"/>
      <sheetName val="Cash Flow 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  <sheetName val="future-central-pem-electrolysis"/>
    </sheetNames>
    <definedNames>
      <definedName name="Result_price" refersTo="='Results'!$C$2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6">
          <cell r="C26">
            <v>3.4963943454641839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Tornado Charts &amp; Risk Analysis"/>
      <sheetName val="Cash Flow 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  <sheetName val="current-central-natural-gas-wit"/>
    </sheetNames>
    <definedNames>
      <definedName name="result_feed_contr" refersTo="='Results'!$C$22"/>
      <definedName name="Result_price" refersTo="='Results'!$C$2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C22">
            <v>0.82763314128326682</v>
          </cell>
        </row>
        <row r="26">
          <cell r="C26">
            <v>1.148340344389611</v>
          </cell>
        </row>
        <row r="32">
          <cell r="C32">
            <v>0.16484374999999998</v>
          </cell>
        </row>
        <row r="37">
          <cell r="C37">
            <v>2.0483999999999997E-3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Tornado Charts &amp; Risk Analysis"/>
      <sheetName val="Cash Flow 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  <sheetName val="future-central-natural-gas-with"/>
    </sheetNames>
    <definedNames>
      <definedName name="result_feed_contr" refersTo="='Results'!$C$22"/>
      <definedName name="Result_price" refersTo="='Results'!$C$2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C22">
            <v>1.0323787971615324</v>
          </cell>
        </row>
        <row r="26">
          <cell r="C26">
            <v>1.3158315472358175</v>
          </cell>
        </row>
        <row r="32">
          <cell r="C32">
            <v>0.16457999999999998</v>
          </cell>
        </row>
        <row r="37">
          <cell r="C37">
            <v>2.1599999999999996E-3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Tornado Charts &amp; Risk Analysis"/>
      <sheetName val="Cash Flow 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  <sheetName val="current-central-natural-gas-wit"/>
    </sheetNames>
    <definedNames>
      <definedName name="result_feed_contr" refersTo="='Results'!$C$22"/>
      <definedName name="Result_price" refersTo="='Results'!$C$2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C22">
            <v>0.82524955783637099</v>
          </cell>
        </row>
        <row r="26">
          <cell r="C26">
            <v>1.5582197865293907</v>
          </cell>
        </row>
        <row r="32">
          <cell r="C32">
            <v>0.16436899999999999</v>
          </cell>
        </row>
        <row r="37">
          <cell r="C37">
            <v>2.1599999999999996E-3</v>
          </cell>
        </row>
        <row r="42">
          <cell r="C42">
            <v>1.9113956075954064E-4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Tornado Charts &amp; Risk Analysis"/>
      <sheetName val="Cash Flow 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  <sheetName val="future-central-natural-gas-with"/>
    </sheetNames>
    <definedNames>
      <definedName name="result_feed_contr" refersTo="='Results'!$C$22"/>
      <definedName name="Result_price" refersTo="='Results'!$C$2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2">
          <cell r="C22">
            <v>1.0310552346010688</v>
          </cell>
        </row>
        <row r="26">
          <cell r="C26">
            <v>1.738021291813362</v>
          </cell>
        </row>
        <row r="32">
          <cell r="C32">
            <v>0.16436899999999999</v>
          </cell>
        </row>
        <row r="37">
          <cell r="C37">
            <v>2.1599999999999996E-3</v>
          </cell>
        </row>
        <row r="42">
          <cell r="C42">
            <v>1.9113956075954064E-4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storage and refueling"/>
      <sheetName val="Refueling Station - GH2"/>
      <sheetName val="Results"/>
      <sheetName val="Tornado Charts"/>
      <sheetName val="Production Cash Flow Analysis"/>
      <sheetName val="Refueling Cash Flow Analysis"/>
      <sheetName val="Tornado Chart Production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Title - blank"/>
      <sheetName val="Description - blank"/>
      <sheetName val="ProcessFlow - blank"/>
      <sheetName val="current-distributed-pem-electro"/>
    </sheetNames>
    <definedNames>
      <definedName name="result_feed_contr" refersTo="='Results'!$C$25"/>
      <definedName name="Result_price" refersTo="='Results'!$C$29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>
        <row r="25">
          <cell r="C25">
            <v>3.9640650850183841</v>
          </cell>
        </row>
        <row r="29">
          <cell r="C29">
            <v>5.2530131790641121</v>
          </cell>
        </row>
        <row r="35">
          <cell r="I35">
            <v>0.61157732140395271</v>
          </cell>
        </row>
      </sheetData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storage and refueling"/>
      <sheetName val="Refueling Station - GH2"/>
      <sheetName val="Results"/>
      <sheetName val="Tornado Charts"/>
      <sheetName val="Production Cash Flow Analysis"/>
      <sheetName val="Refueling Cash Flow Analysis"/>
      <sheetName val="Tornado Chart Production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Title - blank"/>
      <sheetName val="Description - blank"/>
      <sheetName val="ProcessFlow - blank"/>
      <sheetName val="future-distributed-pem-electrol"/>
    </sheetNames>
    <definedNames>
      <definedName name="result_feed_contr" refersTo="='Results'!$C$25"/>
      <definedName name="Result_price" refersTo="='Results'!$C$29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>
        <row r="25">
          <cell r="C25">
            <v>3.9564943482064789</v>
          </cell>
        </row>
        <row r="29">
          <cell r="C29">
            <v>4.4959615063149814</v>
          </cell>
        </row>
        <row r="35">
          <cell r="I35">
            <v>0.66385927929733235</v>
          </cell>
        </row>
      </sheetData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storage and refueling"/>
      <sheetName val="Refueling Station - GH2"/>
      <sheetName val="Results"/>
      <sheetName val="Tornado Charts"/>
      <sheetName val="Production Cash Flow Analysis"/>
      <sheetName val="Refueling Cash Flow Analysis"/>
      <sheetName val="Tornado Chart Production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Title - blank"/>
      <sheetName val="Description - blank"/>
      <sheetName val="ProcessFlow - blank"/>
      <sheetName val="current-distributed-natural-gas"/>
    </sheetNames>
    <definedNames>
      <definedName name="feedstockIndustrial_Natural_Gas_Usage" refersTo="='Input_Sheet_Template'!$E$125"/>
      <definedName name="result_feed_contr" refersTo="='Results'!$C$25"/>
      <definedName name="Result_price" refersTo="='Results'!$C$29"/>
      <definedName name="utilityCommercial_Electricity_Usage" refersTo="='Input_Sheet_Template'!$E$128"/>
    </definedNames>
    <sheetDataSet>
      <sheetData sheetId="0"/>
      <sheetData sheetId="1"/>
      <sheetData sheetId="2"/>
      <sheetData sheetId="3">
        <row r="125">
          <cell r="C125">
            <v>1.0549999999999999</v>
          </cell>
          <cell r="E125">
            <v>0.15579701239747201</v>
          </cell>
        </row>
        <row r="128">
          <cell r="C128">
            <v>3.5999999999999995E-3</v>
          </cell>
          <cell r="E128">
            <v>1.1100000000000001</v>
          </cell>
        </row>
      </sheetData>
      <sheetData sheetId="4"/>
      <sheetData sheetId="5"/>
      <sheetData sheetId="6"/>
      <sheetData sheetId="7" refreshError="1"/>
      <sheetData sheetId="8"/>
      <sheetData sheetId="9">
        <row r="25">
          <cell r="C25">
            <v>0.77668658272983149</v>
          </cell>
        </row>
        <row r="29">
          <cell r="C29">
            <v>1.501783509422479</v>
          </cell>
        </row>
      </sheetData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storage and refueling"/>
      <sheetName val="Refueling Station - GH2"/>
      <sheetName val="Results"/>
      <sheetName val="Tornado Charts"/>
      <sheetName val="Production Cash Flow Analysis"/>
      <sheetName val="Refueling Cash Flow Analysis"/>
      <sheetName val="Tornado Chart Production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Title - blank"/>
      <sheetName val="Description - blank"/>
      <sheetName val="ProcessFlow - blank"/>
      <sheetName val="future-distributed-natural-gas-"/>
    </sheetNames>
    <definedNames>
      <definedName name="feedstockIndustrial_Natural_Gas_Usage" refersTo="='Input_Sheet_Template'!$E$125"/>
      <definedName name="result_feed_contr" refersTo="='Results'!$C$25"/>
      <definedName name="Result_price" refersTo="='Results'!$C$29"/>
      <definedName name="utilityCommercial_Electricity_Usage" refersTo="='Input_Sheet_Template'!$E$128"/>
    </definedNames>
    <sheetDataSet>
      <sheetData sheetId="0"/>
      <sheetData sheetId="1"/>
      <sheetData sheetId="2"/>
      <sheetData sheetId="3">
        <row r="125">
          <cell r="C125">
            <v>1.0549999999999999</v>
          </cell>
          <cell r="E125">
            <v>0.145799343</v>
          </cell>
        </row>
        <row r="128">
          <cell r="C128">
            <v>3.5999999999999995E-3</v>
          </cell>
          <cell r="E128">
            <v>2.2679999999999998</v>
          </cell>
        </row>
      </sheetData>
      <sheetData sheetId="4"/>
      <sheetData sheetId="5"/>
      <sheetData sheetId="6"/>
      <sheetData sheetId="7" refreshError="1"/>
      <sheetData sheetId="8"/>
      <sheetData sheetId="9">
        <row r="25">
          <cell r="C25">
            <v>0.92416605486175096</v>
          </cell>
        </row>
        <row r="29">
          <cell r="C29">
            <v>1.6116755244950207</v>
          </cell>
        </row>
      </sheetData>
      <sheetData sheetId="10"/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Cash Flow Analysis"/>
      <sheetName val="Tornado Chart"/>
      <sheetName val="Sensitivity_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</sheetNames>
    <definedNames>
      <definedName name="Result_price" refersTo="='Results'!$C$2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6">
          <cell r="C26">
            <v>2.9887060454360093</v>
          </cell>
        </row>
        <row r="32">
          <cell r="C32">
            <v>0.11946887999999999</v>
          </cell>
        </row>
        <row r="33">
          <cell r="C33">
            <v>2.4593104248897133E-2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itle"/>
      <sheetName val="Description"/>
      <sheetName val="ProcessFlow"/>
      <sheetName val="Input_Sheet_Template"/>
      <sheetName val="Replacement Costs"/>
      <sheetName val="Capital Costs"/>
      <sheetName val="Plant Scaling"/>
      <sheetName val="Carbon Sequestration"/>
      <sheetName val="Results"/>
      <sheetName val="Cash Flow Analysis"/>
      <sheetName val="Tornado Chart"/>
      <sheetName val="Sensitivity_Analysis"/>
      <sheetName val="Energy Feed &amp; Utility Prices"/>
      <sheetName val="Non-Energy Material Prices"/>
      <sheetName val="AEO Data"/>
      <sheetName val="HyARC Physical Property Data"/>
      <sheetName val="Debt Financing Calculations"/>
      <sheetName val="Depreciation"/>
      <sheetName val="Constants and Conversions"/>
      <sheetName val="Lists"/>
      <sheetName val="ProcessFlow - blank"/>
      <sheetName val="Description - blank"/>
      <sheetName val="Title - blank"/>
    </sheetNames>
    <definedNames>
      <definedName name="Result_price" refersTo="='Results'!$C$2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6">
          <cell r="C26">
            <v>2.9021599343463103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5B74-363C-1B4E-A411-71DB83E75F79}">
  <dimension ref="A1:J16"/>
  <sheetViews>
    <sheetView tabSelected="1" workbookViewId="0"/>
  </sheetViews>
  <sheetFormatPr baseColWidth="10" defaultRowHeight="16" x14ac:dyDescent="0.2"/>
  <cols>
    <col min="1" max="1" width="42.83203125" bestFit="1" customWidth="1"/>
    <col min="2" max="2" width="29.83203125" customWidth="1"/>
    <col min="3" max="3" width="29.6640625" bestFit="1" customWidth="1"/>
    <col min="4" max="4" width="22.6640625" bestFit="1" customWidth="1"/>
    <col min="5" max="5" width="12.33203125" bestFit="1" customWidth="1"/>
    <col min="8" max="8" width="20.1640625" bestFit="1" customWidth="1"/>
    <col min="9" max="9" width="20.1640625" customWidth="1"/>
    <col min="10" max="10" width="221.6640625" bestFit="1" customWidth="1"/>
  </cols>
  <sheetData>
    <row r="1" spans="1:10" x14ac:dyDescent="0.2">
      <c r="A1" t="s">
        <v>48</v>
      </c>
    </row>
    <row r="2" spans="1:10" x14ac:dyDescent="0.2">
      <c r="A2" t="s">
        <v>47</v>
      </c>
    </row>
    <row r="4" spans="1:10" x14ac:dyDescent="0.2">
      <c r="A4" s="2" t="s">
        <v>0</v>
      </c>
      <c r="B4" s="2" t="s">
        <v>1</v>
      </c>
      <c r="C4" s="2" t="s">
        <v>2</v>
      </c>
      <c r="D4" s="2" t="s">
        <v>3</v>
      </c>
      <c r="E4" s="2" t="s">
        <v>20</v>
      </c>
      <c r="F4" s="3">
        <v>2015</v>
      </c>
      <c r="G4" s="3">
        <v>2040</v>
      </c>
      <c r="H4" s="3" t="s">
        <v>45</v>
      </c>
      <c r="I4" s="3" t="s">
        <v>46</v>
      </c>
      <c r="J4" s="2" t="s">
        <v>19</v>
      </c>
    </row>
    <row r="5" spans="1:10" x14ac:dyDescent="0.2">
      <c r="A5" t="s">
        <v>22</v>
      </c>
      <c r="B5" t="s">
        <v>4</v>
      </c>
      <c r="C5" t="s">
        <v>5</v>
      </c>
      <c r="D5" s="1" t="s">
        <v>24</v>
      </c>
      <c r="E5" s="8" t="s">
        <v>21</v>
      </c>
      <c r="F5" s="9">
        <f>[1]!Result_price
 -[1]!result_feed_contr</f>
        <v>1.0394996459345944</v>
      </c>
      <c r="G5" s="9">
        <f>[2]!Result_price
- [2]!result_feed_contr</f>
        <v>0.87287496957931499</v>
      </c>
      <c r="H5" s="9">
        <f xml:space="preserve"> (1 - ( $G5 / $F5 ) )</f>
        <v>0.16029315354453089</v>
      </c>
      <c r="I5" s="10">
        <f>ROUND( SUM( $H5 + 0.1 ), 2)</f>
        <v>0.26</v>
      </c>
      <c r="J5" s="1"/>
    </row>
    <row r="6" spans="1:10" x14ac:dyDescent="0.2">
      <c r="A6" t="s">
        <v>22</v>
      </c>
      <c r="B6" t="s">
        <v>4</v>
      </c>
      <c r="C6" t="s">
        <v>6</v>
      </c>
      <c r="D6" s="1" t="s">
        <v>24</v>
      </c>
      <c r="E6" s="8" t="s">
        <v>21</v>
      </c>
      <c r="F6" s="9"/>
      <c r="G6" s="9"/>
      <c r="H6" s="9"/>
      <c r="I6" s="9"/>
      <c r="J6" s="1" t="s">
        <v>27</v>
      </c>
    </row>
    <row r="7" spans="1:10" x14ac:dyDescent="0.2">
      <c r="A7" t="s">
        <v>22</v>
      </c>
      <c r="B7" t="s">
        <v>7</v>
      </c>
      <c r="C7" t="s">
        <v>8</v>
      </c>
      <c r="D7" s="1" t="s">
        <v>24</v>
      </c>
      <c r="E7" s="8" t="s">
        <v>21</v>
      </c>
      <c r="F7" s="9"/>
      <c r="G7" s="9"/>
      <c r="H7" s="9"/>
      <c r="I7" s="9"/>
      <c r="J7" s="1" t="s">
        <v>28</v>
      </c>
    </row>
    <row r="8" spans="1:10" x14ac:dyDescent="0.2">
      <c r="A8" t="s">
        <v>22</v>
      </c>
      <c r="B8" t="s">
        <v>7</v>
      </c>
      <c r="C8" t="s">
        <v>9</v>
      </c>
      <c r="D8" s="1" t="s">
        <v>24</v>
      </c>
      <c r="E8" s="8" t="s">
        <v>21</v>
      </c>
      <c r="F8" s="9">
        <f>[3]!Result_price
 -[3]!result_feed_contr</f>
        <v>1.6153499455037625</v>
      </c>
      <c r="G8" s="9"/>
      <c r="H8" s="9"/>
      <c r="I8" s="9"/>
      <c r="J8" s="1" t="s">
        <v>29</v>
      </c>
    </row>
    <row r="9" spans="1:10" x14ac:dyDescent="0.2">
      <c r="A9" t="s">
        <v>22</v>
      </c>
      <c r="B9" t="s">
        <v>10</v>
      </c>
      <c r="C9" t="s">
        <v>11</v>
      </c>
      <c r="D9" s="1" t="s">
        <v>24</v>
      </c>
      <c r="E9" s="8" t="s">
        <v>21</v>
      </c>
      <c r="F9" s="9" cm="1">
        <f t="array" ref="F9">[4]!Result_price -
[4]!result_feed_contr</f>
        <v>1.1800969194104369</v>
      </c>
      <c r="G9" s="9">
        <f>[5]!Result_price
-[5]!result_feed_contr</f>
        <v>0.51644073849147487</v>
      </c>
      <c r="H9" s="9">
        <f t="shared" ref="H9:H16" si="0" xml:space="preserve"> (1 - ( $G9 / $F9 ) )</f>
        <v>0.56237430163830715</v>
      </c>
      <c r="I9" s="10">
        <f>ROUND( SUM( $H9 + 0.1 ), 2)</f>
        <v>0.66</v>
      </c>
      <c r="J9" s="1" t="s">
        <v>30</v>
      </c>
    </row>
    <row r="10" spans="1:10" x14ac:dyDescent="0.2">
      <c r="A10" t="s">
        <v>22</v>
      </c>
      <c r="B10" t="s">
        <v>17</v>
      </c>
      <c r="C10" t="s">
        <v>11</v>
      </c>
      <c r="D10" s="1" t="s">
        <v>24</v>
      </c>
      <c r="E10" s="8" t="s">
        <v>21</v>
      </c>
      <c r="F10" s="9" cm="1">
        <f t="array" ref="F10">[6]!Result_price</f>
        <v>5.4231850217299877</v>
      </c>
      <c r="G10" s="9" cm="1">
        <f t="array" ref="G10">[7]!Result_price</f>
        <v>3.7329159548445796</v>
      </c>
      <c r="H10" s="9">
        <f t="shared" si="0"/>
        <v>0.31167460820767179</v>
      </c>
      <c r="I10" s="10">
        <f>ROUND( SUM( $H10 + 0.1 ), 2)</f>
        <v>0.41</v>
      </c>
      <c r="J10" s="1" t="s">
        <v>31</v>
      </c>
    </row>
    <row r="11" spans="1:10" x14ac:dyDescent="0.2">
      <c r="A11" t="s">
        <v>22</v>
      </c>
      <c r="B11" t="s">
        <v>18</v>
      </c>
      <c r="C11" t="s">
        <v>11</v>
      </c>
      <c r="D11" s="1" t="s">
        <v>24</v>
      </c>
      <c r="E11" s="8" t="s">
        <v>21</v>
      </c>
      <c r="F11" s="9">
        <f>[8]!Result_price</f>
        <v>4.721962702789023</v>
      </c>
      <c r="G11" s="9" cm="1">
        <f t="array" ref="G11">[9]!Result_price</f>
        <v>3.4963943454641839</v>
      </c>
      <c r="H11" s="9">
        <f t="shared" si="0"/>
        <v>0.25954638663303253</v>
      </c>
      <c r="I11" s="10">
        <f>ROUND( SUM( $H11 + 0.1 ), 2)</f>
        <v>0.36</v>
      </c>
      <c r="J11" s="4" t="s">
        <v>32</v>
      </c>
    </row>
    <row r="12" spans="1:10" x14ac:dyDescent="0.2">
      <c r="A12" t="s">
        <v>22</v>
      </c>
      <c r="B12" t="s">
        <v>12</v>
      </c>
      <c r="C12" t="s">
        <v>13</v>
      </c>
      <c r="D12" s="1" t="s">
        <v>24</v>
      </c>
      <c r="E12" s="8" t="s">
        <v>21</v>
      </c>
      <c r="F12" s="9">
        <f>[10]!Result_price
 -[10]!result_feed_contr</f>
        <v>0.32070720310634415</v>
      </c>
      <c r="G12" s="9">
        <f>[11]!Result_price
-[11]!result_feed_contr</f>
        <v>0.28345275007428516</v>
      </c>
      <c r="H12" s="9">
        <f t="shared" si="0"/>
        <v>0.11616344338766127</v>
      </c>
      <c r="I12" s="10">
        <f>ROUND( SUM( $H12 + 0.1 ), 2)</f>
        <v>0.22</v>
      </c>
      <c r="J12" s="1"/>
    </row>
    <row r="13" spans="1:10" x14ac:dyDescent="0.2">
      <c r="A13" t="s">
        <v>22</v>
      </c>
      <c r="B13" t="s">
        <v>12</v>
      </c>
      <c r="C13" t="s">
        <v>14</v>
      </c>
      <c r="D13" s="1" t="s">
        <v>24</v>
      </c>
      <c r="E13" s="8" t="s">
        <v>21</v>
      </c>
      <c r="F13" s="9" cm="1">
        <f t="array" ref="F13">[12]!Result_price-[12]!result_feed_contr</f>
        <v>0.73297022869301975</v>
      </c>
      <c r="G13" s="9" cm="1">
        <f t="array" ref="G13">[13]!Result_price-[13]!result_feed_contr</f>
        <v>0.70696605721229311</v>
      </c>
      <c r="H13" s="9">
        <f t="shared" si="0"/>
        <v>3.5477800410932736E-2</v>
      </c>
      <c r="I13" s="10">
        <f>ROUND( SUM( $H13 + 0.1 ), 2)</f>
        <v>0.14000000000000001</v>
      </c>
      <c r="J13" s="1"/>
    </row>
    <row r="14" spans="1:10" x14ac:dyDescent="0.2">
      <c r="A14" t="s">
        <v>22</v>
      </c>
      <c r="B14" t="s">
        <v>15</v>
      </c>
      <c r="C14" t="s">
        <v>16</v>
      </c>
      <c r="D14" s="1" t="s">
        <v>24</v>
      </c>
      <c r="E14" s="8" t="s">
        <v>25</v>
      </c>
      <c r="F14" s="9" cm="1">
        <f t="array" ref="F14">[18]!Result_price</f>
        <v>2.9887060454360093</v>
      </c>
      <c r="G14" s="9" cm="1">
        <f t="array" ref="G14">[19]!Result_price</f>
        <v>2.9021599343463103</v>
      </c>
      <c r="H14" s="9">
        <f t="shared" si="0"/>
        <v>2.8957719419031469E-2</v>
      </c>
      <c r="I14" s="10"/>
      <c r="J14" s="14" t="s">
        <v>53</v>
      </c>
    </row>
    <row r="15" spans="1:10" x14ac:dyDescent="0.2">
      <c r="A15" t="s">
        <v>23</v>
      </c>
      <c r="B15" t="s">
        <v>10</v>
      </c>
      <c r="C15" t="s">
        <v>11</v>
      </c>
      <c r="D15" s="1" t="s">
        <v>24</v>
      </c>
      <c r="E15" s="8" t="s">
        <v>21</v>
      </c>
      <c r="F15" s="9" cm="1">
        <f t="array" ref="F15">[14]!Result_price -
[14]!result_feed_contr</f>
        <v>1.2889480940457281</v>
      </c>
      <c r="G15" s="9" cm="1">
        <f t="array" ref="G15">[15]!Result_price -
[15]!result_feed_contr</f>
        <v>0.53946715810850243</v>
      </c>
      <c r="H15" s="9">
        <f t="shared" si="0"/>
        <v>0.58146711989368616</v>
      </c>
      <c r="I15" s="10">
        <f>ROUND( SUM( $H15 + 0.1 ), 2)</f>
        <v>0.68</v>
      </c>
      <c r="J15" s="1" t="s">
        <v>33</v>
      </c>
    </row>
    <row r="16" spans="1:10" x14ac:dyDescent="0.2">
      <c r="A16" t="s">
        <v>23</v>
      </c>
      <c r="B16" t="s">
        <v>12</v>
      </c>
      <c r="C16" t="s">
        <v>13</v>
      </c>
      <c r="D16" s="1" t="s">
        <v>24</v>
      </c>
      <c r="E16" s="8" t="s">
        <v>21</v>
      </c>
      <c r="F16" s="9" cm="1">
        <f t="array" ref="F16">[16]!Result_price-[16]!result_feed_contr</f>
        <v>0.72509692669264747</v>
      </c>
      <c r="G16" s="9" cm="1">
        <f t="array" ref="G16">[17]!Result_price -
[17]!result_feed_contr</f>
        <v>0.68750946963326975</v>
      </c>
      <c r="H16" s="9">
        <f t="shared" si="0"/>
        <v>5.1837838054042962E-2</v>
      </c>
      <c r="I16" s="10">
        <f>ROUND( SUM( $H16 + 0.1 ), 2)</f>
        <v>0.15</v>
      </c>
      <c r="J16" s="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BFB5A-CA2D-3341-B6AB-7C7A174BD68A}">
  <dimension ref="A1:H25"/>
  <sheetViews>
    <sheetView workbookViewId="0"/>
  </sheetViews>
  <sheetFormatPr baseColWidth="10" defaultRowHeight="16" x14ac:dyDescent="0.2"/>
  <cols>
    <col min="1" max="1" width="60.6640625" bestFit="1" customWidth="1"/>
    <col min="2" max="2" width="14.33203125" bestFit="1" customWidth="1"/>
    <col min="3" max="3" width="28.6640625" bestFit="1" customWidth="1"/>
    <col min="4" max="4" width="22.6640625" bestFit="1" customWidth="1"/>
    <col min="5" max="5" width="45" customWidth="1"/>
    <col min="6" max="6" width="11.33203125" bestFit="1" customWidth="1"/>
    <col min="7" max="7" width="7.6640625" bestFit="1" customWidth="1"/>
    <col min="8" max="8" width="106.33203125" bestFit="1" customWidth="1"/>
  </cols>
  <sheetData>
    <row r="1" spans="1:8" x14ac:dyDescent="0.2">
      <c r="A1" t="s">
        <v>26</v>
      </c>
    </row>
    <row r="2" spans="1:8" x14ac:dyDescent="0.2">
      <c r="A2" s="7" t="s">
        <v>54</v>
      </c>
    </row>
    <row r="4" spans="1:8" x14ac:dyDescent="0.2">
      <c r="A4" s="2" t="s">
        <v>0</v>
      </c>
      <c r="B4" s="2" t="s">
        <v>1</v>
      </c>
      <c r="C4" s="2" t="s">
        <v>2</v>
      </c>
      <c r="D4" s="5" t="s">
        <v>3</v>
      </c>
      <c r="E4" s="5" t="s">
        <v>20</v>
      </c>
      <c r="F4" s="11">
        <v>2015</v>
      </c>
      <c r="G4" s="11">
        <v>2040</v>
      </c>
      <c r="H4" s="2" t="s">
        <v>19</v>
      </c>
    </row>
    <row r="5" spans="1:8" x14ac:dyDescent="0.2">
      <c r="A5" t="s">
        <v>22</v>
      </c>
      <c r="B5" t="s">
        <v>4</v>
      </c>
      <c r="C5" t="s">
        <v>5</v>
      </c>
      <c r="D5" s="6" t="s">
        <v>35</v>
      </c>
      <c r="E5" s="7" t="s">
        <v>44</v>
      </c>
      <c r="F5" s="12">
        <f>[1]Results!$C$32</f>
        <v>0.26374392401276892</v>
      </c>
      <c r="G5" s="12">
        <f>[2]Results!$C$32</f>
        <v>0.25472462475216323</v>
      </c>
      <c r="H5" s="1"/>
    </row>
    <row r="6" spans="1:8" x14ac:dyDescent="0.2">
      <c r="A6" t="s">
        <v>22</v>
      </c>
      <c r="B6" t="s">
        <v>4</v>
      </c>
      <c r="C6" t="s">
        <v>5</v>
      </c>
      <c r="D6" s="6" t="s">
        <v>37</v>
      </c>
      <c r="E6" s="7" t="s">
        <v>44</v>
      </c>
      <c r="F6" s="12">
        <f>[1]Results!$C$37</f>
        <v>6.2244999999999991E-3</v>
      </c>
      <c r="G6" s="12">
        <f>[2]Results!$C$38</f>
        <v>3.1133049999999998E-3</v>
      </c>
      <c r="H6" s="1"/>
    </row>
    <row r="7" spans="1:8" x14ac:dyDescent="0.2">
      <c r="A7" t="s">
        <v>22</v>
      </c>
      <c r="B7" t="s">
        <v>4</v>
      </c>
      <c r="C7" t="s">
        <v>5</v>
      </c>
      <c r="D7" s="6" t="s">
        <v>36</v>
      </c>
      <c r="E7" s="7" t="s">
        <v>44</v>
      </c>
      <c r="F7" s="12">
        <f>[1]Results!$C$38</f>
        <v>3.5279999999999995E-3</v>
      </c>
      <c r="G7" s="12">
        <f>[2]Results!$C$37</f>
        <v>3.4019999999999992E-3</v>
      </c>
      <c r="H7" s="1"/>
    </row>
    <row r="8" spans="1:8" x14ac:dyDescent="0.2">
      <c r="A8" t="s">
        <v>22</v>
      </c>
      <c r="B8" t="s">
        <v>4</v>
      </c>
      <c r="C8" t="s">
        <v>6</v>
      </c>
      <c r="D8" s="6" t="s">
        <v>35</v>
      </c>
      <c r="E8" s="7" t="s">
        <v>44</v>
      </c>
      <c r="F8" s="13"/>
      <c r="G8" s="13"/>
      <c r="H8" s="1" t="s">
        <v>27</v>
      </c>
    </row>
    <row r="9" spans="1:8" x14ac:dyDescent="0.2">
      <c r="A9" t="s">
        <v>22</v>
      </c>
      <c r="B9" t="s">
        <v>4</v>
      </c>
      <c r="C9" t="s">
        <v>6</v>
      </c>
      <c r="D9" s="6" t="s">
        <v>37</v>
      </c>
      <c r="E9" s="7" t="s">
        <v>44</v>
      </c>
      <c r="F9" s="13"/>
      <c r="G9" s="13"/>
      <c r="H9" s="1" t="s">
        <v>27</v>
      </c>
    </row>
    <row r="10" spans="1:8" x14ac:dyDescent="0.2">
      <c r="A10" t="s">
        <v>22</v>
      </c>
      <c r="B10" t="s">
        <v>4</v>
      </c>
      <c r="C10" t="s">
        <v>6</v>
      </c>
      <c r="D10" s="6" t="s">
        <v>36</v>
      </c>
      <c r="E10" s="7" t="s">
        <v>44</v>
      </c>
      <c r="F10" s="13"/>
      <c r="G10" s="13"/>
      <c r="H10" s="1" t="s">
        <v>27</v>
      </c>
    </row>
    <row r="11" spans="1:8" x14ac:dyDescent="0.2">
      <c r="A11" t="s">
        <v>22</v>
      </c>
      <c r="B11" t="s">
        <v>7</v>
      </c>
      <c r="C11" t="s">
        <v>8</v>
      </c>
      <c r="D11" s="6" t="s">
        <v>39</v>
      </c>
      <c r="E11" s="7" t="s">
        <v>44</v>
      </c>
      <c r="F11" s="12"/>
      <c r="G11" s="12"/>
      <c r="H11" s="1" t="s">
        <v>28</v>
      </c>
    </row>
    <row r="12" spans="1:8" x14ac:dyDescent="0.2">
      <c r="A12" t="s">
        <v>22</v>
      </c>
      <c r="B12" t="s">
        <v>7</v>
      </c>
      <c r="C12" t="s">
        <v>8</v>
      </c>
      <c r="D12" s="6" t="s">
        <v>36</v>
      </c>
      <c r="E12" s="7" t="s">
        <v>44</v>
      </c>
      <c r="F12" s="12"/>
      <c r="G12" s="12"/>
      <c r="H12" s="1" t="s">
        <v>28</v>
      </c>
    </row>
    <row r="13" spans="1:8" x14ac:dyDescent="0.2">
      <c r="A13" t="s">
        <v>22</v>
      </c>
      <c r="B13" t="s">
        <v>7</v>
      </c>
      <c r="C13" t="s">
        <v>9</v>
      </c>
      <c r="D13" s="6" t="s">
        <v>39</v>
      </c>
      <c r="E13" s="7" t="s">
        <v>44</v>
      </c>
      <c r="F13" s="12">
        <f>[3]Results!$C$32</f>
        <v>0.22046482848084617</v>
      </c>
      <c r="G13" s="12"/>
      <c r="H13" s="1" t="s">
        <v>29</v>
      </c>
    </row>
    <row r="14" spans="1:8" x14ac:dyDescent="0.2">
      <c r="A14" t="s">
        <v>22</v>
      </c>
      <c r="B14" t="s">
        <v>7</v>
      </c>
      <c r="C14" t="s">
        <v>9</v>
      </c>
      <c r="D14" s="6" t="s">
        <v>36</v>
      </c>
      <c r="E14" s="7" t="s">
        <v>44</v>
      </c>
      <c r="F14" s="12">
        <f xml:space="preserve"> [3]Results!$C$37 +
[3]Results!$C$42</f>
        <v>5.3268771386288417E-3</v>
      </c>
      <c r="G14" s="12"/>
      <c r="H14" s="1" t="s">
        <v>29</v>
      </c>
    </row>
    <row r="15" spans="1:8" x14ac:dyDescent="0.2">
      <c r="A15" t="s">
        <v>22</v>
      </c>
      <c r="B15" t="s">
        <v>10</v>
      </c>
      <c r="C15" t="s">
        <v>11</v>
      </c>
      <c r="D15" s="6" t="s">
        <v>36</v>
      </c>
      <c r="E15" s="7" t="s">
        <v>52</v>
      </c>
      <c r="F15" s="12">
        <f>[4]Results!$D$52</f>
        <v>0.61495620163270392</v>
      </c>
      <c r="G15" s="12">
        <f>[5]Results!$D$52</f>
        <v>0.66518170814055411</v>
      </c>
      <c r="H15" s="1" t="s">
        <v>30</v>
      </c>
    </row>
    <row r="16" spans="1:8" x14ac:dyDescent="0.2">
      <c r="A16" t="s">
        <v>22</v>
      </c>
      <c r="B16" t="s">
        <v>17</v>
      </c>
      <c r="C16" t="s">
        <v>11</v>
      </c>
      <c r="D16" s="6" t="s">
        <v>40</v>
      </c>
      <c r="E16" s="7" t="s">
        <v>52</v>
      </c>
      <c r="F16" s="12">
        <f>F15</f>
        <v>0.61495620163270392</v>
      </c>
      <c r="G16" s="12">
        <f>G15</f>
        <v>0.66518170814055411</v>
      </c>
      <c r="H16" s="1" t="s">
        <v>49</v>
      </c>
    </row>
    <row r="17" spans="1:8" ht="29" x14ac:dyDescent="0.2">
      <c r="A17" t="s">
        <v>22</v>
      </c>
      <c r="B17" t="s">
        <v>18</v>
      </c>
      <c r="C17" t="s">
        <v>11</v>
      </c>
      <c r="D17" s="6" t="s">
        <v>41</v>
      </c>
      <c r="E17" s="7" t="s">
        <v>52</v>
      </c>
      <c r="F17" s="12">
        <f>F15</f>
        <v>0.61495620163270392</v>
      </c>
      <c r="G17" s="12">
        <f>G15</f>
        <v>0.66518170814055411</v>
      </c>
      <c r="H17" s="4" t="s">
        <v>50</v>
      </c>
    </row>
    <row r="18" spans="1:8" x14ac:dyDescent="0.2">
      <c r="A18" t="s">
        <v>22</v>
      </c>
      <c r="B18" t="s">
        <v>12</v>
      </c>
      <c r="C18" t="s">
        <v>13</v>
      </c>
      <c r="D18" s="6" t="s">
        <v>37</v>
      </c>
      <c r="E18" s="7" t="s">
        <v>44</v>
      </c>
      <c r="F18" s="12">
        <f>[10]Results!$C$32</f>
        <v>0.16484374999999998</v>
      </c>
      <c r="G18" s="12">
        <f>[11]Results!$C$32</f>
        <v>0.16457999999999998</v>
      </c>
      <c r="H18" s="1"/>
    </row>
    <row r="19" spans="1:8" x14ac:dyDescent="0.2">
      <c r="A19" t="s">
        <v>22</v>
      </c>
      <c r="B19" t="s">
        <v>12</v>
      </c>
      <c r="C19" t="s">
        <v>13</v>
      </c>
      <c r="D19" s="6" t="s">
        <v>36</v>
      </c>
      <c r="E19" s="7" t="s">
        <v>44</v>
      </c>
      <c r="F19" s="12">
        <f>[10]Results!$C$37</f>
        <v>2.0483999999999997E-3</v>
      </c>
      <c r="G19" s="12">
        <f>[11]Results!$C$37</f>
        <v>2.1599999999999996E-3</v>
      </c>
      <c r="H19" s="1"/>
    </row>
    <row r="20" spans="1:8" x14ac:dyDescent="0.2">
      <c r="A20" t="s">
        <v>22</v>
      </c>
      <c r="B20" t="s">
        <v>12</v>
      </c>
      <c r="C20" t="s">
        <v>14</v>
      </c>
      <c r="D20" s="6" t="s">
        <v>37</v>
      </c>
      <c r="E20" s="7" t="s">
        <v>44</v>
      </c>
      <c r="F20" s="12">
        <f>[12]Results!$C$32</f>
        <v>0.16436899999999999</v>
      </c>
      <c r="G20" s="12">
        <f>[13]Results!$C$32</f>
        <v>0.16436899999999999</v>
      </c>
      <c r="H20" s="1"/>
    </row>
    <row r="21" spans="1:8" x14ac:dyDescent="0.2">
      <c r="A21" t="s">
        <v>22</v>
      </c>
      <c r="B21" t="s">
        <v>12</v>
      </c>
      <c r="C21" t="s">
        <v>14</v>
      </c>
      <c r="D21" s="6" t="s">
        <v>36</v>
      </c>
      <c r="E21" s="7" t="s">
        <v>44</v>
      </c>
      <c r="F21" s="12">
        <f>[12]Results!$C$37+[12]Results!$C$42</f>
        <v>2.3511395607595403E-3</v>
      </c>
      <c r="G21" s="12">
        <f>[13]Results!$C$37 +
[13]Results!$C$42</f>
        <v>2.3511395607595403E-3</v>
      </c>
      <c r="H21" s="1"/>
    </row>
    <row r="22" spans="1:8" ht="29" x14ac:dyDescent="0.2">
      <c r="A22" t="s">
        <v>22</v>
      </c>
      <c r="B22" t="s">
        <v>15</v>
      </c>
      <c r="C22" t="s">
        <v>16</v>
      </c>
      <c r="D22" s="6" t="s">
        <v>42</v>
      </c>
      <c r="E22" s="7" t="s">
        <v>44</v>
      </c>
      <c r="F22" s="12">
        <f>SUM([18]Results!$C$32:$C$33)</f>
        <v>0.14406198424889713</v>
      </c>
      <c r="G22" s="12">
        <f>F22</f>
        <v>0.14406198424889713</v>
      </c>
      <c r="H22" s="14" t="s">
        <v>51</v>
      </c>
    </row>
    <row r="23" spans="1:8" x14ac:dyDescent="0.2">
      <c r="A23" t="s">
        <v>23</v>
      </c>
      <c r="B23" t="s">
        <v>10</v>
      </c>
      <c r="C23" t="s">
        <v>11</v>
      </c>
      <c r="D23" s="6" t="s">
        <v>43</v>
      </c>
      <c r="E23" s="7" t="s">
        <v>52</v>
      </c>
      <c r="F23" s="12">
        <f>[14]Results!$I$35</f>
        <v>0.61157732140395271</v>
      </c>
      <c r="G23" s="12">
        <f>[15]Results!$I$35</f>
        <v>0.66385927929733235</v>
      </c>
      <c r="H23" s="1" t="s">
        <v>33</v>
      </c>
    </row>
    <row r="24" spans="1:8" x14ac:dyDescent="0.2">
      <c r="A24" t="s">
        <v>23</v>
      </c>
      <c r="B24" t="s">
        <v>12</v>
      </c>
      <c r="C24" t="s">
        <v>13</v>
      </c>
      <c r="D24" s="6" t="s">
        <v>38</v>
      </c>
      <c r="E24" s="7" t="s">
        <v>44</v>
      </c>
      <c r="F24" s="12" cm="1">
        <f t="array" ref="F24">[16]!feedstockIndustrial_Natural_Gas_Usage *
[16]Input_Sheet_Template!$C$125</f>
        <v>0.16436584807933297</v>
      </c>
      <c r="G24" s="12" cm="1">
        <f t="array" ref="G24">[17]!feedstockIndustrial_Natural_Gas_Usage *
[17]Input_Sheet_Template!$C$125</f>
        <v>0.15381830686499998</v>
      </c>
      <c r="H24" s="6"/>
    </row>
    <row r="25" spans="1:8" x14ac:dyDescent="0.2">
      <c r="A25" t="s">
        <v>23</v>
      </c>
      <c r="B25" t="s">
        <v>12</v>
      </c>
      <c r="C25" t="s">
        <v>13</v>
      </c>
      <c r="D25" s="6" t="s">
        <v>36</v>
      </c>
      <c r="E25" s="7" t="s">
        <v>44</v>
      </c>
      <c r="F25" s="12" cm="1">
        <f t="array" ref="F25">[16]!utilityCommercial_Electricity_Usage *
[16]Input_Sheet_Template!$C$128</f>
        <v>3.9959999999999996E-3</v>
      </c>
      <c r="G25" s="12" cm="1">
        <f t="array" ref="G25">[17]!utilityCommercial_Electricity_Usage*[17]Input_Sheet_Template!$C$128</f>
        <v>8.1647999999999981E-3</v>
      </c>
      <c r="H25" s="6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NE_cost</vt:lpstr>
      <vt:lpstr>coef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2021-07-02T21:20:47Z</dcterms:created>
  <dcterms:modified xsi:type="dcterms:W3CDTF">2021-07-07T20:14:51Z</dcterms:modified>
</cp:coreProperties>
</file>